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经济指标" sheetId="79"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晋宁区土地案例" sheetId="77" r:id="rId23"/>
    <sheet name="安宁市土地案例" sheetId="78" r:id="rId24"/>
    <sheet name="假设开发法" sheetId="12" r:id="rId25"/>
    <sheet name="比较法-住宅" sheetId="21" r:id="rId26"/>
    <sheet name="住宅案例" sheetId="80" r:id="rId27"/>
    <sheet name="比较法-商业" sheetId="33" r:id="rId28"/>
    <sheet name="商业案例" sheetId="81" r:id="rId29"/>
    <sheet name="收益法" sheetId="15" r:id="rId30"/>
    <sheet name="收益法 (元)" sheetId="67" state="hidden" r:id="rId31"/>
    <sheet name="收益法（汇总）" sheetId="70" state="hidden"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0">'收益法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L13" i="3" l="1"/>
  <c r="AD13" i="3"/>
  <c r="F22" i="6" l="1"/>
  <c r="F19" i="6"/>
  <c r="AN13" i="3" l="1"/>
  <c r="AJ13" i="3"/>
  <c r="AH13" i="3"/>
  <c r="AF13" i="3"/>
  <c r="M13" i="3"/>
  <c r="K13" i="3"/>
  <c r="I13" i="3"/>
  <c r="I46" i="39" l="1"/>
  <c r="G46" i="39"/>
  <c r="E46" i="39"/>
  <c r="I38" i="39"/>
  <c r="G38" i="39"/>
  <c r="E38" i="39"/>
  <c r="C11" i="39"/>
  <c r="I7" i="39"/>
  <c r="G7" i="39"/>
  <c r="E7" i="39"/>
  <c r="I5" i="39"/>
  <c r="G5" i="39"/>
  <c r="E5" i="39"/>
  <c r="C11" i="21"/>
  <c r="N7" i="1" l="1"/>
  <c r="N14" i="1"/>
  <c r="N8" i="1"/>
  <c r="C6" i="69"/>
  <c r="G21" i="6"/>
  <c r="F20" i="6"/>
  <c r="C33" i="33" s="1"/>
  <c r="D3" i="4"/>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M19" i="43"/>
  <c r="D11" i="71"/>
  <c r="AH9" i="71"/>
  <c r="AG9" i="71"/>
  <c r="AE9" i="71"/>
  <c r="AF9" i="71"/>
  <c r="AD9" i="71"/>
  <c r="AD10" i="71"/>
  <c r="AG10" i="71"/>
  <c r="AH10" i="71"/>
  <c r="AE10" i="71"/>
  <c r="AF10" i="71"/>
  <c r="N10" i="71"/>
  <c r="Q10" i="71"/>
  <c r="P10" i="71"/>
  <c r="O10" i="71"/>
  <c r="C10" i="71"/>
  <c r="T10" i="71" s="1"/>
  <c r="Q11" i="71"/>
  <c r="F10" i="71"/>
  <c r="P11" i="71"/>
  <c r="E10" i="71"/>
  <c r="E9" i="71" s="1"/>
  <c r="E8" i="71" s="1"/>
  <c r="O11" i="71"/>
  <c r="N11" i="71"/>
  <c r="B10" i="71"/>
  <c r="S10" i="71" s="1"/>
  <c r="V1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59" i="72"/>
  <c r="B67" i="72"/>
  <c r="B66" i="72"/>
  <c r="B10" i="72"/>
  <c r="C53" i="10"/>
  <c r="B51" i="10"/>
  <c r="A13" i="51" s="1"/>
  <c r="B11" i="72" s="1"/>
  <c r="B19" i="72"/>
  <c r="A18" i="51"/>
  <c r="B13" i="72" s="1"/>
  <c r="C8" i="68"/>
  <c r="B49" i="48"/>
  <c r="B5" i="72" s="1"/>
  <c r="I19" i="43"/>
  <c r="D75" i="71"/>
  <c r="F74" i="71"/>
  <c r="E74" i="71"/>
  <c r="E73" i="71" s="1"/>
  <c r="E72" i="71" s="1"/>
  <c r="C74" i="71"/>
  <c r="D74" i="71"/>
  <c r="B74" i="71"/>
  <c r="F73" i="71"/>
  <c r="F72" i="71" s="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C40" i="71"/>
  <c r="Q39" i="71"/>
  <c r="F40" i="71"/>
  <c r="F41" i="71" s="1"/>
  <c r="F42" i="71" s="1"/>
  <c r="V42" i="71" s="1"/>
  <c r="P39" i="71"/>
  <c r="E40" i="71" s="1"/>
  <c r="O39" i="71"/>
  <c r="N39" i="71"/>
  <c r="B40" i="71"/>
  <c r="B41" i="71" s="1"/>
  <c r="B42" i="71"/>
  <c r="S42" i="71" s="1"/>
  <c r="D39" i="71"/>
  <c r="Q38" i="71"/>
  <c r="P38" i="71"/>
  <c r="O38" i="71"/>
  <c r="N38" i="71"/>
  <c r="Q37" i="71"/>
  <c r="P37" i="71"/>
  <c r="O37" i="71"/>
  <c r="N37" i="71"/>
  <c r="Q36" i="71"/>
  <c r="P36" i="71"/>
  <c r="O36" i="71"/>
  <c r="N36" i="71"/>
  <c r="Q35" i="71"/>
  <c r="F36" i="7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AB25" i="71"/>
  <c r="Q25" i="71"/>
  <c r="P25" i="71"/>
  <c r="AA25" i="71" s="1"/>
  <c r="O25" i="71"/>
  <c r="Y25" i="71" s="1"/>
  <c r="Z25" i="71"/>
  <c r="N25" i="71"/>
  <c r="X25" i="71"/>
  <c r="Q24" i="71"/>
  <c r="AB24" i="71"/>
  <c r="P24" i="71"/>
  <c r="O24" i="71"/>
  <c r="Y24" i="71" s="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C13" i="71" s="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X20" i="71"/>
  <c r="X21" i="71"/>
  <c r="X22" i="71"/>
  <c r="C24" i="71"/>
  <c r="C25" i="71" s="1"/>
  <c r="AB23" i="71"/>
  <c r="X24" i="71"/>
  <c r="F37" i="71"/>
  <c r="F38" i="71" s="1"/>
  <c r="V38" i="71"/>
  <c r="Y3" i="71"/>
  <c r="Z3" i="71" s="1"/>
  <c r="B14" i="71"/>
  <c r="B13" i="71"/>
  <c r="B12" i="71" s="1"/>
  <c r="X11" i="71"/>
  <c r="X13" i="71"/>
  <c r="C17" i="71"/>
  <c r="D17" i="71" s="1"/>
  <c r="D16" i="71"/>
  <c r="D20" i="71"/>
  <c r="D24" i="71"/>
  <c r="C29" i="71"/>
  <c r="D28" i="71"/>
  <c r="C33" i="71"/>
  <c r="D33" i="71"/>
  <c r="D32" i="71"/>
  <c r="C37" i="71"/>
  <c r="D36" i="71"/>
  <c r="P14" i="71"/>
  <c r="E41" i="71"/>
  <c r="E42" i="71"/>
  <c r="U42" i="71" s="1"/>
  <c r="E45" i="71"/>
  <c r="E46" i="71" s="1"/>
  <c r="U46" i="71" s="1"/>
  <c r="E49" i="71"/>
  <c r="E50" i="71"/>
  <c r="U50" i="71" s="1"/>
  <c r="U54" i="71"/>
  <c r="E53" i="71"/>
  <c r="E52" i="71" s="1"/>
  <c r="Q14" i="71"/>
  <c r="C41" i="71"/>
  <c r="D41" i="71" s="1"/>
  <c r="D40" i="71"/>
  <c r="C45" i="71"/>
  <c r="D45" i="71" s="1"/>
  <c r="D44" i="71"/>
  <c r="C49" i="71"/>
  <c r="C50" i="71" s="1"/>
  <c r="T50" i="71" s="1"/>
  <c r="D48" i="71"/>
  <c r="N53" i="71"/>
  <c r="B52"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T14" i="71"/>
  <c r="S14" i="71"/>
  <c r="F14" i="71"/>
  <c r="F13" i="71"/>
  <c r="F12" i="71" s="1"/>
  <c r="AB11" i="71"/>
  <c r="AB12" i="71"/>
  <c r="AB13" i="71"/>
  <c r="AB14" i="71"/>
  <c r="E14" i="71"/>
  <c r="E13" i="71" s="1"/>
  <c r="E12" i="71" s="1"/>
  <c r="AA11" i="71"/>
  <c r="AA13" i="71"/>
  <c r="D14" i="71"/>
  <c r="U14" i="71" s="1"/>
  <c r="D53" i="71"/>
  <c r="C68" i="71"/>
  <c r="D68" i="71" s="1"/>
  <c r="D61" i="71"/>
  <c r="N51" i="71"/>
  <c r="N52" i="71"/>
  <c r="D73" i="71"/>
  <c r="C72" i="71"/>
  <c r="D72" i="71" s="1"/>
  <c r="D65" i="71"/>
  <c r="C56" i="71"/>
  <c r="D56" i="71" s="1"/>
  <c r="C46" i="71"/>
  <c r="T46" i="71" s="1"/>
  <c r="C42" i="71"/>
  <c r="T42" i="71" s="1"/>
  <c r="P53" i="71"/>
  <c r="C38" i="71"/>
  <c r="T38" i="71" s="1"/>
  <c r="D37" i="71"/>
  <c r="C30" i="71"/>
  <c r="T30" i="71" s="1"/>
  <c r="D29" i="71"/>
  <c r="C26" i="71"/>
  <c r="T26" i="71" s="1"/>
  <c r="D25" i="71"/>
  <c r="C22" i="71"/>
  <c r="T22" i="71" s="1"/>
  <c r="D21" i="71"/>
  <c r="C18" i="71"/>
  <c r="T18" i="71" s="1"/>
  <c r="C12" i="71"/>
  <c r="D12" i="71" s="1"/>
  <c r="D13" i="71"/>
  <c r="D18" i="71"/>
  <c r="D22" i="71"/>
  <c r="D26" i="71"/>
  <c r="D30" i="71"/>
  <c r="D38" i="71"/>
  <c r="D42" i="71"/>
  <c r="D46" i="71"/>
  <c r="D50" i="71"/>
  <c r="O27" i="6"/>
  <c r="N27" i="6"/>
  <c r="P20" i="6"/>
  <c r="P21" i="6"/>
  <c r="P22" i="6"/>
  <c r="P23" i="6"/>
  <c r="P24" i="6"/>
  <c r="P25" i="6"/>
  <c r="P26" i="6"/>
  <c r="P19" i="6"/>
  <c r="AP8" i="1"/>
  <c r="AP10" i="1"/>
  <c r="AP11" i="1"/>
  <c r="AP12" i="1"/>
  <c r="AP13" i="1"/>
  <c r="L21"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s="1"/>
  <c r="AA21" i="21" s="1"/>
  <c r="D81" i="21"/>
  <c r="G20" i="20"/>
  <c r="B86" i="43"/>
  <c r="C22" i="20"/>
  <c r="B75" i="43" s="1"/>
  <c r="B55" i="43"/>
  <c r="C25" i="40"/>
  <c r="C29" i="39"/>
  <c r="S25" i="40"/>
  <c r="S18" i="36"/>
  <c r="U18" i="36"/>
  <c r="S21" i="34"/>
  <c r="H25" i="40"/>
  <c r="J25" i="40"/>
  <c r="W25" i="40" s="1"/>
  <c r="H29" i="39"/>
  <c r="AB29" i="39" s="1"/>
  <c r="J29" i="39"/>
  <c r="W29" i="39" s="1"/>
  <c r="J18" i="36"/>
  <c r="AC18" i="36" s="1"/>
  <c r="F68" i="35"/>
  <c r="H18" i="35"/>
  <c r="AB18" i="35" s="1"/>
  <c r="S18" i="35"/>
  <c r="G68" i="35"/>
  <c r="J18" i="35"/>
  <c r="F77" i="37"/>
  <c r="G77" i="37" s="1"/>
  <c r="H21" i="37"/>
  <c r="F21" i="37"/>
  <c r="AA21" i="37" s="1"/>
  <c r="H21" i="34"/>
  <c r="AB21" i="34" s="1"/>
  <c r="F83" i="33"/>
  <c r="H21" i="33"/>
  <c r="AB21" i="33" s="1"/>
  <c r="F21" i="33"/>
  <c r="AA21" i="33" s="1"/>
  <c r="E83" i="21"/>
  <c r="F83" i="21" s="1"/>
  <c r="G83" i="21" s="1"/>
  <c r="H1" i="69"/>
  <c r="AC25" i="40"/>
  <c r="AB25" i="40"/>
  <c r="U25" i="40"/>
  <c r="AC29" i="39"/>
  <c r="W18" i="36"/>
  <c r="AB21" i="37"/>
  <c r="U21" i="37"/>
  <c r="S21" i="37"/>
  <c r="U21" i="34"/>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D23" i="67"/>
  <c r="S2" i="4"/>
  <c r="C51" i="10"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A6" i="1"/>
  <c r="F3" i="35"/>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9" i="1" s="1"/>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B21"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I5" i="3" s="1"/>
  <c r="BJ493" i="3"/>
  <c r="BK493" i="3"/>
  <c r="BM493" i="3"/>
  <c r="BN493" i="3"/>
  <c r="BO493" i="3"/>
  <c r="BP493" i="3"/>
  <c r="BP5" i="3" s="1"/>
  <c r="BR493" i="3"/>
  <c r="BS493" i="3"/>
  <c r="BT493" i="3"/>
  <c r="H494" i="3"/>
  <c r="H5" i="3" s="1"/>
  <c r="AC494" i="3"/>
  <c r="BB494" i="3"/>
  <c r="BA494" i="3" s="1"/>
  <c r="AZ494" i="3" s="1"/>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BT5" i="3" s="1"/>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AA40" i="33" s="1"/>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D95" i="39"/>
  <c r="E95" i="39" s="1"/>
  <c r="F95" i="39" s="1"/>
  <c r="G95" i="39" s="1"/>
  <c r="D93" i="39"/>
  <c r="E93" i="39" s="1"/>
  <c r="F93" i="39" s="1"/>
  <c r="G93" i="39" s="1"/>
  <c r="D91" i="39"/>
  <c r="E91" i="39" s="1"/>
  <c r="F91" i="39" s="1"/>
  <c r="G91" i="39" s="1"/>
  <c r="D89" i="39"/>
  <c r="E89" i="39" s="1"/>
  <c r="F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H8" i="39"/>
  <c r="U8" i="39" s="1"/>
  <c r="F8" i="39"/>
  <c r="AA8" i="39" s="1"/>
  <c r="C20" i="36"/>
  <c r="C20" i="35"/>
  <c r="C16" i="36"/>
  <c r="C16" i="35"/>
  <c r="C14" i="36"/>
  <c r="C14" i="35"/>
  <c r="B80" i="37"/>
  <c r="H25" i="37"/>
  <c r="B110" i="37"/>
  <c r="J39" i="37" s="1"/>
  <c r="AC39" i="37"/>
  <c r="B108" i="37"/>
  <c r="C23" i="37"/>
  <c r="C19" i="37"/>
  <c r="C17" i="37"/>
  <c r="C15" i="37"/>
  <c r="B112" i="37"/>
  <c r="D107" i="37"/>
  <c r="E107" i="37"/>
  <c r="D105" i="37"/>
  <c r="E105" i="37"/>
  <c r="F105" i="37" s="1"/>
  <c r="G105" i="37" s="1"/>
  <c r="D103" i="37"/>
  <c r="J35" i="37"/>
  <c r="F97" i="37"/>
  <c r="E97" i="37"/>
  <c r="D97" i="37"/>
  <c r="C97" i="37"/>
  <c r="D96" i="37"/>
  <c r="E96" i="37" s="1"/>
  <c r="D94" i="37"/>
  <c r="E94" i="37" s="1"/>
  <c r="M90" i="37"/>
  <c r="L90" i="37"/>
  <c r="K90" i="37"/>
  <c r="J90" i="37"/>
  <c r="I90" i="37"/>
  <c r="H90" i="37"/>
  <c r="G90" i="37"/>
  <c r="F90" i="37"/>
  <c r="E90" i="37"/>
  <c r="D90" i="37"/>
  <c r="C90" i="37"/>
  <c r="D89" i="37"/>
  <c r="B86" i="37"/>
  <c r="B84" i="37"/>
  <c r="H27" i="37" s="1"/>
  <c r="B82" i="37"/>
  <c r="D79" i="37"/>
  <c r="E79" i="37" s="1"/>
  <c r="D75" i="37"/>
  <c r="E75" i="37" s="1"/>
  <c r="D73" i="37"/>
  <c r="E73" i="37" s="1"/>
  <c r="F73" i="37"/>
  <c r="D71" i="37"/>
  <c r="H15" i="37"/>
  <c r="AB15" i="37" s="1"/>
  <c r="B68" i="37"/>
  <c r="H14" i="37" s="1"/>
  <c r="AB14" i="37"/>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F23" i="35" s="1"/>
  <c r="B57" i="35"/>
  <c r="B61" i="35"/>
  <c r="B59" i="35"/>
  <c r="B131" i="34"/>
  <c r="B129" i="34"/>
  <c r="B127" i="34"/>
  <c r="B99" i="34"/>
  <c r="B97" i="34"/>
  <c r="B95" i="34"/>
  <c r="B93" i="34"/>
  <c r="B75" i="34"/>
  <c r="B73" i="34"/>
  <c r="B71" i="34"/>
  <c r="B130" i="33"/>
  <c r="B128" i="33"/>
  <c r="B126" i="33"/>
  <c r="B98" i="33"/>
  <c r="J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s="1"/>
  <c r="F12" i="34"/>
  <c r="S12" i="34"/>
  <c r="Q11" i="34"/>
  <c r="Z11" i="34"/>
  <c r="Q10" i="34"/>
  <c r="Z10" i="34"/>
  <c r="F10" i="34"/>
  <c r="AA10" i="34"/>
  <c r="Q9" i="34"/>
  <c r="Z9" i="34"/>
  <c r="F9" i="34"/>
  <c r="J8" i="34"/>
  <c r="AC8" i="34" s="1"/>
  <c r="H8" i="34"/>
  <c r="U8" i="34" s="1"/>
  <c r="F8" i="34"/>
  <c r="D121" i="33"/>
  <c r="F109" i="33"/>
  <c r="E109" i="33"/>
  <c r="D109" i="33"/>
  <c r="C109" i="33"/>
  <c r="D91" i="33"/>
  <c r="E91" i="33" s="1"/>
  <c r="B88" i="33"/>
  <c r="J26" i="33"/>
  <c r="W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B60" i="43" s="1"/>
  <c r="C17" i="20"/>
  <c r="B59" i="43" s="1"/>
  <c r="C16" i="20"/>
  <c r="C17" i="39" s="1"/>
  <c r="C15" i="20"/>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D85" i="21"/>
  <c r="F19" i="21"/>
  <c r="AA19" i="21" s="1"/>
  <c r="E81" i="21"/>
  <c r="F81" i="21" s="1"/>
  <c r="D77" i="21"/>
  <c r="B130" i="21"/>
  <c r="H46" i="21" s="1"/>
  <c r="B128" i="21"/>
  <c r="B126" i="21"/>
  <c r="J44" i="21" s="1"/>
  <c r="B98" i="21"/>
  <c r="B96" i="21"/>
  <c r="B94" i="21"/>
  <c r="J29" i="21"/>
  <c r="AC29" i="21" s="1"/>
  <c r="B92" i="21"/>
  <c r="B90" i="21"/>
  <c r="J27" i="21" s="1"/>
  <c r="W27" i="21" s="1"/>
  <c r="B74" i="21"/>
  <c r="B72" i="21"/>
  <c r="H13" i="21"/>
  <c r="AB13" i="21" s="1"/>
  <c r="B70" i="21"/>
  <c r="F12"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s="1"/>
  <c r="H36" i="39"/>
  <c r="AB36" i="39" s="1"/>
  <c r="J35" i="39"/>
  <c r="AC35" i="39" s="1"/>
  <c r="F35" i="39"/>
  <c r="AA35" i="39" s="1"/>
  <c r="J36" i="39"/>
  <c r="AC36" i="39" s="1"/>
  <c r="W40" i="39"/>
  <c r="W25" i="37"/>
  <c r="U30" i="37"/>
  <c r="W31" i="37"/>
  <c r="E103" i="37"/>
  <c r="F103" i="37"/>
  <c r="G103" i="37" s="1"/>
  <c r="H103" i="37"/>
  <c r="I103" i="37" s="1"/>
  <c r="J103" i="37" s="1"/>
  <c r="K103" i="37" s="1"/>
  <c r="L103" i="37" s="1"/>
  <c r="M103" i="37" s="1"/>
  <c r="F39" i="37"/>
  <c r="S39" i="37" s="1"/>
  <c r="U14" i="37"/>
  <c r="F29" i="36"/>
  <c r="AA29" i="36"/>
  <c r="W8" i="36"/>
  <c r="F16" i="36"/>
  <c r="U9" i="36"/>
  <c r="W28" i="36"/>
  <c r="S30" i="36"/>
  <c r="AC31" i="36"/>
  <c r="W31" i="36"/>
  <c r="U31" i="36"/>
  <c r="J33" i="36"/>
  <c r="W33" i="36"/>
  <c r="H22" i="35"/>
  <c r="AB22" i="35"/>
  <c r="AC27" i="35"/>
  <c r="W28" i="35"/>
  <c r="S34" i="35"/>
  <c r="W34" i="35"/>
  <c r="W36" i="35"/>
  <c r="W22" i="35"/>
  <c r="S31" i="35"/>
  <c r="F36" i="34"/>
  <c r="S36" i="34" s="1"/>
  <c r="J35" i="34"/>
  <c r="S34" i="34"/>
  <c r="U34" i="34"/>
  <c r="F26" i="33"/>
  <c r="AA26" i="33" s="1"/>
  <c r="S40" i="33"/>
  <c r="W33" i="33"/>
  <c r="W39" i="33"/>
  <c r="H39" i="37"/>
  <c r="AB39" i="37"/>
  <c r="S27" i="35"/>
  <c r="F11" i="40"/>
  <c r="H11" i="40"/>
  <c r="AB11" i="40" s="1"/>
  <c r="W8" i="40"/>
  <c r="AC40" i="40"/>
  <c r="AA9" i="40"/>
  <c r="AC9" i="40"/>
  <c r="U9" i="40"/>
  <c r="S34" i="40"/>
  <c r="S40" i="40"/>
  <c r="U34" i="40"/>
  <c r="U40" i="40"/>
  <c r="F42" i="39"/>
  <c r="AA42" i="39" s="1"/>
  <c r="F41" i="39"/>
  <c r="S41" i="39" s="1"/>
  <c r="H40" i="39"/>
  <c r="AB40" i="39" s="1"/>
  <c r="H39" i="39"/>
  <c r="U39" i="39" s="1"/>
  <c r="S34" i="39"/>
  <c r="H34" i="39"/>
  <c r="E109" i="39"/>
  <c r="F109" i="39" s="1"/>
  <c r="G109" i="39" s="1"/>
  <c r="H109" i="39" s="1"/>
  <c r="I109" i="39" s="1"/>
  <c r="J109" i="39" s="1"/>
  <c r="K109" i="39" s="1"/>
  <c r="L109" i="39" s="1"/>
  <c r="M109" i="39" s="1"/>
  <c r="H31" i="39"/>
  <c r="AB31" i="39" s="1"/>
  <c r="F31" i="39"/>
  <c r="AA31" i="39" s="1"/>
  <c r="E101" i="39"/>
  <c r="F101" i="39" s="1"/>
  <c r="F27" i="39" s="1"/>
  <c r="S27" i="39" s="1"/>
  <c r="H19" i="39"/>
  <c r="AB19" i="39" s="1"/>
  <c r="F19" i="39"/>
  <c r="H17" i="39"/>
  <c r="AB17" i="39" s="1"/>
  <c r="F17" i="39"/>
  <c r="AA17" i="39" s="1"/>
  <c r="J23" i="40"/>
  <c r="AC23" i="40"/>
  <c r="F21" i="40"/>
  <c r="AA21" i="40"/>
  <c r="J21" i="40"/>
  <c r="W21" i="40"/>
  <c r="H42" i="39"/>
  <c r="AB42" i="39" s="1"/>
  <c r="J34" i="39"/>
  <c r="AC34" i="39" s="1"/>
  <c r="J31" i="39"/>
  <c r="H27" i="39"/>
  <c r="U27" i="39" s="1"/>
  <c r="J19" i="39"/>
  <c r="AC19" i="39"/>
  <c r="J17" i="39"/>
  <c r="J27" i="39"/>
  <c r="AC27" i="39" s="1"/>
  <c r="S40" i="21"/>
  <c r="C27" i="39"/>
  <c r="S40" i="39"/>
  <c r="H32" i="33"/>
  <c r="AB32" i="33" s="1"/>
  <c r="H37" i="40"/>
  <c r="U37" i="40"/>
  <c r="H36" i="40"/>
  <c r="AB36" i="40"/>
  <c r="F35" i="40"/>
  <c r="AA35" i="40"/>
  <c r="H23" i="40"/>
  <c r="AB23" i="40"/>
  <c r="H17" i="40"/>
  <c r="U17" i="40"/>
  <c r="J15" i="40"/>
  <c r="W15" i="40"/>
  <c r="J11" i="40"/>
  <c r="W11" i="40"/>
  <c r="AB8" i="39"/>
  <c r="AB12" i="33"/>
  <c r="AA12" i="34"/>
  <c r="AB12" i="35"/>
  <c r="W32" i="40"/>
  <c r="S44" i="39"/>
  <c r="F37" i="39"/>
  <c r="AA37" i="39" s="1"/>
  <c r="J34" i="36"/>
  <c r="W34" i="36"/>
  <c r="U30" i="36"/>
  <c r="J30" i="35"/>
  <c r="H30" i="35"/>
  <c r="AB30" i="35" s="1"/>
  <c r="F22" i="35"/>
  <c r="AA22" i="35" s="1"/>
  <c r="H10" i="35"/>
  <c r="U10" i="35" s="1"/>
  <c r="AC16" i="36"/>
  <c r="F33" i="36"/>
  <c r="AA33" i="36"/>
  <c r="W30" i="36"/>
  <c r="H16" i="36"/>
  <c r="E85" i="36"/>
  <c r="F85" i="36" s="1"/>
  <c r="G85" i="36" s="1"/>
  <c r="H85" i="36" s="1"/>
  <c r="I85" i="36" s="1"/>
  <c r="J85" i="36" s="1"/>
  <c r="K85" i="36" s="1"/>
  <c r="L85" i="36" s="1"/>
  <c r="M85" i="36" s="1"/>
  <c r="J29" i="36"/>
  <c r="AC29" i="36"/>
  <c r="F12" i="36"/>
  <c r="F24" i="36"/>
  <c r="F34" i="36"/>
  <c r="S34" i="36" s="1"/>
  <c r="S10" i="36"/>
  <c r="AB8" i="36"/>
  <c r="S8" i="36"/>
  <c r="U8" i="35"/>
  <c r="F14" i="35"/>
  <c r="J32" i="35"/>
  <c r="AC32" i="35" s="1"/>
  <c r="J16" i="35"/>
  <c r="AC16" i="35" s="1"/>
  <c r="H16" i="35"/>
  <c r="U16" i="35" s="1"/>
  <c r="F16" i="35"/>
  <c r="S16" i="35" s="1"/>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U42" i="34"/>
  <c r="H40" i="34"/>
  <c r="U40" i="34"/>
  <c r="E114" i="34"/>
  <c r="H36" i="34"/>
  <c r="U36" i="34" s="1"/>
  <c r="F37" i="34"/>
  <c r="AA37" i="34" s="1"/>
  <c r="S35" i="34"/>
  <c r="F27" i="34"/>
  <c r="AA27" i="34"/>
  <c r="F25" i="34"/>
  <c r="S25" i="34"/>
  <c r="H23" i="34"/>
  <c r="U23" i="34"/>
  <c r="J23" i="34"/>
  <c r="F19" i="34"/>
  <c r="H17" i="34"/>
  <c r="U17" i="34"/>
  <c r="F15" i="34"/>
  <c r="J15" i="34"/>
  <c r="AC15" i="34" s="1"/>
  <c r="H15" i="34"/>
  <c r="AB15" i="34"/>
  <c r="W8" i="34"/>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H29" i="35"/>
  <c r="H33" i="37"/>
  <c r="F33" i="37"/>
  <c r="AA33" i="37" s="1"/>
  <c r="U34" i="37"/>
  <c r="S34" i="37"/>
  <c r="AA34" i="37"/>
  <c r="J43" i="34"/>
  <c r="AB42" i="34"/>
  <c r="J40" i="34"/>
  <c r="F114" i="34"/>
  <c r="G114" i="34"/>
  <c r="H114" i="34" s="1"/>
  <c r="I114" i="34"/>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H37" i="33"/>
  <c r="AB37" i="33" s="1"/>
  <c r="H11" i="33"/>
  <c r="F28" i="40"/>
  <c r="AA28" i="40"/>
  <c r="AA42" i="34"/>
  <c r="AC38" i="34"/>
  <c r="J37" i="34"/>
  <c r="AC37" i="34" s="1"/>
  <c r="J11" i="33"/>
  <c r="W11" i="33" s="1"/>
  <c r="U23" i="40"/>
  <c r="J44" i="34"/>
  <c r="F44" i="34"/>
  <c r="AA44" i="34" s="1"/>
  <c r="J10" i="35"/>
  <c r="W10" i="35" s="1"/>
  <c r="BL587" i="3"/>
  <c r="H26" i="33"/>
  <c r="U26" i="33" s="1"/>
  <c r="F28" i="33"/>
  <c r="AA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13" i="33"/>
  <c r="W13" i="33" s="1"/>
  <c r="F31" i="33"/>
  <c r="S31"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AC12" i="40"/>
  <c r="W12" i="40"/>
  <c r="H14" i="33"/>
  <c r="U14" i="33"/>
  <c r="F14" i="33"/>
  <c r="S14" i="33"/>
  <c r="J14" i="33"/>
  <c r="H30" i="33"/>
  <c r="F30" i="33"/>
  <c r="J30" i="33"/>
  <c r="AC30" i="33" s="1"/>
  <c r="H44" i="33"/>
  <c r="AB44" i="33" s="1"/>
  <c r="J44" i="33"/>
  <c r="AC44" i="33" s="1"/>
  <c r="F44" i="33"/>
  <c r="S44" i="33" s="1"/>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AB13" i="37" s="1"/>
  <c r="F13" i="37"/>
  <c r="J13" i="37"/>
  <c r="F28" i="37"/>
  <c r="AA28" i="37" s="1"/>
  <c r="J28" i="37"/>
  <c r="AC28" i="37" s="1"/>
  <c r="H28" i="37"/>
  <c r="U28" i="37" s="1"/>
  <c r="H38" i="37"/>
  <c r="AB38" i="37" s="1"/>
  <c r="J38" i="37"/>
  <c r="AC38" i="37" s="1"/>
  <c r="F38" i="37"/>
  <c r="S38" i="37" s="1"/>
  <c r="F43" i="39"/>
  <c r="H43" i="39"/>
  <c r="AB43" i="39" s="1"/>
  <c r="J14" i="39"/>
  <c r="AC14" i="39" s="1"/>
  <c r="F14" i="39"/>
  <c r="S14" i="39" s="1"/>
  <c r="H14" i="39"/>
  <c r="F12" i="40"/>
  <c r="S12" i="40" s="1"/>
  <c r="H12" i="40"/>
  <c r="H30" i="40"/>
  <c r="AB30" i="40" s="1"/>
  <c r="F33" i="40"/>
  <c r="AA33" i="40" s="1"/>
  <c r="H33" i="40"/>
  <c r="U33" i="40" s="1"/>
  <c r="J35" i="40"/>
  <c r="J37" i="40"/>
  <c r="AC37" i="40" s="1"/>
  <c r="H13" i="40"/>
  <c r="U13" i="40" s="1"/>
  <c r="J13" i="40"/>
  <c r="F13" i="40"/>
  <c r="AA13" i="40" s="1"/>
  <c r="F14" i="37"/>
  <c r="F27" i="37"/>
  <c r="AA27" i="37" s="1"/>
  <c r="F13" i="39"/>
  <c r="AA13" i="39" s="1"/>
  <c r="H14" i="40"/>
  <c r="J14" i="40"/>
  <c r="W14" i="40" s="1"/>
  <c r="F14" i="40"/>
  <c r="AA14" i="40" s="1"/>
  <c r="J14" i="37"/>
  <c r="J27" i="37"/>
  <c r="U46" i="33"/>
  <c r="AA14" i="33"/>
  <c r="J36" i="37"/>
  <c r="AC36" i="37"/>
  <c r="AB11" i="35"/>
  <c r="J10" i="36"/>
  <c r="AC10" i="36" s="1"/>
  <c r="W31" i="34"/>
  <c r="AC13" i="36"/>
  <c r="W13" i="36"/>
  <c r="W11" i="35"/>
  <c r="AB46" i="34"/>
  <c r="AC30" i="34"/>
  <c r="AA14" i="34"/>
  <c r="AB45" i="33"/>
  <c r="S44" i="34"/>
  <c r="BA585" i="3"/>
  <c r="J41" i="39"/>
  <c r="W41" i="39" s="1"/>
  <c r="AC45" i="39"/>
  <c r="W44" i="39"/>
  <c r="W36" i="39"/>
  <c r="U36" i="39"/>
  <c r="G544" i="3"/>
  <c r="G535" i="3"/>
  <c r="G527" i="3"/>
  <c r="G510" i="3"/>
  <c r="G496" i="3"/>
  <c r="G584" i="3"/>
  <c r="G580" i="3"/>
  <c r="G572" i="3"/>
  <c r="G568" i="3"/>
  <c r="G564" i="3"/>
  <c r="G554" i="3"/>
  <c r="BL584" i="3"/>
  <c r="AZ584" i="3" s="1"/>
  <c r="BL576" i="3"/>
  <c r="BL572" i="3"/>
  <c r="BL568" i="3"/>
  <c r="BL560" i="3"/>
  <c r="BL554" i="3"/>
  <c r="BL546" i="3"/>
  <c r="BL542" i="3"/>
  <c r="BL530" i="3"/>
  <c r="BL512" i="3"/>
  <c r="BL494" i="3"/>
  <c r="BL582" i="3"/>
  <c r="BL578" i="3"/>
  <c r="BL570" i="3"/>
  <c r="BL566" i="3"/>
  <c r="BL562" i="3"/>
  <c r="BL556" i="3"/>
  <c r="BL552" i="3"/>
  <c r="BL544" i="3"/>
  <c r="G533" i="3"/>
  <c r="G525" i="3"/>
  <c r="BL51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c r="BA554" i="3"/>
  <c r="AZ554" i="3"/>
  <c r="BA552" i="3"/>
  <c r="AZ552" i="3"/>
  <c r="BA548" i="3"/>
  <c r="BA546" i="3"/>
  <c r="AZ546" i="3" s="1"/>
  <c r="BA544" i="3"/>
  <c r="AZ544" i="3"/>
  <c r="BA542" i="3"/>
  <c r="AZ542" i="3"/>
  <c r="BA528" i="3"/>
  <c r="BA524" i="3"/>
  <c r="BA518" i="3"/>
  <c r="BA514" i="3"/>
  <c r="BA583" i="3"/>
  <c r="BA581" i="3"/>
  <c r="AZ581" i="3" s="1"/>
  <c r="BA579" i="3"/>
  <c r="BA575" i="3"/>
  <c r="AZ575" i="3" s="1"/>
  <c r="BA573" i="3"/>
  <c r="BA571" i="3"/>
  <c r="AZ571" i="3" s="1"/>
  <c r="BA569" i="3"/>
  <c r="BA567" i="3"/>
  <c r="AZ567" i="3" s="1"/>
  <c r="BA563" i="3"/>
  <c r="BA559" i="3"/>
  <c r="BA555" i="3"/>
  <c r="BA553" i="3"/>
  <c r="AZ553" i="3" s="1"/>
  <c r="BA547" i="3"/>
  <c r="BA545" i="3"/>
  <c r="BA543" i="3"/>
  <c r="BA539" i="3"/>
  <c r="BA531" i="3"/>
  <c r="BA523" i="3"/>
  <c r="BA513" i="3"/>
  <c r="BA503" i="3"/>
  <c r="BA495" i="3"/>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BQ521" i="3"/>
  <c r="G513" i="3"/>
  <c r="BQ519" i="3"/>
  <c r="BQ517" i="3"/>
  <c r="BL517" i="3"/>
  <c r="BQ515" i="3"/>
  <c r="BQ513" i="3"/>
  <c r="BL513" i="3"/>
  <c r="BQ511" i="3"/>
  <c r="AC509" i="3"/>
  <c r="G509" i="3" s="1"/>
  <c r="BQ509" i="3"/>
  <c r="G501"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c r="AA36" i="39"/>
  <c r="F39" i="33"/>
  <c r="AA39" i="33" s="1"/>
  <c r="E123" i="33"/>
  <c r="F123" i="33" s="1"/>
  <c r="F14" i="36"/>
  <c r="AA14" i="36" s="1"/>
  <c r="F22" i="36"/>
  <c r="F26" i="36"/>
  <c r="H27" i="34"/>
  <c r="AB27" i="34" s="1"/>
  <c r="H35" i="34"/>
  <c r="U35" i="34" s="1"/>
  <c r="F41" i="34"/>
  <c r="S41" i="34" s="1"/>
  <c r="H41" i="34"/>
  <c r="U41" i="34" s="1"/>
  <c r="J41" i="34"/>
  <c r="AC41" i="34" s="1"/>
  <c r="F10" i="35"/>
  <c r="F24" i="35"/>
  <c r="AA24" i="35" s="1"/>
  <c r="H24" i="35"/>
  <c r="AB24" i="35" s="1"/>
  <c r="H23" i="37"/>
  <c r="J32" i="37"/>
  <c r="AC32" i="37" s="1"/>
  <c r="F36" i="37"/>
  <c r="F37" i="37"/>
  <c r="AA37" i="37" s="1"/>
  <c r="F31" i="40"/>
  <c r="AA31" i="40" s="1"/>
  <c r="H31" i="40"/>
  <c r="U31" i="40" s="1"/>
  <c r="F32" i="40"/>
  <c r="H32" i="40"/>
  <c r="AB32" i="40" s="1"/>
  <c r="J36" i="40"/>
  <c r="AA41" i="34"/>
  <c r="H19" i="37"/>
  <c r="AB19" i="37"/>
  <c r="S28" i="31"/>
  <c r="S27" i="31"/>
  <c r="S26" i="31"/>
  <c r="AC32" i="36"/>
  <c r="AC33" i="36"/>
  <c r="U35" i="35"/>
  <c r="AA12" i="35"/>
  <c r="AB28" i="37"/>
  <c r="U39" i="37"/>
  <c r="W26" i="37"/>
  <c r="AC8" i="37"/>
  <c r="U26" i="37"/>
  <c r="W47" i="34"/>
  <c r="AB13" i="34"/>
  <c r="W37" i="34"/>
  <c r="AB37" i="34"/>
  <c r="AC36" i="34"/>
  <c r="U26" i="21"/>
  <c r="W15" i="34"/>
  <c r="W16" i="35"/>
  <c r="G107" i="37"/>
  <c r="H107" i="37" s="1"/>
  <c r="I107" i="37" s="1"/>
  <c r="J107" i="37" s="1"/>
  <c r="K107" i="37" s="1"/>
  <c r="L107" i="37" s="1"/>
  <c r="M107" i="37" s="1"/>
  <c r="H19" i="34"/>
  <c r="AB19" i="34" s="1"/>
  <c r="F36" i="35"/>
  <c r="J9" i="37"/>
  <c r="H9" i="37"/>
  <c r="AB9" i="37" s="1"/>
  <c r="F9" i="37"/>
  <c r="S9" i="37" s="1"/>
  <c r="H12" i="37"/>
  <c r="AB12" i="37" s="1"/>
  <c r="E71" i="37"/>
  <c r="F71" i="37" s="1"/>
  <c r="G71" i="37" s="1"/>
  <c r="F15" i="37"/>
  <c r="AA15" i="37"/>
  <c r="F31" i="37"/>
  <c r="S31" i="37" s="1"/>
  <c r="F12" i="39"/>
  <c r="J42" i="39"/>
  <c r="H21" i="40"/>
  <c r="AB21" i="40"/>
  <c r="F94" i="37"/>
  <c r="G94" i="37" s="1"/>
  <c r="H94" i="37" s="1"/>
  <c r="I94" i="37" s="1"/>
  <c r="J94" i="37" s="1"/>
  <c r="K94" i="37" s="1"/>
  <c r="L94" i="37" s="1"/>
  <c r="M94" i="37" s="1"/>
  <c r="H31" i="37"/>
  <c r="J15" i="37"/>
  <c r="AT6" i="3"/>
  <c r="C12" i="43"/>
  <c r="H19" i="40"/>
  <c r="U19" i="40" s="1"/>
  <c r="F88" i="40"/>
  <c r="G88" i="40" s="1"/>
  <c r="F19" i="40"/>
  <c r="S19" i="40" s="1"/>
  <c r="S14" i="40"/>
  <c r="AB33" i="40"/>
  <c r="AC43" i="39"/>
  <c r="W43" i="39"/>
  <c r="U45" i="39"/>
  <c r="AB45" i="39"/>
  <c r="AB44" i="39"/>
  <c r="U44" i="39"/>
  <c r="G101" i="39"/>
  <c r="H37" i="39"/>
  <c r="AB37" i="39" s="1"/>
  <c r="H25" i="39"/>
  <c r="AB25" i="39" s="1"/>
  <c r="J25" i="39"/>
  <c r="W25" i="39" s="1"/>
  <c r="F25" i="39"/>
  <c r="AA25" i="39" s="1"/>
  <c r="H41" i="39"/>
  <c r="AB41" i="39" s="1"/>
  <c r="S42" i="39"/>
  <c r="W9" i="39"/>
  <c r="J19" i="40"/>
  <c r="AC19" i="40" s="1"/>
  <c r="J50" i="40"/>
  <c r="H103" i="9"/>
  <c r="D8" i="53"/>
  <c r="B16" i="53"/>
  <c r="B33" i="72" s="1"/>
  <c r="C7" i="37"/>
  <c r="C7" i="34"/>
  <c r="C7" i="36"/>
  <c r="A118" i="9"/>
  <c r="A4" i="52"/>
  <c r="B41" i="72" s="1"/>
  <c r="G4" i="4"/>
  <c r="I4" i="4"/>
  <c r="K5" i="4"/>
  <c r="B47" i="48" s="1"/>
  <c r="A2" i="9"/>
  <c r="N2" i="43"/>
  <c r="F59" i="43"/>
  <c r="AZ20" i="3"/>
  <c r="AZ24" i="3"/>
  <c r="AZ28" i="3"/>
  <c r="AZ32" i="3"/>
  <c r="BL549" i="3"/>
  <c r="G546"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AZ371" i="3" s="1"/>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1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BA372" i="3"/>
  <c r="AZ372" i="3"/>
  <c r="BL372" i="3"/>
  <c r="G373" i="3"/>
  <c r="G376" i="3"/>
  <c r="BL377" i="3"/>
  <c r="BL379" i="3"/>
  <c r="BA381" i="3"/>
  <c r="AZ381" i="3" s="1"/>
  <c r="BA382" i="3"/>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M5" i="3"/>
  <c r="BD5" i="3"/>
  <c r="AZ317" i="3"/>
  <c r="AZ333" i="3"/>
  <c r="G548" i="3"/>
  <c r="G502" i="3"/>
  <c r="AZ343" i="3"/>
  <c r="BE5" i="3"/>
  <c r="G17" i="3"/>
  <c r="BA17" i="3"/>
  <c r="AZ350" i="3"/>
  <c r="AZ352" i="3"/>
  <c r="AZ360" i="3"/>
  <c r="AZ368" i="3"/>
  <c r="BA15" i="3"/>
  <c r="AZ15" i="3"/>
  <c r="BR5" i="3"/>
  <c r="AZ384" i="3"/>
  <c r="AZ388" i="3"/>
  <c r="AZ392" i="3"/>
  <c r="AZ396" i="3"/>
  <c r="AZ394" i="3"/>
  <c r="AZ491" i="3"/>
  <c r="AZ382" i="3"/>
  <c r="U36" i="40"/>
  <c r="N4" i="43"/>
  <c r="F36" i="43"/>
  <c r="F81" i="43"/>
  <c r="H83" i="43"/>
  <c r="H113" i="43"/>
  <c r="F48" i="43"/>
  <c r="N7" i="43"/>
  <c r="F70" i="43"/>
  <c r="H73" i="43"/>
  <c r="M6" i="43"/>
  <c r="M11" i="43"/>
  <c r="D17" i="43"/>
  <c r="F39" i="43"/>
  <c r="I17" i="43"/>
  <c r="F35" i="43"/>
  <c r="J17" i="43"/>
  <c r="F6" i="1"/>
  <c r="G9" i="1"/>
  <c r="G10" i="1"/>
  <c r="F48" i="9"/>
  <c r="O52" i="9" s="1"/>
  <c r="AZ563" i="3"/>
  <c r="W37" i="37"/>
  <c r="W44" i="34"/>
  <c r="AC44" i="34"/>
  <c r="S15" i="37"/>
  <c r="U13" i="37"/>
  <c r="AA12" i="40"/>
  <c r="J37" i="33"/>
  <c r="W37" i="33" s="1"/>
  <c r="AC17" i="34"/>
  <c r="J34" i="33"/>
  <c r="W34" i="33" s="1"/>
  <c r="F33" i="34"/>
  <c r="S33" i="34" s="1"/>
  <c r="H20" i="36"/>
  <c r="U20" i="36" s="1"/>
  <c r="J20" i="36"/>
  <c r="W20" i="36" s="1"/>
  <c r="J27" i="36"/>
  <c r="W27" i="36"/>
  <c r="AC33" i="40"/>
  <c r="G111" i="40"/>
  <c r="H111" i="40" s="1"/>
  <c r="I111" i="40"/>
  <c r="J111" i="40" s="1"/>
  <c r="K111" i="40" s="1"/>
  <c r="L111" i="40" s="1"/>
  <c r="M111" i="40" s="1"/>
  <c r="H35" i="40"/>
  <c r="AB35" i="40"/>
  <c r="W29" i="35"/>
  <c r="H35" i="37"/>
  <c r="U35" i="37"/>
  <c r="AC14" i="35"/>
  <c r="H20" i="35"/>
  <c r="U20" i="35" s="1"/>
  <c r="F20" i="35"/>
  <c r="AA20" i="35" s="1"/>
  <c r="AB29" i="36"/>
  <c r="U29" i="36"/>
  <c r="H32" i="37"/>
  <c r="AB32" i="37"/>
  <c r="F96" i="37"/>
  <c r="H27" i="40"/>
  <c r="U27" i="40" s="1"/>
  <c r="J27" i="40"/>
  <c r="AC27" i="40" s="1"/>
  <c r="F27" i="40"/>
  <c r="S27" i="40" s="1"/>
  <c r="J30" i="40"/>
  <c r="AC30" i="40" s="1"/>
  <c r="F30" i="40"/>
  <c r="AC21" i="40"/>
  <c r="E98" i="40"/>
  <c r="F98" i="40" s="1"/>
  <c r="G98" i="40"/>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H27" i="36"/>
  <c r="F27" i="36"/>
  <c r="AA27" i="36" s="1"/>
  <c r="H33" i="34"/>
  <c r="U33" i="34" s="1"/>
  <c r="F32" i="37"/>
  <c r="AA32" i="37" s="1"/>
  <c r="G96" i="37"/>
  <c r="H96" i="37" s="1"/>
  <c r="I96" i="37"/>
  <c r="J96" i="37" s="1"/>
  <c r="K96" i="37" s="1"/>
  <c r="L96" i="37" s="1"/>
  <c r="M96" i="37" s="1"/>
  <c r="F20" i="36"/>
  <c r="AA20" i="36"/>
  <c r="J33" i="34"/>
  <c r="AC33" i="34"/>
  <c r="D48" i="9"/>
  <c r="M52" i="9" s="1"/>
  <c r="H86" i="43"/>
  <c r="H82" i="43"/>
  <c r="H87" i="43"/>
  <c r="K9" i="1"/>
  <c r="AE9" i="1"/>
  <c r="D93" i="9"/>
  <c r="K6" i="1"/>
  <c r="M6" i="1" s="1"/>
  <c r="O6" i="1" s="1"/>
  <c r="P6" i="1" s="1"/>
  <c r="AC26" i="33"/>
  <c r="W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AC13" i="34"/>
  <c r="F12" i="33"/>
  <c r="AA12" i="33" s="1"/>
  <c r="H12" i="39"/>
  <c r="AB12" i="39"/>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F53" i="9" s="1"/>
  <c r="J100" i="43"/>
  <c r="AB37" i="40"/>
  <c r="S35" i="40"/>
  <c r="U35" i="40"/>
  <c r="S17" i="40"/>
  <c r="S23" i="40"/>
  <c r="AC17" i="40"/>
  <c r="AC15" i="40"/>
  <c r="AB27" i="40"/>
  <c r="AA19" i="40"/>
  <c r="S28" i="40"/>
  <c r="AA27" i="40"/>
  <c r="U21" i="40"/>
  <c r="AB19" i="40"/>
  <c r="U37" i="39"/>
  <c r="U35" i="39"/>
  <c r="F32" i="39"/>
  <c r="S32" i="39" s="1"/>
  <c r="U25" i="39"/>
  <c r="U31" i="39"/>
  <c r="S25" i="39"/>
  <c r="J21" i="39"/>
  <c r="W21" i="39" s="1"/>
  <c r="F21" i="39"/>
  <c r="AA21" i="39" s="1"/>
  <c r="H21" i="39"/>
  <c r="AB21" i="39" s="1"/>
  <c r="W19" i="39"/>
  <c r="U19" i="39"/>
  <c r="S9" i="39"/>
  <c r="U12" i="39"/>
  <c r="S23" i="36"/>
  <c r="U13" i="36"/>
  <c r="AC27" i="36"/>
  <c r="U26" i="36"/>
  <c r="S33" i="36"/>
  <c r="AA34" i="36"/>
  <c r="S29" i="36"/>
  <c r="AC26" i="36"/>
  <c r="W14" i="36"/>
  <c r="AB14" i="36"/>
  <c r="U22" i="36"/>
  <c r="AA25" i="36"/>
  <c r="U23" i="36"/>
  <c r="AB20" i="36"/>
  <c r="S14" i="36"/>
  <c r="U10" i="36"/>
  <c r="W10" i="36"/>
  <c r="W24" i="35"/>
  <c r="U28" i="35"/>
  <c r="AB27" i="35"/>
  <c r="U36" i="35"/>
  <c r="S32" i="35"/>
  <c r="S28" i="35"/>
  <c r="U22" i="35"/>
  <c r="S22" i="35"/>
  <c r="AC10" i="35"/>
  <c r="AB10" i="35"/>
  <c r="AA11" i="35"/>
  <c r="S8" i="35"/>
  <c r="AC12" i="35"/>
  <c r="W13" i="35"/>
  <c r="H9" i="35"/>
  <c r="U9" i="35" s="1"/>
  <c r="S25" i="37"/>
  <c r="S26" i="37"/>
  <c r="AC29" i="37"/>
  <c r="U29" i="37"/>
  <c r="W30" i="37"/>
  <c r="U32" i="37"/>
  <c r="W38" i="37"/>
  <c r="W39" i="37"/>
  <c r="S30" i="37"/>
  <c r="S37" i="37"/>
  <c r="J17" i="37"/>
  <c r="W17" i="37" s="1"/>
  <c r="G73" i="37"/>
  <c r="F17" i="37"/>
  <c r="AA17" i="37"/>
  <c r="AB17" i="37"/>
  <c r="F75" i="37"/>
  <c r="F19" i="37"/>
  <c r="F79" i="37"/>
  <c r="G79" i="37" s="1"/>
  <c r="F23" i="37"/>
  <c r="S23" i="37"/>
  <c r="U9" i="37"/>
  <c r="AA9" i="37"/>
  <c r="H10" i="37"/>
  <c r="H60" i="37"/>
  <c r="I60" i="37" s="1"/>
  <c r="F11" i="37"/>
  <c r="S11" i="37" s="1"/>
  <c r="S27" i="34"/>
  <c r="W25" i="34"/>
  <c r="AB8" i="34"/>
  <c r="AA33" i="34"/>
  <c r="U44" i="34"/>
  <c r="U43" i="34"/>
  <c r="AC39" i="34"/>
  <c r="W41" i="34"/>
  <c r="AC42" i="34"/>
  <c r="U39" i="34"/>
  <c r="S43" i="34"/>
  <c r="AB41" i="34"/>
  <c r="W34" i="34"/>
  <c r="AA25" i="34"/>
  <c r="AA29" i="34"/>
  <c r="U27" i="34"/>
  <c r="S23" i="34"/>
  <c r="U15" i="34"/>
  <c r="S10" i="34"/>
  <c r="S13" i="34"/>
  <c r="H67" i="34"/>
  <c r="I67" i="34" s="1"/>
  <c r="H10" i="34"/>
  <c r="F11" i="34"/>
  <c r="S11" i="34" s="1"/>
  <c r="F70" i="34"/>
  <c r="AA35" i="33"/>
  <c r="W38" i="33"/>
  <c r="H41" i="33"/>
  <c r="AB41" i="33" s="1"/>
  <c r="F36" i="33"/>
  <c r="AA36" i="33" s="1"/>
  <c r="J35" i="33"/>
  <c r="W35" i="33" s="1"/>
  <c r="S37" i="33"/>
  <c r="AA37" i="33"/>
  <c r="J32" i="33"/>
  <c r="W32" i="33" s="1"/>
  <c r="S46" i="33"/>
  <c r="H27" i="33"/>
  <c r="AB27" i="33" s="1"/>
  <c r="H25" i="33"/>
  <c r="AB25" i="33" s="1"/>
  <c r="F25" i="33"/>
  <c r="AA25" i="33" s="1"/>
  <c r="J23" i="33"/>
  <c r="AC23" i="33" s="1"/>
  <c r="H23" i="33"/>
  <c r="F19" i="33"/>
  <c r="S19" i="33" s="1"/>
  <c r="W19" i="33"/>
  <c r="J17" i="33"/>
  <c r="W17" i="33" s="1"/>
  <c r="U9" i="33"/>
  <c r="J10" i="33"/>
  <c r="W10" i="33" s="1"/>
  <c r="H10" i="33"/>
  <c r="U10" i="33" s="1"/>
  <c r="AA10" i="33"/>
  <c r="AC11" i="33"/>
  <c r="AB14" i="33"/>
  <c r="W43" i="21"/>
  <c r="W36" i="21"/>
  <c r="AA43" i="21"/>
  <c r="AA38" i="21"/>
  <c r="AC40" i="21"/>
  <c r="E85" i="21"/>
  <c r="F23" i="21" s="1"/>
  <c r="S8" i="21"/>
  <c r="M3" i="43"/>
  <c r="N10" i="43"/>
  <c r="M1" i="43"/>
  <c r="M8" i="43"/>
  <c r="N8" i="43"/>
  <c r="N9" i="43"/>
  <c r="D120" i="9"/>
  <c r="C18" i="9"/>
  <c r="D18" i="9" s="1"/>
  <c r="F34" i="15"/>
  <c r="F62" i="15" s="1"/>
  <c r="G13" i="3"/>
  <c r="BA13" i="3"/>
  <c r="BL17" i="3"/>
  <c r="AZ17" i="3" s="1"/>
  <c r="BL13" i="3"/>
  <c r="J56" i="9"/>
  <c r="J57" i="9" s="1"/>
  <c r="J59" i="9" s="1"/>
  <c r="J61" i="9" s="1"/>
  <c r="A24" i="51"/>
  <c r="B18" i="72"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7" i="21"/>
  <c r="C7" i="40"/>
  <c r="C63" i="40" s="1"/>
  <c r="M47" i="9"/>
  <c r="G19" i="43"/>
  <c r="O19" i="43" s="1"/>
  <c r="C46" i="36"/>
  <c r="D46" i="36" s="1"/>
  <c r="C59" i="34"/>
  <c r="D59" i="34" s="1"/>
  <c r="E59" i="34" s="1"/>
  <c r="F59" i="34" s="1"/>
  <c r="C52" i="37"/>
  <c r="D52" i="37" s="1"/>
  <c r="E52" i="37" s="1"/>
  <c r="F52" i="37" s="1"/>
  <c r="A4" i="51"/>
  <c r="B6" i="72" s="1"/>
  <c r="H62" i="43"/>
  <c r="H66" i="43"/>
  <c r="H61" i="43"/>
  <c r="H65" i="43"/>
  <c r="H60" i="43"/>
  <c r="H64" i="43"/>
  <c r="H59" i="43"/>
  <c r="H63" i="43"/>
  <c r="H67" i="43"/>
  <c r="H55" i="43"/>
  <c r="H51" i="43"/>
  <c r="H56" i="43"/>
  <c r="H76" i="43"/>
  <c r="H72" i="43"/>
  <c r="H77" i="43"/>
  <c r="L20" i="6"/>
  <c r="B6" i="1"/>
  <c r="E6" i="1" s="1"/>
  <c r="K11" i="1"/>
  <c r="M11" i="1" s="1"/>
  <c r="O11" i="1" s="1"/>
  <c r="AP6" i="1"/>
  <c r="B9" i="1"/>
  <c r="E9" i="1" s="1"/>
  <c r="K7" i="1"/>
  <c r="G1" i="15"/>
  <c r="G1" i="69"/>
  <c r="G1" i="67"/>
  <c r="W23" i="40"/>
  <c r="AB31" i="40"/>
  <c r="S37" i="40"/>
  <c r="AB28" i="40"/>
  <c r="W28" i="40"/>
  <c r="W34" i="40"/>
  <c r="W27" i="40"/>
  <c r="S36" i="40"/>
  <c r="W37" i="40"/>
  <c r="S13" i="40"/>
  <c r="AA15" i="40"/>
  <c r="U11" i="40"/>
  <c r="S31" i="40"/>
  <c r="U15" i="40"/>
  <c r="AB17" i="40"/>
  <c r="U8" i="40"/>
  <c r="S8" i="40"/>
  <c r="AA39" i="39"/>
  <c r="U42" i="39"/>
  <c r="S13" i="39"/>
  <c r="AA14" i="39"/>
  <c r="U43" i="39"/>
  <c r="AA27" i="39"/>
  <c r="W17" i="39"/>
  <c r="AC17" i="39"/>
  <c r="W31" i="39"/>
  <c r="AC31" i="39"/>
  <c r="AA45" i="39"/>
  <c r="W34" i="39"/>
  <c r="S8" i="39"/>
  <c r="S20" i="36"/>
  <c r="AC25" i="36"/>
  <c r="S28" i="36"/>
  <c r="U32" i="36"/>
  <c r="W29" i="36"/>
  <c r="U25" i="36"/>
  <c r="AB28" i="36"/>
  <c r="AA13" i="36"/>
  <c r="W9" i="36"/>
  <c r="W22" i="36"/>
  <c r="W23" i="36"/>
  <c r="S9" i="36"/>
  <c r="AB20" i="35"/>
  <c r="AC25" i="35"/>
  <c r="U25" i="35"/>
  <c r="S24" i="35"/>
  <c r="W33" i="35"/>
  <c r="AA30" i="35"/>
  <c r="S35" i="35"/>
  <c r="AA16" i="35"/>
  <c r="W36" i="37"/>
  <c r="S28" i="37"/>
  <c r="U36" i="37"/>
  <c r="U38" i="37"/>
  <c r="AB37" i="37"/>
  <c r="S33" i="37"/>
  <c r="AC34" i="37"/>
  <c r="AB35" i="37"/>
  <c r="AA31" i="37"/>
  <c r="U19" i="37"/>
  <c r="AA29" i="37"/>
  <c r="AA8" i="37"/>
  <c r="U8" i="37"/>
  <c r="AA40" i="34"/>
  <c r="AB40"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AA8" i="34"/>
  <c r="S8" i="34"/>
  <c r="S46" i="34"/>
  <c r="AA46" i="34"/>
  <c r="U32" i="34"/>
  <c r="AB32" i="34"/>
  <c r="U14" i="34"/>
  <c r="AB14" i="34"/>
  <c r="AC43" i="34"/>
  <c r="W43" i="34"/>
  <c r="AA11" i="34"/>
  <c r="W23" i="34"/>
  <c r="AC23" i="34"/>
  <c r="AC35" i="34"/>
  <c r="W35" i="34"/>
  <c r="AB12" i="34"/>
  <c r="W46" i="33"/>
  <c r="U38" i="33"/>
  <c r="S33" i="33"/>
  <c r="AB34" i="33"/>
  <c r="U44" i="33"/>
  <c r="S30" i="33"/>
  <c r="AA30" i="33"/>
  <c r="AC14" i="33"/>
  <c r="W14" i="33"/>
  <c r="W30" i="33"/>
  <c r="AA31" i="33"/>
  <c r="AC13" i="33"/>
  <c r="S28" i="33"/>
  <c r="F37" i="21"/>
  <c r="AA37" i="21" s="1"/>
  <c r="U40" i="21"/>
  <c r="U13" i="21"/>
  <c r="W8" i="21"/>
  <c r="S35" i="21"/>
  <c r="J37" i="21"/>
  <c r="W37" i="21" s="1"/>
  <c r="H45" i="21"/>
  <c r="U45" i="21"/>
  <c r="F29" i="21"/>
  <c r="S29" i="21"/>
  <c r="F13" i="21"/>
  <c r="AA13" i="21" s="1"/>
  <c r="H32" i="21"/>
  <c r="U32" i="21" s="1"/>
  <c r="H9" i="21"/>
  <c r="U9" i="21" s="1"/>
  <c r="J32" i="21"/>
  <c r="AC32" i="21" s="1"/>
  <c r="F32" i="21"/>
  <c r="S32" i="21" s="1"/>
  <c r="W29" i="21"/>
  <c r="S19" i="21"/>
  <c r="S9" i="21"/>
  <c r="K141" i="21"/>
  <c r="K144" i="21"/>
  <c r="K143" i="21"/>
  <c r="U27" i="21"/>
  <c r="AB25" i="21"/>
  <c r="F10" i="21"/>
  <c r="S10" i="21" s="1"/>
  <c r="K145" i="21"/>
  <c r="W25" i="21"/>
  <c r="AA29" i="21"/>
  <c r="AC26" i="21"/>
  <c r="AB36" i="21"/>
  <c r="C19" i="39"/>
  <c r="C17" i="40"/>
  <c r="C21" i="40"/>
  <c r="U30" i="40"/>
  <c r="B54" i="43"/>
  <c r="B49" i="43"/>
  <c r="B52" i="43"/>
  <c r="D23" i="15"/>
  <c r="D22" i="15"/>
  <c r="AQ13" i="1"/>
  <c r="T11" i="1"/>
  <c r="AR11" i="1"/>
  <c r="T13" i="1"/>
  <c r="C77" i="9"/>
  <c r="C74" i="9" s="1"/>
  <c r="E7" i="70"/>
  <c r="S12" i="33"/>
  <c r="J32" i="39"/>
  <c r="W32" i="39" s="1"/>
  <c r="H32" i="39"/>
  <c r="AB32" i="39" s="1"/>
  <c r="AB9" i="35"/>
  <c r="AC17" i="37"/>
  <c r="S17" i="37"/>
  <c r="J19" i="37"/>
  <c r="G75" i="37"/>
  <c r="S19" i="37"/>
  <c r="AA19" i="37"/>
  <c r="AA23" i="37"/>
  <c r="J23" i="37"/>
  <c r="AC23" i="37" s="1"/>
  <c r="J10" i="37"/>
  <c r="W10" i="37" s="1"/>
  <c r="H11" i="37"/>
  <c r="AB10" i="37"/>
  <c r="U10" i="37"/>
  <c r="G70" i="34"/>
  <c r="H70" i="34" s="1"/>
  <c r="I70" i="34" s="1"/>
  <c r="J70" i="34" s="1"/>
  <c r="K70" i="34" s="1"/>
  <c r="L70" i="34" s="1"/>
  <c r="M70" i="34" s="1"/>
  <c r="H11" i="34"/>
  <c r="AB10" i="34"/>
  <c r="U10" i="34"/>
  <c r="J10" i="34"/>
  <c r="AC10" i="34" s="1"/>
  <c r="J36" i="33"/>
  <c r="W36" i="33" s="1"/>
  <c r="H36" i="33"/>
  <c r="AB36" i="33" s="1"/>
  <c r="S36" i="33"/>
  <c r="J27" i="33"/>
  <c r="AC27" i="33" s="1"/>
  <c r="J25" i="33"/>
  <c r="W25" i="33" s="1"/>
  <c r="AB23" i="33"/>
  <c r="U23" i="33"/>
  <c r="F23" i="33"/>
  <c r="S23" i="33" s="1"/>
  <c r="H19" i="33"/>
  <c r="U19" i="33" s="1"/>
  <c r="H17" i="33"/>
  <c r="AB17" i="33" s="1"/>
  <c r="F17" i="33"/>
  <c r="S17" i="33" s="1"/>
  <c r="AC17" i="33"/>
  <c r="AB10" i="33"/>
  <c r="J23" i="21"/>
  <c r="W23" i="21" s="1"/>
  <c r="F85" i="21"/>
  <c r="G85" i="21" s="1"/>
  <c r="H23" i="21"/>
  <c r="AB23" i="21" s="1"/>
  <c r="S13" i="21"/>
  <c r="D6" i="52"/>
  <c r="D121" i="9"/>
  <c r="D7" i="52"/>
  <c r="K120" i="9"/>
  <c r="AP7" i="1"/>
  <c r="AB45" i="21"/>
  <c r="E6" i="70"/>
  <c r="A18" i="62"/>
  <c r="B64" i="72" s="1"/>
  <c r="U32" i="39"/>
  <c r="W19" i="37"/>
  <c r="AC19" i="37"/>
  <c r="W23" i="37"/>
  <c r="AB11" i="37"/>
  <c r="U11" i="37"/>
  <c r="J11" i="37"/>
  <c r="W11" i="37" s="1"/>
  <c r="AC10" i="37"/>
  <c r="U11" i="34"/>
  <c r="AB11" i="34"/>
  <c r="W10" i="34"/>
  <c r="J11" i="34"/>
  <c r="AC36" i="33"/>
  <c r="AA23" i="33"/>
  <c r="U17" i="33"/>
  <c r="AC23" i="21"/>
  <c r="F1" i="67"/>
  <c r="Q52" i="67"/>
  <c r="AC11" i="37"/>
  <c r="W11" i="34"/>
  <c r="AC11" i="34"/>
  <c r="AE7" i="1"/>
  <c r="AE6" i="1"/>
  <c r="AG6" i="1"/>
  <c r="H109" i="9"/>
  <c r="D124" i="9" s="1"/>
  <c r="H112" i="9"/>
  <c r="D21" i="53" s="1"/>
  <c r="B39" i="72" s="1"/>
  <c r="H111" i="9"/>
  <c r="D126" i="9" s="1"/>
  <c r="D59" i="9"/>
  <c r="M55" i="9" s="1"/>
  <c r="AD3" i="71"/>
  <c r="M9" i="67"/>
  <c r="D2" i="35"/>
  <c r="F6" i="73"/>
  <c r="B13" i="76"/>
  <c r="F9" i="67"/>
  <c r="E2" i="68"/>
  <c r="F37" i="67"/>
  <c r="D2" i="34"/>
  <c r="F38" i="15"/>
  <c r="F6" i="15"/>
  <c r="F36" i="15"/>
  <c r="L48" i="67"/>
  <c r="F38" i="67"/>
  <c r="B10" i="76"/>
  <c r="F8" i="15"/>
  <c r="B9" i="76"/>
  <c r="M29" i="67"/>
  <c r="M6" i="15"/>
  <c r="E10" i="76"/>
  <c r="D2" i="37"/>
  <c r="M23" i="15"/>
  <c r="F7" i="15"/>
  <c r="E11" i="76"/>
  <c r="L47" i="15"/>
  <c r="M24" i="67"/>
  <c r="F26" i="15"/>
  <c r="F8" i="67"/>
  <c r="F42" i="67"/>
  <c r="L48" i="15"/>
  <c r="F3" i="73"/>
  <c r="F7" i="67"/>
  <c r="F40" i="67"/>
  <c r="D2" i="33"/>
  <c r="E13" i="76"/>
  <c r="M22" i="15"/>
  <c r="AO9" i="1"/>
  <c r="J15" i="67"/>
  <c r="M21" i="67"/>
  <c r="AO13" i="1"/>
  <c r="M6" i="67"/>
  <c r="E7" i="76"/>
  <c r="F41" i="67"/>
  <c r="D2" i="21"/>
  <c r="F42" i="15"/>
  <c r="M26" i="67"/>
  <c r="F20" i="31"/>
  <c r="E12" i="76"/>
  <c r="F26" i="67"/>
  <c r="M28" i="67"/>
  <c r="M27" i="15"/>
  <c r="AO7" i="1"/>
  <c r="C76" i="67"/>
  <c r="M28" i="15"/>
  <c r="F16" i="67"/>
  <c r="AO6" i="1"/>
  <c r="M29" i="15"/>
  <c r="B7" i="76"/>
  <c r="F43" i="67"/>
  <c r="C76" i="15"/>
  <c r="E2" i="69"/>
  <c r="M22" i="67"/>
  <c r="AO10" i="1"/>
  <c r="E8" i="76"/>
  <c r="F13" i="67"/>
  <c r="F5" i="73"/>
  <c r="M9" i="15"/>
  <c r="M27" i="67"/>
  <c r="AO11" i="1"/>
  <c r="F9" i="15"/>
  <c r="D2" i="36"/>
  <c r="M24" i="15"/>
  <c r="F36" i="67"/>
  <c r="F16" i="15"/>
  <c r="M26" i="15"/>
  <c r="AO12" i="1"/>
  <c r="M8" i="67"/>
  <c r="B12" i="76"/>
  <c r="F35" i="67"/>
  <c r="F7" i="73"/>
  <c r="F40" i="15"/>
  <c r="E9" i="76"/>
  <c r="F43" i="15"/>
  <c r="F37" i="15"/>
  <c r="M23" i="67"/>
  <c r="F6" i="67"/>
  <c r="F4" i="73"/>
  <c r="B8" i="76"/>
  <c r="F13" i="15"/>
  <c r="L47" i="67"/>
  <c r="J15" i="15"/>
  <c r="M8" i="15"/>
  <c r="B11" i="76"/>
  <c r="B63" i="43" l="1"/>
  <c r="B67" i="43"/>
  <c r="S21" i="39"/>
  <c r="W44" i="33"/>
  <c r="AA44" i="33"/>
  <c r="AC45" i="33"/>
  <c r="S45" i="33"/>
  <c r="AC29" i="33"/>
  <c r="W29" i="33"/>
  <c r="AC31" i="33"/>
  <c r="W31" i="33"/>
  <c r="H31" i="33"/>
  <c r="F29" i="33"/>
  <c r="H29" i="33"/>
  <c r="U13" i="33"/>
  <c r="AB13" i="33"/>
  <c r="F13" i="33"/>
  <c r="AC44" i="21"/>
  <c r="W44" i="21"/>
  <c r="U46" i="21"/>
  <c r="AB46" i="21"/>
  <c r="F46" i="21"/>
  <c r="J46" i="21"/>
  <c r="F44" i="21"/>
  <c r="H44" i="21"/>
  <c r="W41" i="21"/>
  <c r="AB29" i="21"/>
  <c r="S27" i="21"/>
  <c r="AA26" i="21"/>
  <c r="W12" i="21"/>
  <c r="W13" i="21"/>
  <c r="W37" i="39"/>
  <c r="AC37" i="39"/>
  <c r="S37" i="39"/>
  <c r="S35" i="39"/>
  <c r="W35" i="39"/>
  <c r="W13" i="39"/>
  <c r="AC13" i="39"/>
  <c r="W14" i="39"/>
  <c r="H13" i="39"/>
  <c r="C65" i="40"/>
  <c r="D63" i="40"/>
  <c r="E63" i="40" s="1"/>
  <c r="AA23" i="21"/>
  <c r="S23" i="21"/>
  <c r="AB28" i="34"/>
  <c r="U28" i="34"/>
  <c r="AA23" i="35"/>
  <c r="S23" i="35"/>
  <c r="W12" i="37"/>
  <c r="AC12" i="37"/>
  <c r="AZ522" i="3"/>
  <c r="AZ500" i="3"/>
  <c r="AZ499" i="3"/>
  <c r="W15" i="37"/>
  <c r="AC15" i="37"/>
  <c r="W9" i="37"/>
  <c r="AC9" i="37"/>
  <c r="AZ495" i="3"/>
  <c r="AZ513" i="3"/>
  <c r="AZ518" i="3"/>
  <c r="AC35" i="40"/>
  <c r="W35" i="40"/>
  <c r="AB14" i="39"/>
  <c r="U14" i="39"/>
  <c r="W13" i="37"/>
  <c r="AC13" i="37"/>
  <c r="S25" i="35"/>
  <c r="AA25" i="35"/>
  <c r="S13" i="35"/>
  <c r="AA13" i="35"/>
  <c r="S47" i="34"/>
  <c r="AA47" i="34"/>
  <c r="AB30" i="33"/>
  <c r="U30" i="33"/>
  <c r="AB14" i="35"/>
  <c r="U14" i="35"/>
  <c r="AA14" i="35"/>
  <c r="S14" i="35"/>
  <c r="AA24" i="36"/>
  <c r="S24" i="36"/>
  <c r="U34" i="39"/>
  <c r="AB34" i="39"/>
  <c r="AA11" i="40"/>
  <c r="S11" i="40"/>
  <c r="AB33" i="33"/>
  <c r="U33" i="33"/>
  <c r="AA9" i="34"/>
  <c r="S9" i="34"/>
  <c r="BA549" i="3"/>
  <c r="AZ549" i="3" s="1"/>
  <c r="BA541" i="3"/>
  <c r="AZ541" i="3" s="1"/>
  <c r="BL539" i="3"/>
  <c r="AZ539" i="3" s="1"/>
  <c r="BA537" i="3"/>
  <c r="AZ537" i="3" s="1"/>
  <c r="BL535" i="3"/>
  <c r="AZ535" i="3" s="1"/>
  <c r="BA533" i="3"/>
  <c r="AZ533" i="3" s="1"/>
  <c r="BL531" i="3"/>
  <c r="AZ531" i="3" s="1"/>
  <c r="BA529" i="3"/>
  <c r="AZ529" i="3" s="1"/>
  <c r="BL527" i="3"/>
  <c r="AZ527" i="3" s="1"/>
  <c r="BA525" i="3"/>
  <c r="AZ525" i="3" s="1"/>
  <c r="BL523" i="3"/>
  <c r="AZ523" i="3" s="1"/>
  <c r="BA521" i="3"/>
  <c r="AZ521" i="3" s="1"/>
  <c r="BL519" i="3"/>
  <c r="BA519" i="3"/>
  <c r="BL515" i="3"/>
  <c r="BA515" i="3"/>
  <c r="BL511" i="3"/>
  <c r="BA511" i="3"/>
  <c r="BA509" i="3"/>
  <c r="AZ509" i="3" s="1"/>
  <c r="BL508" i="3"/>
  <c r="BA508" i="3"/>
  <c r="AZ508" i="3" s="1"/>
  <c r="BL506" i="3"/>
  <c r="AZ506" i="3" s="1"/>
  <c r="BL504" i="3"/>
  <c r="BA504" i="3"/>
  <c r="BA502" i="3"/>
  <c r="AZ502" i="3" s="1"/>
  <c r="BA501" i="3"/>
  <c r="AZ501" i="3" s="1"/>
  <c r="BL498" i="3"/>
  <c r="BA498" i="3"/>
  <c r="BL496" i="3"/>
  <c r="BA496" i="3"/>
  <c r="BF5" i="3"/>
  <c r="BN5" i="3"/>
  <c r="G29" i="6" s="1"/>
  <c r="AC5" i="3"/>
  <c r="D19" i="53"/>
  <c r="B38" i="72" s="1"/>
  <c r="H110" i="9"/>
  <c r="D18" i="53" s="1"/>
  <c r="B35" i="72" s="1"/>
  <c r="S37" i="21"/>
  <c r="AA32" i="39"/>
  <c r="B65" i="43"/>
  <c r="C23" i="40"/>
  <c r="C15" i="40"/>
  <c r="W30" i="40"/>
  <c r="AC27" i="21"/>
  <c r="J9" i="21"/>
  <c r="W8" i="33"/>
  <c r="S11" i="33"/>
  <c r="AB45" i="34"/>
  <c r="U19" i="34"/>
  <c r="AA11" i="37"/>
  <c r="W32" i="37"/>
  <c r="S27" i="37"/>
  <c r="AA35" i="37"/>
  <c r="W35" i="35"/>
  <c r="U24" i="35"/>
  <c r="AC20" i="36"/>
  <c r="AB39" i="39"/>
  <c r="AB13" i="40"/>
  <c r="S33" i="40"/>
  <c r="AC14" i="40"/>
  <c r="W19" i="40"/>
  <c r="U32" i="40"/>
  <c r="C58" i="21"/>
  <c r="I7" i="21"/>
  <c r="E7" i="21"/>
  <c r="G7" i="21"/>
  <c r="U29" i="34"/>
  <c r="AB8" i="21"/>
  <c r="S17" i="34"/>
  <c r="AA45" i="34"/>
  <c r="AB35" i="34"/>
  <c r="U15" i="37"/>
  <c r="AA38" i="37"/>
  <c r="S32" i="37"/>
  <c r="S20" i="35"/>
  <c r="AB16" i="35"/>
  <c r="W32" i="35"/>
  <c r="AA33" i="35"/>
  <c r="AB13" i="35"/>
  <c r="S27" i="36"/>
  <c r="W28" i="37"/>
  <c r="U27" i="36"/>
  <c r="AB27" i="36"/>
  <c r="AA30" i="40"/>
  <c r="S30" i="40"/>
  <c r="U35" i="21"/>
  <c r="H52" i="43"/>
  <c r="H50" i="43"/>
  <c r="H48" i="43"/>
  <c r="BL493" i="3"/>
  <c r="BL5" i="3" s="1"/>
  <c r="AZ351" i="3"/>
  <c r="AZ327" i="3"/>
  <c r="U12" i="37"/>
  <c r="AC42" i="39"/>
  <c r="W42" i="39"/>
  <c r="F12" i="37"/>
  <c r="S36" i="35"/>
  <c r="AA36" i="35"/>
  <c r="U12" i="21"/>
  <c r="W36" i="40"/>
  <c r="AC36" i="40"/>
  <c r="S32" i="40"/>
  <c r="AA32" i="40"/>
  <c r="AA36" i="37"/>
  <c r="S36" i="37"/>
  <c r="AB23" i="37"/>
  <c r="U23" i="37"/>
  <c r="S22" i="36"/>
  <c r="AA22" i="36"/>
  <c r="U32" i="33"/>
  <c r="AZ557" i="3"/>
  <c r="AZ579" i="3"/>
  <c r="AZ568" i="3"/>
  <c r="AZ576" i="3"/>
  <c r="U31" i="34"/>
  <c r="AC27" i="37"/>
  <c r="W27" i="37"/>
  <c r="AB14" i="40"/>
  <c r="U14" i="40"/>
  <c r="S14" i="37"/>
  <c r="AA14" i="37"/>
  <c r="W13" i="40"/>
  <c r="AC13" i="40"/>
  <c r="AA43" i="39"/>
  <c r="S43" i="39"/>
  <c r="S13" i="37"/>
  <c r="AA13" i="37"/>
  <c r="AB29" i="35"/>
  <c r="U29" i="35"/>
  <c r="AC33" i="37"/>
  <c r="W33" i="37"/>
  <c r="W20" i="35"/>
  <c r="AC20" i="35"/>
  <c r="AB16" i="36"/>
  <c r="U16" i="36"/>
  <c r="W30" i="35"/>
  <c r="AC30" i="35"/>
  <c r="BA587" i="3"/>
  <c r="AZ587" i="3" s="1"/>
  <c r="BL585" i="3"/>
  <c r="AZ585" i="3" s="1"/>
  <c r="S12" i="21"/>
  <c r="AA12" i="21"/>
  <c r="J14" i="21"/>
  <c r="F14" i="21"/>
  <c r="H14" i="21"/>
  <c r="H30" i="21"/>
  <c r="F30" i="21"/>
  <c r="J30" i="21"/>
  <c r="J45" i="21"/>
  <c r="F45" i="21"/>
  <c r="E77" i="21"/>
  <c r="F77" i="21" s="1"/>
  <c r="F15" i="21"/>
  <c r="E79" i="21"/>
  <c r="F79" i="21" s="1"/>
  <c r="F17" i="21"/>
  <c r="E106" i="21"/>
  <c r="F106" i="21" s="1"/>
  <c r="G106" i="21" s="1"/>
  <c r="H106" i="21" s="1"/>
  <c r="I106" i="21" s="1"/>
  <c r="J106" i="21" s="1"/>
  <c r="K106" i="21" s="1"/>
  <c r="L106" i="21" s="1"/>
  <c r="M106" i="21" s="1"/>
  <c r="F34" i="21"/>
  <c r="AA34" i="21" s="1"/>
  <c r="J34" i="21"/>
  <c r="W34" i="21" s="1"/>
  <c r="H113" i="21"/>
  <c r="H37" i="21"/>
  <c r="E117" i="21"/>
  <c r="F117" i="21" s="1"/>
  <c r="G117" i="21" s="1"/>
  <c r="J39" i="21"/>
  <c r="AC39" i="21" s="1"/>
  <c r="B70" i="43"/>
  <c r="C15" i="39"/>
  <c r="B77" i="43"/>
  <c r="C25" i="39"/>
  <c r="J9" i="33"/>
  <c r="F9" i="33"/>
  <c r="AA9" i="33" s="1"/>
  <c r="F77" i="33"/>
  <c r="H15" i="33"/>
  <c r="AB15" i="33" s="1"/>
  <c r="H28" i="33"/>
  <c r="J28" i="33"/>
  <c r="E117" i="33"/>
  <c r="F117" i="33" s="1"/>
  <c r="G117" i="33" s="1"/>
  <c r="H39" i="33"/>
  <c r="E125" i="33"/>
  <c r="F125" i="33" s="1"/>
  <c r="G125" i="33" s="1"/>
  <c r="J43" i="33"/>
  <c r="AC43" i="33" s="1"/>
  <c r="F43" i="33"/>
  <c r="F91" i="33"/>
  <c r="G91" i="33" s="1"/>
  <c r="H91" i="33" s="1"/>
  <c r="I91" i="33" s="1"/>
  <c r="J91" i="33" s="1"/>
  <c r="K91" i="33" s="1"/>
  <c r="L91" i="33" s="1"/>
  <c r="M91" i="33" s="1"/>
  <c r="F27" i="33"/>
  <c r="AA27" i="33" s="1"/>
  <c r="W12" i="34"/>
  <c r="AC12" i="34"/>
  <c r="AB32" i="35"/>
  <c r="U32" i="35"/>
  <c r="AB34" i="35"/>
  <c r="U34" i="35"/>
  <c r="J9" i="35"/>
  <c r="F9" i="35"/>
  <c r="U27" i="37"/>
  <c r="AB27" i="37"/>
  <c r="W35" i="37"/>
  <c r="AC35" i="37"/>
  <c r="H40" i="37"/>
  <c r="J40" i="37"/>
  <c r="F40" i="37"/>
  <c r="U25" i="37"/>
  <c r="AB25" i="37"/>
  <c r="AC8" i="39"/>
  <c r="W8" i="39"/>
  <c r="J23" i="39"/>
  <c r="E97" i="39"/>
  <c r="F97" i="39" s="1"/>
  <c r="G97" i="39" s="1"/>
  <c r="F23" i="39"/>
  <c r="H23" i="39"/>
  <c r="U23" i="39" s="1"/>
  <c r="AC31" i="40"/>
  <c r="W31" i="40"/>
  <c r="J39" i="40"/>
  <c r="H39" i="40"/>
  <c r="F39" i="40"/>
  <c r="S38" i="34"/>
  <c r="AA38" i="34"/>
  <c r="AB31" i="35"/>
  <c r="U31" i="35"/>
  <c r="C79" i="35"/>
  <c r="H26" i="35" s="1"/>
  <c r="J26" i="35"/>
  <c r="BL580" i="3"/>
  <c r="AZ580" i="3" s="1"/>
  <c r="BL577" i="3"/>
  <c r="BA577" i="3"/>
  <c r="BL574" i="3"/>
  <c r="AZ574" i="3" s="1"/>
  <c r="BL565" i="3"/>
  <c r="BA565" i="3"/>
  <c r="AZ565" i="3" s="1"/>
  <c r="BL564" i="3"/>
  <c r="AZ564" i="3" s="1"/>
  <c r="BA561" i="3"/>
  <c r="AZ561" i="3" s="1"/>
  <c r="BL559" i="3"/>
  <c r="AZ559" i="3" s="1"/>
  <c r="BL558" i="3"/>
  <c r="BA558" i="3"/>
  <c r="D16" i="53"/>
  <c r="B34" i="72" s="1"/>
  <c r="C58" i="33"/>
  <c r="D58" i="33" s="1"/>
  <c r="E58" i="33" s="1"/>
  <c r="F58" i="33" s="1"/>
  <c r="G58" i="33" s="1"/>
  <c r="H58" i="33" s="1"/>
  <c r="I58" i="33" s="1"/>
  <c r="J58" i="33" s="1"/>
  <c r="K58" i="33" s="1"/>
  <c r="L58" i="33" s="1"/>
  <c r="M58" i="33" s="1"/>
  <c r="N58" i="33" s="1"/>
  <c r="O58" i="33" s="1"/>
  <c r="G7" i="33"/>
  <c r="H7" i="33" s="1"/>
  <c r="U7" i="33" s="1"/>
  <c r="I7" i="33"/>
  <c r="J7" i="33" s="1"/>
  <c r="W7" i="33" s="1"/>
  <c r="E7" i="33"/>
  <c r="F7" i="33" s="1"/>
  <c r="S7" i="33" s="1"/>
  <c r="G28" i="6"/>
  <c r="U31" i="37"/>
  <c r="AB31" i="37"/>
  <c r="S12" i="39"/>
  <c r="AA12" i="39"/>
  <c r="S10" i="35"/>
  <c r="AA10" i="35"/>
  <c r="S26" i="36"/>
  <c r="AA26" i="36"/>
  <c r="AC14" i="37"/>
  <c r="W14" i="37"/>
  <c r="AB12" i="40"/>
  <c r="U12" i="40"/>
  <c r="AB11" i="33"/>
  <c r="U11" i="33"/>
  <c r="AB33" i="37"/>
  <c r="U33" i="37"/>
  <c r="S29" i="35"/>
  <c r="AA29" i="35"/>
  <c r="AA19" i="39"/>
  <c r="S19" i="39"/>
  <c r="AA16" i="36"/>
  <c r="S16" i="36"/>
  <c r="BA586" i="3"/>
  <c r="AZ586" i="3" s="1"/>
  <c r="H28" i="21"/>
  <c r="F28" i="21"/>
  <c r="J28" i="21"/>
  <c r="H31" i="21"/>
  <c r="J31" i="21"/>
  <c r="F31" i="21"/>
  <c r="F123" i="21"/>
  <c r="B71" i="43"/>
  <c r="C21" i="39"/>
  <c r="J9" i="34"/>
  <c r="H9" i="34"/>
  <c r="F28" i="34"/>
  <c r="J28" i="34"/>
  <c r="H23" i="35"/>
  <c r="J23" i="35"/>
  <c r="J11" i="36"/>
  <c r="H11" i="36"/>
  <c r="F11" i="36"/>
  <c r="S31" i="36"/>
  <c r="AA31" i="36"/>
  <c r="BA540" i="3"/>
  <c r="AZ540" i="3" s="1"/>
  <c r="BA538" i="3"/>
  <c r="AZ538" i="3" s="1"/>
  <c r="BL536" i="3"/>
  <c r="BA536" i="3"/>
  <c r="AZ536" i="3" s="1"/>
  <c r="BL534" i="3"/>
  <c r="BA534" i="3"/>
  <c r="AZ534" i="3" s="1"/>
  <c r="BL532" i="3"/>
  <c r="BA532" i="3"/>
  <c r="AZ532" i="3" s="1"/>
  <c r="BA530" i="3"/>
  <c r="AZ530" i="3" s="1"/>
  <c r="BL528" i="3"/>
  <c r="AZ528" i="3" s="1"/>
  <c r="BL526" i="3"/>
  <c r="AZ526" i="3" s="1"/>
  <c r="BL524" i="3"/>
  <c r="AZ524" i="3" s="1"/>
  <c r="BL520" i="3"/>
  <c r="BA520" i="3"/>
  <c r="AZ520" i="3" s="1"/>
  <c r="BL516" i="3"/>
  <c r="AZ516" i="3" s="1"/>
  <c r="BL514" i="3"/>
  <c r="AZ514" i="3" s="1"/>
  <c r="BA512" i="3"/>
  <c r="AZ512" i="3" s="1"/>
  <c r="BA510" i="3"/>
  <c r="AZ510" i="3" s="1"/>
  <c r="BL507" i="3"/>
  <c r="AZ507" i="3" s="1"/>
  <c r="BA505" i="3"/>
  <c r="AZ505" i="3" s="1"/>
  <c r="BL503" i="3"/>
  <c r="AZ503" i="3" s="1"/>
  <c r="BA497" i="3"/>
  <c r="AZ497" i="3" s="1"/>
  <c r="BO5" i="3"/>
  <c r="BJ5" i="3"/>
  <c r="BB5" i="3"/>
  <c r="BS5" i="3"/>
  <c r="F28" i="6" s="1"/>
  <c r="E28" i="6" s="1"/>
  <c r="K14" i="1" s="1"/>
  <c r="BK5" i="3"/>
  <c r="BG5" i="3"/>
  <c r="BA493" i="3"/>
  <c r="BC5" i="3"/>
  <c r="M9" i="1"/>
  <c r="AP9" i="1"/>
  <c r="G81" i="21"/>
  <c r="H19" i="21"/>
  <c r="E121" i="33"/>
  <c r="F121" i="33" s="1"/>
  <c r="G121" i="33" s="1"/>
  <c r="H121" i="33" s="1"/>
  <c r="I121" i="33" s="1"/>
  <c r="J121" i="33" s="1"/>
  <c r="K121" i="33" s="1"/>
  <c r="L121" i="33" s="1"/>
  <c r="M121" i="33" s="1"/>
  <c r="J41" i="33"/>
  <c r="AC41" i="33" s="1"/>
  <c r="J12" i="36"/>
  <c r="H12" i="36"/>
  <c r="J24" i="36"/>
  <c r="H24" i="36"/>
  <c r="F38" i="40"/>
  <c r="J38" i="40"/>
  <c r="H38" i="40"/>
  <c r="G551" i="3"/>
  <c r="G5" i="3" s="1"/>
  <c r="B3" i="3" s="1"/>
  <c r="BL548" i="3"/>
  <c r="AZ548" i="3" s="1"/>
  <c r="AZ424" i="3"/>
  <c r="AZ429" i="3"/>
  <c r="AZ439" i="3"/>
  <c r="AZ398" i="3"/>
  <c r="AZ405" i="3"/>
  <c r="AZ407" i="3"/>
  <c r="AZ410" i="3"/>
  <c r="AZ415" i="3"/>
  <c r="AZ420" i="3"/>
  <c r="AZ426" i="3"/>
  <c r="AZ431" i="3"/>
  <c r="AZ447" i="3"/>
  <c r="AZ456" i="3"/>
  <c r="AZ466" i="3"/>
  <c r="AZ479" i="3"/>
  <c r="AZ485" i="3"/>
  <c r="AZ210" i="3"/>
  <c r="AZ225" i="3"/>
  <c r="O17" i="43"/>
  <c r="M17" i="43"/>
  <c r="N17" i="43"/>
  <c r="L17" i="43"/>
  <c r="G17" i="43" s="1"/>
  <c r="C16" i="43" s="1"/>
  <c r="E17" i="43"/>
  <c r="AZ448" i="3"/>
  <c r="AZ452" i="3"/>
  <c r="AZ489" i="3"/>
  <c r="AZ316" i="3"/>
  <c r="AZ332" i="3"/>
  <c r="AZ397" i="3"/>
  <c r="AZ220" i="3"/>
  <c r="AZ231" i="3"/>
  <c r="AZ264" i="3"/>
  <c r="AZ247" i="3"/>
  <c r="AZ255" i="3"/>
  <c r="AZ270" i="3"/>
  <c r="AZ274" i="3"/>
  <c r="AZ277" i="3"/>
  <c r="AZ298" i="3"/>
  <c r="AZ301" i="3"/>
  <c r="AZ122" i="3"/>
  <c r="AZ125" i="3"/>
  <c r="AZ22" i="3"/>
  <c r="AZ54" i="3"/>
  <c r="AZ57" i="3"/>
  <c r="AZ62" i="3"/>
  <c r="AZ81" i="3"/>
  <c r="AZ99" i="3"/>
  <c r="AZ103" i="3"/>
  <c r="AZ106" i="3"/>
  <c r="P51" i="71"/>
  <c r="P52" i="71"/>
  <c r="D22" i="67"/>
  <c r="AB21" i="21"/>
  <c r="U21" i="33"/>
  <c r="F29" i="39"/>
  <c r="AA29" i="39" s="1"/>
  <c r="V14" i="71"/>
  <c r="D49" i="71"/>
  <c r="C52" i="71"/>
  <c r="AA3" i="71"/>
  <c r="AA12" i="71"/>
  <c r="AA14" i="71"/>
  <c r="X14" i="71"/>
  <c r="Y14" i="71"/>
  <c r="Z14" i="71" s="1"/>
  <c r="Y13" i="71"/>
  <c r="Z13" i="71" s="1"/>
  <c r="Y12" i="71"/>
  <c r="Z12" i="71" s="1"/>
  <c r="Y11" i="71"/>
  <c r="Z11" i="71" s="1"/>
  <c r="AA24" i="71"/>
  <c r="Y23" i="71"/>
  <c r="Z23" i="71" s="1"/>
  <c r="AA22" i="71"/>
  <c r="AB19" i="71"/>
  <c r="Y19" i="71"/>
  <c r="Z19" i="71" s="1"/>
  <c r="X18" i="71"/>
  <c r="X23" i="71"/>
  <c r="AA15" i="71"/>
  <c r="Y10" i="71"/>
  <c r="Z10" i="71" s="1"/>
  <c r="X9" i="71"/>
  <c r="Y8" i="71"/>
  <c r="Z8" i="71" s="1"/>
  <c r="AA10" i="71"/>
  <c r="AB10" i="71"/>
  <c r="X8" i="71"/>
  <c r="Y5" i="71"/>
  <c r="Z5" i="71" s="1"/>
  <c r="V54" i="71"/>
  <c r="F53" i="71"/>
  <c r="Y7" i="71"/>
  <c r="Z7" i="71" s="1"/>
  <c r="AB7" i="71"/>
  <c r="X10" i="71"/>
  <c r="Y9" i="71"/>
  <c r="Z9" i="71" s="1"/>
  <c r="AA9" i="71"/>
  <c r="AB9" i="71"/>
  <c r="B9" i="71"/>
  <c r="B8" i="71" s="1"/>
  <c r="B7" i="71" s="1"/>
  <c r="B6" i="71" s="1"/>
  <c r="C9" i="71"/>
  <c r="AA8" i="71"/>
  <c r="AB8" i="71"/>
  <c r="X7" i="71"/>
  <c r="X6" i="71"/>
  <c r="AA7" i="71"/>
  <c r="AA6" i="71"/>
  <c r="AA5" i="71"/>
  <c r="D10" i="71"/>
  <c r="U10" i="71" s="1"/>
  <c r="AB6" i="71"/>
  <c r="AB5" i="71"/>
  <c r="X5" i="71"/>
  <c r="P10" i="1"/>
  <c r="AZ13" i="3"/>
  <c r="Q16" i="1"/>
  <c r="F27" i="68" s="1"/>
  <c r="C29" i="68" s="1"/>
  <c r="D27" i="68" s="1"/>
  <c r="E15" i="6"/>
  <c r="E65" i="39" s="1"/>
  <c r="U29" i="39"/>
  <c r="W27" i="39"/>
  <c r="AC25" i="39"/>
  <c r="U17" i="39"/>
  <c r="W39" i="39"/>
  <c r="AC32" i="39"/>
  <c r="S29" i="39"/>
  <c r="AB27" i="39"/>
  <c r="AB23" i="39"/>
  <c r="U21" i="39"/>
  <c r="S17" i="39"/>
  <c r="S31" i="39"/>
  <c r="AC21" i="39"/>
  <c r="H15" i="39"/>
  <c r="U15" i="39" s="1"/>
  <c r="G89" i="39"/>
  <c r="F15" i="39"/>
  <c r="J15" i="39"/>
  <c r="W15" i="39" s="1"/>
  <c r="AB15" i="39"/>
  <c r="AC15" i="39"/>
  <c r="F81" i="39"/>
  <c r="G81" i="39" s="1"/>
  <c r="J42" i="33"/>
  <c r="G123" i="33"/>
  <c r="H123" i="33" s="1"/>
  <c r="I123" i="33" s="1"/>
  <c r="J123" i="33" s="1"/>
  <c r="K123" i="33" s="1"/>
  <c r="L123" i="33" s="1"/>
  <c r="M123" i="33" s="1"/>
  <c r="F42" i="33"/>
  <c r="AA42" i="33" s="1"/>
  <c r="H42" i="33"/>
  <c r="AB42" i="33" s="1"/>
  <c r="W43" i="33"/>
  <c r="U43" i="33"/>
  <c r="S42" i="33"/>
  <c r="U42" i="33"/>
  <c r="U36" i="33"/>
  <c r="S32" i="33"/>
  <c r="S27" i="33"/>
  <c r="S26" i="33"/>
  <c r="AC25" i="33"/>
  <c r="W23" i="33"/>
  <c r="AB19" i="33"/>
  <c r="AA19" i="33"/>
  <c r="U15" i="33"/>
  <c r="S9" i="33"/>
  <c r="U8" i="33"/>
  <c r="S8" i="33"/>
  <c r="S39" i="33"/>
  <c r="U37" i="33"/>
  <c r="AC37" i="33"/>
  <c r="AC32" i="33"/>
  <c r="W27" i="33"/>
  <c r="S25" i="33"/>
  <c r="AA17" i="33"/>
  <c r="AC10" i="33"/>
  <c r="W41" i="33"/>
  <c r="U41" i="33"/>
  <c r="S41" i="33"/>
  <c r="S38" i="33"/>
  <c r="AC35" i="33"/>
  <c r="U35" i="33"/>
  <c r="AA34" i="33"/>
  <c r="U27" i="33"/>
  <c r="AB26" i="33"/>
  <c r="U25" i="33"/>
  <c r="AC35" i="21"/>
  <c r="S34" i="21"/>
  <c r="S21" i="21"/>
  <c r="AC19" i="21"/>
  <c r="F11" i="21"/>
  <c r="G69" i="21"/>
  <c r="H69" i="21" s="1"/>
  <c r="I69" i="21" s="1"/>
  <c r="J69" i="21" s="1"/>
  <c r="K69" i="21" s="1"/>
  <c r="L69" i="21" s="1"/>
  <c r="M69" i="21" s="1"/>
  <c r="H11" i="21"/>
  <c r="J11" i="21"/>
  <c r="U43" i="21"/>
  <c r="AC37" i="21"/>
  <c r="W32" i="21"/>
  <c r="AA25" i="21"/>
  <c r="U23" i="21"/>
  <c r="AA10" i="21"/>
  <c r="W10" i="21"/>
  <c r="U10" i="21"/>
  <c r="AB9" i="21"/>
  <c r="D65" i="40"/>
  <c r="AA7" i="33"/>
  <c r="J1" i="73"/>
  <c r="U41" i="39"/>
  <c r="AC41" i="39"/>
  <c r="AA41" i="39"/>
  <c r="U40" i="39"/>
  <c r="U9" i="39"/>
  <c r="B66" i="43"/>
  <c r="W39" i="21"/>
  <c r="S39" i="21"/>
  <c r="AB39" i="21"/>
  <c r="AC38" i="21"/>
  <c r="AB38" i="21"/>
  <c r="AA36" i="21"/>
  <c r="AC34" i="21"/>
  <c r="U34" i="21"/>
  <c r="AA32" i="21"/>
  <c r="AB32" i="21"/>
  <c r="T35" i="4"/>
  <c r="A19" i="51" s="1"/>
  <c r="B14" i="72" s="1"/>
  <c r="A15" i="62"/>
  <c r="B61" i="72" s="1"/>
  <c r="D20" i="53"/>
  <c r="B40" i="72" s="1"/>
  <c r="I14" i="74"/>
  <c r="B8" i="74" s="1"/>
  <c r="D127" i="9"/>
  <c r="D13" i="52" s="1"/>
  <c r="D12" i="52"/>
  <c r="D10" i="52"/>
  <c r="D125" i="9"/>
  <c r="D11" i="52" s="1"/>
  <c r="H14" i="74"/>
  <c r="B7" i="74" s="1"/>
  <c r="D17" i="53"/>
  <c r="B36" i="72" s="1"/>
  <c r="K56" i="9"/>
  <c r="J53" i="15"/>
  <c r="F1" i="15" s="1"/>
  <c r="C36" i="69"/>
  <c r="M20" i="67"/>
  <c r="F34" i="67"/>
  <c r="F62" i="67" s="1"/>
  <c r="C94" i="9"/>
  <c r="C92" i="9"/>
  <c r="F32" i="15"/>
  <c r="F60" i="15" s="1"/>
  <c r="F31" i="12"/>
  <c r="F32" i="67"/>
  <c r="F60" i="67" s="1"/>
  <c r="F30" i="11"/>
  <c r="C48" i="11" s="1"/>
  <c r="D68" i="9"/>
  <c r="M18" i="15"/>
  <c r="F30" i="69"/>
  <c r="C48" i="69" s="1"/>
  <c r="F28" i="67"/>
  <c r="C28" i="67" s="1"/>
  <c r="F30" i="68"/>
  <c r="C30" i="68" s="1"/>
  <c r="C30" i="11"/>
  <c r="F54" i="9"/>
  <c r="F28" i="15"/>
  <c r="C28" i="15" s="1"/>
  <c r="M18" i="67"/>
  <c r="F52" i="9"/>
  <c r="C40" i="68"/>
  <c r="C40" i="69"/>
  <c r="M7" i="1"/>
  <c r="G16" i="1"/>
  <c r="F10" i="40" s="1"/>
  <c r="AA10" i="40" s="1"/>
  <c r="H16" i="1"/>
  <c r="J10" i="39"/>
  <c r="E60" i="40"/>
  <c r="E13" i="6"/>
  <c r="E12" i="6"/>
  <c r="G30" i="6"/>
  <c r="G31" i="6" s="1"/>
  <c r="F29" i="6"/>
  <c r="F27" i="69"/>
  <c r="C47" i="69" s="1"/>
  <c r="D45" i="69" s="1"/>
  <c r="E57" i="40"/>
  <c r="E62" i="39"/>
  <c r="P11" i="1"/>
  <c r="O9" i="1"/>
  <c r="P9" i="1" s="1"/>
  <c r="C13" i="12" s="1"/>
  <c r="O12" i="1"/>
  <c r="P12" i="1" s="1"/>
  <c r="O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C7" i="33"/>
  <c r="AB7" i="33"/>
  <c r="F48" i="35"/>
  <c r="C70" i="39"/>
  <c r="D68" i="39"/>
  <c r="H10" i="40"/>
  <c r="G59" i="34"/>
  <c r="G52" i="37"/>
  <c r="E46" i="36"/>
  <c r="D58" i="21"/>
  <c r="C20" i="43"/>
  <c r="F7" i="71"/>
  <c r="F6" i="71" s="1"/>
  <c r="F5" i="71" s="1"/>
  <c r="Y6" i="71"/>
  <c r="Z6" i="71" s="1"/>
  <c r="B7" i="49"/>
  <c r="C4" i="4" s="1"/>
  <c r="E7" i="49"/>
  <c r="B15" i="49"/>
  <c r="AB3" i="71"/>
  <c r="X3" i="71"/>
  <c r="E7" i="71"/>
  <c r="E6" i="71" s="1"/>
  <c r="E10" i="49"/>
  <c r="B6" i="49"/>
  <c r="E14" i="49"/>
  <c r="AF3" i="71"/>
  <c r="P24" i="43" s="1"/>
  <c r="B66" i="40" s="1"/>
  <c r="P21" i="43"/>
  <c r="P22" i="43"/>
  <c r="B13" i="49"/>
  <c r="E4" i="4" s="1"/>
  <c r="B5" i="62" s="1"/>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15"/>
  <c r="F31" i="15"/>
  <c r="F31" i="67"/>
  <c r="F59" i="15"/>
  <c r="M17" i="67"/>
  <c r="AE8" i="1"/>
  <c r="D3" i="73"/>
  <c r="D6" i="73"/>
  <c r="D4" i="73"/>
  <c r="C14" i="67"/>
  <c r="C17" i="67"/>
  <c r="D5" i="73"/>
  <c r="G1" i="73" s="1"/>
  <c r="D7" i="73"/>
  <c r="C16" i="15"/>
  <c r="C16" i="67"/>
  <c r="F28" i="12" l="1"/>
  <c r="C29" i="12" s="1"/>
  <c r="D28" i="12" s="1"/>
  <c r="J10" i="40"/>
  <c r="F27" i="11"/>
  <c r="AA29" i="33"/>
  <c r="S29" i="33"/>
  <c r="U29" i="33"/>
  <c r="AB29" i="33"/>
  <c r="U31" i="33"/>
  <c r="AB31" i="33"/>
  <c r="S13" i="33"/>
  <c r="AA13" i="33"/>
  <c r="U44" i="21"/>
  <c r="AB44" i="21"/>
  <c r="W46" i="21"/>
  <c r="AC46" i="21"/>
  <c r="AA44" i="21"/>
  <c r="S44" i="21"/>
  <c r="AA46" i="21"/>
  <c r="S46" i="21"/>
  <c r="U13" i="39"/>
  <c r="AB13" i="39"/>
  <c r="D5" i="43"/>
  <c r="C5" i="43"/>
  <c r="E122" i="3"/>
  <c r="E585" i="3"/>
  <c r="E444" i="3"/>
  <c r="E88" i="3"/>
  <c r="E166" i="3"/>
  <c r="E316" i="3"/>
  <c r="L6" i="3"/>
  <c r="E43" i="3"/>
  <c r="E129" i="3"/>
  <c r="E275" i="3"/>
  <c r="E342" i="3"/>
  <c r="E48" i="3"/>
  <c r="E284" i="3"/>
  <c r="E19" i="3"/>
  <c r="E323" i="3"/>
  <c r="E82" i="3"/>
  <c r="E477" i="3"/>
  <c r="E404" i="3"/>
  <c r="E121" i="3"/>
  <c r="E295" i="3"/>
  <c r="E334" i="3"/>
  <c r="E60" i="3"/>
  <c r="E428" i="3"/>
  <c r="E96" i="3"/>
  <c r="E174" i="3"/>
  <c r="E324" i="3"/>
  <c r="E584" i="3"/>
  <c r="E24" i="3"/>
  <c r="E87" i="3"/>
  <c r="E250" i="3"/>
  <c r="E341" i="3"/>
  <c r="E51" i="3"/>
  <c r="E154" i="3"/>
  <c r="E222" i="3"/>
  <c r="E373" i="3"/>
  <c r="E412" i="3"/>
  <c r="E66" i="3"/>
  <c r="E127" i="3"/>
  <c r="Y6" i="3"/>
  <c r="E179" i="3"/>
  <c r="E21" i="3"/>
  <c r="E309" i="3"/>
  <c r="E264" i="3"/>
  <c r="E81" i="3"/>
  <c r="E68" i="3"/>
  <c r="E355" i="3"/>
  <c r="E184" i="3"/>
  <c r="E33" i="3"/>
  <c r="E84" i="3"/>
  <c r="E492" i="3"/>
  <c r="E235" i="3"/>
  <c r="E190" i="3"/>
  <c r="E18" i="3"/>
  <c r="E488" i="3"/>
  <c r="E42" i="3"/>
  <c r="E377" i="3"/>
  <c r="E211" i="3"/>
  <c r="E70" i="3"/>
  <c r="E489" i="3"/>
  <c r="E478" i="3"/>
  <c r="E83" i="3"/>
  <c r="E22" i="3"/>
  <c r="E326" i="3"/>
  <c r="E308" i="3"/>
  <c r="E287" i="3"/>
  <c r="E158" i="3"/>
  <c r="E113" i="3"/>
  <c r="E80" i="3"/>
  <c r="E102" i="3"/>
  <c r="AF6" i="3"/>
  <c r="E370" i="3"/>
  <c r="E251" i="3"/>
  <c r="E232" i="3"/>
  <c r="E206" i="3"/>
  <c r="E49" i="3"/>
  <c r="E34" i="3"/>
  <c r="E86" i="3"/>
  <c r="E35" i="3"/>
  <c r="E522" i="3"/>
  <c r="E325" i="3"/>
  <c r="E299" i="3"/>
  <c r="E234" i="3"/>
  <c r="E137" i="3"/>
  <c r="E100" i="3"/>
  <c r="E79" i="3"/>
  <c r="E15" i="3"/>
  <c r="E409" i="3"/>
  <c r="E32" i="3"/>
  <c r="E74" i="3"/>
  <c r="E580" i="3"/>
  <c r="E317" i="3"/>
  <c r="E291" i="3"/>
  <c r="E272" i="3"/>
  <c r="E126" i="3"/>
  <c r="E92" i="3"/>
  <c r="E71" i="3"/>
  <c r="E546" i="3"/>
  <c r="E403" i="3"/>
  <c r="E414" i="3"/>
  <c r="E107" i="3"/>
  <c r="E207" i="3"/>
  <c r="E379" i="3"/>
  <c r="E411" i="3"/>
  <c r="E432" i="3"/>
  <c r="E547" i="3"/>
  <c r="E435" i="3"/>
  <c r="E491" i="3"/>
  <c r="E417" i="3"/>
  <c r="E479" i="3"/>
  <c r="E56" i="3"/>
  <c r="E37" i="3"/>
  <c r="E95" i="3"/>
  <c r="E152" i="3"/>
  <c r="E132" i="3"/>
  <c r="E192" i="3"/>
  <c r="E258" i="3"/>
  <c r="E241" i="3"/>
  <c r="E292" i="3"/>
  <c r="E363" i="3"/>
  <c r="E349" i="3"/>
  <c r="E389" i="3"/>
  <c r="AM6" i="3"/>
  <c r="E30" i="3"/>
  <c r="E44" i="3"/>
  <c r="E109" i="3"/>
  <c r="E29" i="3"/>
  <c r="E480" i="3"/>
  <c r="E441" i="3"/>
  <c r="E484" i="3"/>
  <c r="E425" i="3"/>
  <c r="E467" i="3"/>
  <c r="E64" i="3"/>
  <c r="E46" i="3"/>
  <c r="E103" i="3"/>
  <c r="E160" i="3"/>
  <c r="E142" i="3"/>
  <c r="E200" i="3"/>
  <c r="E267" i="3"/>
  <c r="E249" i="3"/>
  <c r="E300" i="3"/>
  <c r="E371" i="3"/>
  <c r="E310" i="3"/>
  <c r="E134" i="3"/>
  <c r="E269" i="3"/>
  <c r="E252" i="3"/>
  <c r="E164" i="3"/>
  <c r="E576" i="3"/>
  <c r="AG6" i="3"/>
  <c r="E448" i="3"/>
  <c r="P6" i="3"/>
  <c r="E443" i="3"/>
  <c r="E558" i="3"/>
  <c r="E581"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17" i="3"/>
  <c r="E554" i="3"/>
  <c r="AP6" i="3"/>
  <c r="I3" i="6"/>
  <c r="E255" i="3"/>
  <c r="E449" i="3"/>
  <c r="E430" i="3"/>
  <c r="E541" i="3"/>
  <c r="E466" i="3"/>
  <c r="E442" i="3"/>
  <c r="E502" i="3"/>
  <c r="R6" i="3"/>
  <c r="E499" i="3"/>
  <c r="E575" i="3"/>
  <c r="E286" i="3"/>
  <c r="E199" i="3"/>
  <c r="E253" i="3"/>
  <c r="E77" i="3"/>
  <c r="E157" i="3"/>
  <c r="E228"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513" i="3"/>
  <c r="E283" i="3"/>
  <c r="E118" i="3"/>
  <c r="E63" i="3"/>
  <c r="E381" i="3"/>
  <c r="E233" i="3"/>
  <c r="E144" i="3"/>
  <c r="E67" i="3"/>
  <c r="E23" i="3"/>
  <c r="E383" i="3"/>
  <c r="E220" i="3"/>
  <c r="E78" i="3"/>
  <c r="E482" i="3"/>
  <c r="E94" i="3"/>
  <c r="E572" i="3"/>
  <c r="E273" i="3"/>
  <c r="E182" i="3"/>
  <c r="E28" i="3"/>
  <c r="AS6" i="3"/>
  <c r="E271" i="3"/>
  <c r="E101" i="3"/>
  <c r="E524" i="3"/>
  <c r="E365" i="3"/>
  <c r="E265" i="3"/>
  <c r="E218" i="3"/>
  <c r="E176" i="3"/>
  <c r="E62" i="3"/>
  <c r="E20" i="3"/>
  <c r="E50" i="3"/>
  <c r="E364" i="3"/>
  <c r="E340" i="3"/>
  <c r="E289" i="3"/>
  <c r="E147" i="3"/>
  <c r="E123" i="3"/>
  <c r="E112" i="3"/>
  <c r="E36" i="3"/>
  <c r="E52" i="3"/>
  <c r="AQ6" i="3"/>
  <c r="E392" i="3"/>
  <c r="E339" i="3"/>
  <c r="E219" i="3"/>
  <c r="E194" i="3"/>
  <c r="E170" i="3"/>
  <c r="E38" i="3"/>
  <c r="E455" i="3"/>
  <c r="E473" i="3"/>
  <c r="E75" i="3"/>
  <c r="E93" i="3"/>
  <c r="E31" i="3"/>
  <c r="E384" i="3"/>
  <c r="E331" i="3"/>
  <c r="E210" i="3"/>
  <c r="E186" i="3"/>
  <c r="E162" i="3"/>
  <c r="E27" i="3"/>
  <c r="E447" i="3"/>
  <c r="E476" i="3"/>
  <c r="E505" i="3"/>
  <c r="E515" i="3"/>
  <c r="E148" i="3"/>
  <c r="E145" i="3"/>
  <c r="U6" i="3"/>
  <c r="E548" i="3"/>
  <c r="E367" i="3"/>
  <c r="E413" i="3"/>
  <c r="E460" i="3"/>
  <c r="E520" i="3"/>
  <c r="E436" i="3"/>
  <c r="E39" i="3"/>
  <c r="E90" i="3"/>
  <c r="E57" i="3"/>
  <c r="E131" i="3"/>
  <c r="E187" i="3"/>
  <c r="E155" i="3"/>
  <c r="E240" i="3"/>
  <c r="E297" i="3"/>
  <c r="E259" i="3"/>
  <c r="E348" i="3"/>
  <c r="E378" i="3"/>
  <c r="E375" i="3"/>
  <c r="E504" i="3"/>
  <c r="E544" i="3"/>
  <c r="E58" i="3"/>
  <c r="E76" i="3"/>
  <c r="E110" i="3"/>
  <c r="E59" i="3"/>
  <c r="E540" i="3"/>
  <c r="E462" i="3"/>
  <c r="E521" i="3"/>
  <c r="E446" i="3"/>
  <c r="E47" i="3"/>
  <c r="E98" i="3"/>
  <c r="E65" i="3"/>
  <c r="E138" i="3"/>
  <c r="E195" i="3"/>
  <c r="E163" i="3"/>
  <c r="E248" i="3"/>
  <c r="E209" i="3"/>
  <c r="E266" i="3"/>
  <c r="E307" i="3"/>
  <c r="E386" i="3"/>
  <c r="E354" i="3"/>
  <c r="E236" i="3"/>
  <c r="E89" i="3"/>
  <c r="E204" i="3"/>
  <c r="E327" i="3"/>
  <c r="Z6" i="3"/>
  <c r="AO6" i="3"/>
  <c r="E485" i="3"/>
  <c r="E400" i="3"/>
  <c r="E345" i="3"/>
  <c r="E557" i="3"/>
  <c r="E531"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E582" i="3"/>
  <c r="E500" i="3"/>
  <c r="E566" i="3"/>
  <c r="E374" i="3"/>
  <c r="E459" i="3"/>
  <c r="E416" i="3"/>
  <c r="E398" i="3"/>
  <c r="E487" i="3"/>
  <c r="E464" i="3"/>
  <c r="E421" i="3"/>
  <c r="E552" i="3"/>
  <c r="E542" i="3"/>
  <c r="AD6" i="3"/>
  <c r="E312" i="3"/>
  <c r="E141" i="3"/>
  <c r="E167" i="3"/>
  <c r="E212" i="3"/>
  <c r="E149" i="3"/>
  <c r="E181" i="3"/>
  <c r="E188"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5" i="71"/>
  <c r="V6" i="71"/>
  <c r="C8" i="71"/>
  <c r="D9" i="71"/>
  <c r="F52" i="71"/>
  <c r="Q53" i="71"/>
  <c r="AC38" i="40"/>
  <c r="W38" i="40"/>
  <c r="AB24" i="36"/>
  <c r="U24" i="36"/>
  <c r="U12" i="36"/>
  <c r="AB12" i="36"/>
  <c r="AB19" i="21"/>
  <c r="U19" i="21"/>
  <c r="S11" i="36"/>
  <c r="AA11" i="36"/>
  <c r="AC11" i="36"/>
  <c r="W11" i="36"/>
  <c r="U23" i="35"/>
  <c r="AB23" i="35"/>
  <c r="S28" i="34"/>
  <c r="AA28" i="34"/>
  <c r="AC9" i="34"/>
  <c r="W9" i="34"/>
  <c r="G123" i="21"/>
  <c r="H123" i="21" s="1"/>
  <c r="I123" i="21" s="1"/>
  <c r="J123" i="21" s="1"/>
  <c r="K123" i="21" s="1"/>
  <c r="L123" i="21" s="1"/>
  <c r="M123" i="21" s="1"/>
  <c r="J42" i="21"/>
  <c r="H42" i="21"/>
  <c r="AC31" i="21"/>
  <c r="W31" i="21"/>
  <c r="AC28" i="21"/>
  <c r="W28" i="21"/>
  <c r="AB28" i="21"/>
  <c r="U28" i="21"/>
  <c r="AC26" i="35"/>
  <c r="W26" i="35"/>
  <c r="AB26" i="35"/>
  <c r="U26" i="35"/>
  <c r="U39" i="40"/>
  <c r="AB39" i="40"/>
  <c r="S40" i="37"/>
  <c r="AA40" i="37"/>
  <c r="AB40" i="37"/>
  <c r="U40" i="37"/>
  <c r="AC9" i="35"/>
  <c r="W9" i="35"/>
  <c r="AB39" i="33"/>
  <c r="U39" i="33"/>
  <c r="W28" i="33"/>
  <c r="AC28" i="33"/>
  <c r="G77" i="33"/>
  <c r="F15" i="33"/>
  <c r="AC9" i="33"/>
  <c r="W9" i="33"/>
  <c r="AA17" i="21"/>
  <c r="S17" i="21"/>
  <c r="S15" i="21"/>
  <c r="AA15" i="21"/>
  <c r="AA45" i="21"/>
  <c r="S45" i="21"/>
  <c r="AC30" i="21"/>
  <c r="W30" i="21"/>
  <c r="U30" i="21"/>
  <c r="AB30" i="21"/>
  <c r="S14" i="21"/>
  <c r="AA14" i="21"/>
  <c r="AC9" i="21"/>
  <c r="W9" i="21"/>
  <c r="F63" i="40"/>
  <c r="E65" i="40"/>
  <c r="S10" i="40"/>
  <c r="F30" i="6"/>
  <c r="J11" i="39"/>
  <c r="B5" i="71"/>
  <c r="S6" i="71"/>
  <c r="O52" i="71"/>
  <c r="O51" i="71"/>
  <c r="D52" i="71"/>
  <c r="AB38" i="40"/>
  <c r="U38" i="40"/>
  <c r="S38" i="40"/>
  <c r="AA38" i="40"/>
  <c r="AC24" i="36"/>
  <c r="W24" i="36"/>
  <c r="AC12" i="36"/>
  <c r="W12" i="36"/>
  <c r="AZ493" i="3"/>
  <c r="AZ5" i="3" s="1"/>
  <c r="BA5" i="3"/>
  <c r="E8" i="6"/>
  <c r="E10" i="6"/>
  <c r="E11" i="6"/>
  <c r="E5" i="6"/>
  <c r="E14" i="6"/>
  <c r="AB11" i="36"/>
  <c r="U11" i="36"/>
  <c r="AC23" i="35"/>
  <c r="W23" i="35"/>
  <c r="AC28" i="34"/>
  <c r="W28" i="34"/>
  <c r="AB9" i="34"/>
  <c r="U9" i="34"/>
  <c r="F42" i="21"/>
  <c r="S31" i="21"/>
  <c r="AA31" i="21"/>
  <c r="U31" i="21"/>
  <c r="AB31" i="21"/>
  <c r="S28" i="21"/>
  <c r="AA28" i="21"/>
  <c r="AZ558" i="3"/>
  <c r="AZ577" i="3"/>
  <c r="F26" i="35"/>
  <c r="AA39" i="40"/>
  <c r="S39" i="40"/>
  <c r="W39" i="40"/>
  <c r="AC39" i="40"/>
  <c r="AA23" i="39"/>
  <c r="S23" i="39"/>
  <c r="AC23" i="39"/>
  <c r="W23" i="39"/>
  <c r="W40" i="37"/>
  <c r="AC40" i="37"/>
  <c r="AA9" i="35"/>
  <c r="S9" i="35"/>
  <c r="AA43" i="33"/>
  <c r="S43" i="33"/>
  <c r="U28" i="33"/>
  <c r="AB28" i="33"/>
  <c r="T48" i="33" s="1"/>
  <c r="G48" i="33" s="1"/>
  <c r="J15" i="33"/>
  <c r="U37" i="21"/>
  <c r="AB37" i="21"/>
  <c r="G79" i="21"/>
  <c r="J17" i="21"/>
  <c r="H17" i="21"/>
  <c r="G77" i="21"/>
  <c r="J15" i="21"/>
  <c r="H15" i="21"/>
  <c r="W45" i="21"/>
  <c r="AC45" i="21"/>
  <c r="S30" i="21"/>
  <c r="AA30" i="21"/>
  <c r="U14" i="21"/>
  <c r="AB14" i="21"/>
  <c r="W14" i="21"/>
  <c r="AC14" i="21"/>
  <c r="S12" i="37"/>
  <c r="AA12" i="37"/>
  <c r="AZ496" i="3"/>
  <c r="AZ498" i="3"/>
  <c r="AZ504" i="3"/>
  <c r="AZ511" i="3"/>
  <c r="AZ515" i="3"/>
  <c r="AZ519" i="3"/>
  <c r="H10" i="39"/>
  <c r="F10" i="39"/>
  <c r="B73" i="72"/>
  <c r="AA15" i="39"/>
  <c r="S15" i="39"/>
  <c r="H11" i="39"/>
  <c r="H81" i="39"/>
  <c r="I81" i="39" s="1"/>
  <c r="J81" i="39" s="1"/>
  <c r="K81" i="39" s="1"/>
  <c r="L81" i="39" s="1"/>
  <c r="M81" i="39" s="1"/>
  <c r="F11" i="39"/>
  <c r="W11" i="39"/>
  <c r="AC11" i="39"/>
  <c r="AC42" i="33"/>
  <c r="W42" i="33"/>
  <c r="W11" i="21"/>
  <c r="AC11" i="21"/>
  <c r="U11" i="21"/>
  <c r="AB11" i="21"/>
  <c r="S11" i="21"/>
  <c r="AA11" i="21"/>
  <c r="E20" i="43"/>
  <c r="M28" i="43" s="1"/>
  <c r="K4" i="4"/>
  <c r="B46" i="48" s="1"/>
  <c r="B4" i="62"/>
  <c r="Q52" i="15"/>
  <c r="C47" i="68"/>
  <c r="D45" i="68" s="1"/>
  <c r="C48" i="68"/>
  <c r="C30" i="69"/>
  <c r="C29" i="69"/>
  <c r="D27" i="69" s="1"/>
  <c r="O7" i="1"/>
  <c r="P7" i="1" s="1"/>
  <c r="AC10" i="39"/>
  <c r="W10" i="39"/>
  <c r="E58" i="40"/>
  <c r="E63" i="39"/>
  <c r="M14" i="1"/>
  <c r="C34" i="69"/>
  <c r="E29" i="6"/>
  <c r="K15" i="1" s="1"/>
  <c r="K16" i="1" s="1"/>
  <c r="E30" i="6"/>
  <c r="E27" i="6"/>
  <c r="K21" i="6" s="1"/>
  <c r="H6" i="3"/>
  <c r="AC6" i="3"/>
  <c r="C47" i="11"/>
  <c r="D45" i="11" s="1"/>
  <c r="C29" i="11"/>
  <c r="D27" i="11" s="1"/>
  <c r="P8" i="1"/>
  <c r="D3" i="33"/>
  <c r="D3" i="2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H102" i="43"/>
  <c r="H103" i="43"/>
  <c r="H104" i="43"/>
  <c r="H109" i="43"/>
  <c r="H106" i="43"/>
  <c r="H107" i="43"/>
  <c r="H105" i="43"/>
  <c r="N103" i="43"/>
  <c r="N106" i="43"/>
  <c r="N107" i="43"/>
  <c r="N102" i="43"/>
  <c r="N105" i="43"/>
  <c r="N104" i="43"/>
  <c r="N109" i="43"/>
  <c r="K107" i="43"/>
  <c r="K104" i="43"/>
  <c r="K106" i="43"/>
  <c r="K103" i="43"/>
  <c r="K102" i="43"/>
  <c r="K105" i="43"/>
  <c r="K109" i="43"/>
  <c r="F46" i="36"/>
  <c r="H59" i="34"/>
  <c r="AC10" i="40"/>
  <c r="W10" i="40"/>
  <c r="AB10" i="40"/>
  <c r="U10" i="40"/>
  <c r="G48" i="35"/>
  <c r="E58" i="21"/>
  <c r="F58" i="21" s="1"/>
  <c r="G58" i="21" s="1"/>
  <c r="H58" i="21" s="1"/>
  <c r="I58" i="21" s="1"/>
  <c r="J58" i="21" s="1"/>
  <c r="K58" i="21" s="1"/>
  <c r="L58" i="21" s="1"/>
  <c r="M58" i="21" s="1"/>
  <c r="N58" i="21" s="1"/>
  <c r="O58" i="21" s="1"/>
  <c r="J7" i="21"/>
  <c r="H52" i="37"/>
  <c r="U10" i="39"/>
  <c r="AB10" i="39"/>
  <c r="AA10" i="39"/>
  <c r="S10" i="39"/>
  <c r="D70" i="39"/>
  <c r="E68" i="39"/>
  <c r="P23" i="43"/>
  <c r="B71" i="39" s="1"/>
  <c r="P25" i="43"/>
  <c r="C49" i="67"/>
  <c r="C49" i="15"/>
  <c r="B40" i="1"/>
  <c r="C18" i="67"/>
  <c r="C15" i="67"/>
  <c r="M11" i="15"/>
  <c r="J10" i="15" s="1"/>
  <c r="J5" i="15" s="1"/>
  <c r="F11" i="67"/>
  <c r="F11" i="15"/>
  <c r="M11" i="67"/>
  <c r="J10" i="67" s="1"/>
  <c r="J5" i="67" s="1"/>
  <c r="Q73" i="67"/>
  <c r="Q60" i="67"/>
  <c r="Q60" i="15"/>
  <c r="Q73" i="15"/>
  <c r="Q74" i="15"/>
  <c r="Q61" i="15"/>
  <c r="Q61" i="67"/>
  <c r="Q74" i="67"/>
  <c r="F41" i="15"/>
  <c r="N28" i="43" l="1"/>
  <c r="P28" i="43"/>
  <c r="G52" i="33"/>
  <c r="H52" i="33" s="1"/>
  <c r="E3" i="6"/>
  <c r="AY6" i="3"/>
  <c r="L19" i="6"/>
  <c r="L22" i="6"/>
  <c r="W15" i="21"/>
  <c r="AC15" i="21"/>
  <c r="AB17" i="21"/>
  <c r="U17" i="21"/>
  <c r="AA26" i="35"/>
  <c r="S26" i="35"/>
  <c r="E64" i="39"/>
  <c r="E59" i="40"/>
  <c r="E56" i="40"/>
  <c r="E61" i="39"/>
  <c r="E51" i="40"/>
  <c r="F27" i="6"/>
  <c r="F31" i="6" s="1"/>
  <c r="E56" i="39"/>
  <c r="E16" i="6"/>
  <c r="AA15" i="33"/>
  <c r="R48" i="33" s="1"/>
  <c r="E48" i="33" s="1"/>
  <c r="S15" i="33"/>
  <c r="U42" i="21"/>
  <c r="AB42" i="21"/>
  <c r="Q52" i="71"/>
  <c r="Q51" i="71"/>
  <c r="D8" i="71"/>
  <c r="C7" i="71"/>
  <c r="E66" i="39"/>
  <c r="U15" i="21"/>
  <c r="AB15" i="21"/>
  <c r="W17" i="21"/>
  <c r="AC17" i="21"/>
  <c r="AC15" i="33"/>
  <c r="V48" i="33" s="1"/>
  <c r="I48" i="33" s="1"/>
  <c r="I52" i="33" s="1"/>
  <c r="J52" i="33" s="1"/>
  <c r="W15" i="33"/>
  <c r="AA42" i="21"/>
  <c r="S42" i="21"/>
  <c r="D9" i="11"/>
  <c r="C9" i="11" s="1"/>
  <c r="D9" i="68"/>
  <c r="C9" i="68" s="1"/>
  <c r="D9" i="69"/>
  <c r="C9" i="69" s="1"/>
  <c r="D19" i="12"/>
  <c r="C19" i="12" s="1"/>
  <c r="G63" i="40"/>
  <c r="F65" i="40"/>
  <c r="AC42" i="21"/>
  <c r="W42" i="21"/>
  <c r="B4" i="72"/>
  <c r="B71" i="72"/>
  <c r="AA11" i="39"/>
  <c r="S11" i="39"/>
  <c r="U11" i="39"/>
  <c r="AB11" i="39"/>
  <c r="O28" i="43"/>
  <c r="F69" i="15"/>
  <c r="M21" i="6"/>
  <c r="I21" i="6" s="1"/>
  <c r="S21" i="6" s="1"/>
  <c r="S8" i="1"/>
  <c r="K19" i="6"/>
  <c r="K23" i="6"/>
  <c r="M23" i="6" s="1"/>
  <c r="I23" i="6" s="1"/>
  <c r="S23" i="6" s="1"/>
  <c r="E31" i="6"/>
  <c r="K22" i="6"/>
  <c r="C38" i="69"/>
  <c r="C35" i="69"/>
  <c r="O14" i="1"/>
  <c r="M16" i="1"/>
  <c r="K24" i="6"/>
  <c r="M24" i="6" s="1"/>
  <c r="I24" i="6" s="1"/>
  <c r="S24" i="6" s="1"/>
  <c r="K25" i="6"/>
  <c r="M25" i="6" s="1"/>
  <c r="I25" i="6" s="1"/>
  <c r="S25" i="6" s="1"/>
  <c r="K20" i="6"/>
  <c r="K26" i="6"/>
  <c r="M26" i="6" s="1"/>
  <c r="I26" i="6" s="1"/>
  <c r="S26" i="6" s="1"/>
  <c r="E6" i="3"/>
  <c r="C115" i="43"/>
  <c r="D113" i="43" s="1"/>
  <c r="S2" i="43"/>
  <c r="C23" i="43"/>
  <c r="C21" i="43" s="1"/>
  <c r="S7" i="43"/>
  <c r="S3" i="43"/>
  <c r="S5" i="43"/>
  <c r="S4" i="43"/>
  <c r="S6" i="43"/>
  <c r="H7" i="21"/>
  <c r="H48" i="35"/>
  <c r="F7" i="21"/>
  <c r="F68" i="39"/>
  <c r="E70" i="39"/>
  <c r="I52" i="37"/>
  <c r="J52" i="37" s="1"/>
  <c r="K52" i="37" s="1"/>
  <c r="L52" i="37" s="1"/>
  <c r="M52" i="37" s="1"/>
  <c r="N52" i="37" s="1"/>
  <c r="O52" i="37" s="1"/>
  <c r="F7" i="37"/>
  <c r="AC7" i="21"/>
  <c r="W7" i="21"/>
  <c r="I59" i="34"/>
  <c r="J59" i="34" s="1"/>
  <c r="K59" i="34" s="1"/>
  <c r="L59" i="34" s="1"/>
  <c r="M59" i="34" s="1"/>
  <c r="N59" i="34" s="1"/>
  <c r="O59" i="34" s="1"/>
  <c r="H7" i="34"/>
  <c r="G46" i="36"/>
  <c r="H46" i="36" s="1"/>
  <c r="I46" i="36" s="1"/>
  <c r="J46" i="36" s="1"/>
  <c r="K46" i="36" s="1"/>
  <c r="L46" i="36" s="1"/>
  <c r="M46" i="36" s="1"/>
  <c r="N46" i="36" s="1"/>
  <c r="O46" i="36" s="1"/>
  <c r="F7" i="36"/>
  <c r="J7" i="36"/>
  <c r="H7" i="37"/>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7" i="15"/>
  <c r="L27" i="6" l="1"/>
  <c r="R49" i="33"/>
  <c r="H63" i="40"/>
  <c r="G65" i="40"/>
  <c r="C6" i="71"/>
  <c r="D7" i="71"/>
  <c r="AY83" i="3"/>
  <c r="AY66" i="3"/>
  <c r="AY23" i="3"/>
  <c r="AY176" i="3"/>
  <c r="AY155" i="3"/>
  <c r="AY115" i="3"/>
  <c r="AY59" i="3"/>
  <c r="AY188" i="3"/>
  <c r="AY131" i="3"/>
  <c r="AY276" i="3"/>
  <c r="AY58" i="3"/>
  <c r="AY297" i="3"/>
  <c r="AY268" i="3"/>
  <c r="AY225" i="3"/>
  <c r="AY371" i="3"/>
  <c r="AY67" i="3"/>
  <c r="AY196" i="3"/>
  <c r="AY139" i="3"/>
  <c r="AY74" i="3"/>
  <c r="AY123" i="3"/>
  <c r="AY204" i="3"/>
  <c r="AY252"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8" i="3"/>
  <c r="AY90" i="3"/>
  <c r="AY75" i="3"/>
  <c r="AY387"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523" i="3"/>
  <c r="AY81" i="3"/>
  <c r="AY64" i="3"/>
  <c r="AY191" i="3"/>
  <c r="AY31" i="3"/>
  <c r="AY14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87" i="3"/>
  <c r="AY51" i="3"/>
  <c r="AY34" i="3"/>
  <c r="AY207" i="3"/>
  <c r="AY144" i="3"/>
  <c r="AY124" i="3"/>
  <c r="AY95" i="3"/>
  <c r="AY42" i="3"/>
  <c r="AY152" i="3"/>
  <c r="AY281" i="3"/>
  <c r="AY111" i="3"/>
  <c r="AY168" i="3"/>
  <c r="AY253" i="3"/>
  <c r="AY236" i="3"/>
  <c r="AY382" i="3"/>
  <c r="AY103" i="3"/>
  <c r="AY50" i="3"/>
  <c r="AY160" i="3"/>
  <c r="AY289" i="3"/>
  <c r="AY183" i="3"/>
  <c r="AY261" i="3"/>
  <c r="AY284" i="3"/>
  <c r="AY209"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98" i="3"/>
  <c r="AY171" i="3"/>
  <c r="AY163" i="3"/>
  <c r="AY237"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77" i="3"/>
  <c r="AY112" i="3"/>
  <c r="AY49" i="3"/>
  <c r="AY82" i="3"/>
  <c r="AY132" i="3"/>
  <c r="AY292" i="3"/>
  <c r="AY220"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G53" i="33"/>
  <c r="H53" i="33" s="1"/>
  <c r="C33" i="21"/>
  <c r="D3" i="34"/>
  <c r="E6" i="6"/>
  <c r="L18" i="9"/>
  <c r="D14" i="12"/>
  <c r="D17" i="12" s="1"/>
  <c r="C17" i="12" s="1"/>
  <c r="M18" i="9"/>
  <c r="B118" i="9" s="1"/>
  <c r="B14" i="74" s="1"/>
  <c r="B1" i="74" s="1"/>
  <c r="C17" i="4"/>
  <c r="B4" i="52" s="1"/>
  <c r="B43" i="72" s="1"/>
  <c r="D3" i="37"/>
  <c r="D19" i="11"/>
  <c r="C19" i="11" s="1"/>
  <c r="C20" i="11" s="1"/>
  <c r="C28" i="11" s="1"/>
  <c r="C27" i="11" s="1"/>
  <c r="D37" i="11"/>
  <c r="M22" i="6"/>
  <c r="I22" i="6" s="1"/>
  <c r="S22" i="6" s="1"/>
  <c r="S9" i="1"/>
  <c r="H23" i="6"/>
  <c r="H25" i="6"/>
  <c r="H22" i="6"/>
  <c r="E8" i="70"/>
  <c r="E2" i="70" s="1"/>
  <c r="C49" i="33"/>
  <c r="C48" i="33"/>
  <c r="E53" i="33"/>
  <c r="F53" i="33" s="1"/>
  <c r="E52" i="33"/>
  <c r="F52" i="33" s="1"/>
  <c r="I53" i="33"/>
  <c r="J53" i="33" s="1"/>
  <c r="K27" i="6"/>
  <c r="H26" i="6"/>
  <c r="M20" i="6"/>
  <c r="I20" i="6" s="1"/>
  <c r="S20" i="6" s="1"/>
  <c r="S7" i="1"/>
  <c r="AQ8" i="1"/>
  <c r="T8" i="1"/>
  <c r="AR8" i="1"/>
  <c r="M19" i="6"/>
  <c r="S6" i="1"/>
  <c r="H24" i="6"/>
  <c r="P14" i="1"/>
  <c r="P16" i="1" s="1"/>
  <c r="C11" i="12" s="1"/>
  <c r="O16" i="1"/>
  <c r="N16" i="1"/>
  <c r="L16" i="1"/>
  <c r="H20" i="6"/>
  <c r="AC7" i="36"/>
  <c r="V36" i="36" s="1"/>
  <c r="I36" i="36" s="1"/>
  <c r="W7" i="36"/>
  <c r="J7" i="34"/>
  <c r="G68" i="39"/>
  <c r="F70" i="39"/>
  <c r="I48" i="35"/>
  <c r="H7" i="36"/>
  <c r="F7" i="34"/>
  <c r="AB7" i="37"/>
  <c r="T42" i="37" s="1"/>
  <c r="G42" i="37" s="1"/>
  <c r="U7" i="37"/>
  <c r="S7" i="36"/>
  <c r="AA7" i="36"/>
  <c r="R36" i="36" s="1"/>
  <c r="U7" i="34"/>
  <c r="AB7" i="34"/>
  <c r="T49" i="34" s="1"/>
  <c r="G49" i="34" s="1"/>
  <c r="AA7" i="37"/>
  <c r="R42" i="37" s="1"/>
  <c r="S7" i="37"/>
  <c r="AA7" i="21"/>
  <c r="S7" i="21"/>
  <c r="AB7" i="21"/>
  <c r="U7" i="21"/>
  <c r="J7" i="37"/>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4" i="15"/>
  <c r="C8" i="74" l="1"/>
  <c r="C7" i="74"/>
  <c r="C38" i="39"/>
  <c r="D25" i="6"/>
  <c r="R25" i="6" s="1"/>
  <c r="D22" i="6"/>
  <c r="R22" i="6" s="1"/>
  <c r="R9" i="1" s="1"/>
  <c r="D24" i="6"/>
  <c r="R24" i="6" s="1"/>
  <c r="D5" i="6"/>
  <c r="D11" i="6"/>
  <c r="D28" i="6"/>
  <c r="H21" i="6"/>
  <c r="D26" i="6"/>
  <c r="R26" i="6" s="1"/>
  <c r="D14" i="6"/>
  <c r="D10" i="6"/>
  <c r="D19" i="6"/>
  <c r="D23" i="6"/>
  <c r="R23" i="6" s="1"/>
  <c r="L19" i="9"/>
  <c r="D15" i="6"/>
  <c r="D21" i="6"/>
  <c r="R21" i="6" s="1"/>
  <c r="R8" i="1" s="1"/>
  <c r="D20" i="6"/>
  <c r="R20" i="6" s="1"/>
  <c r="R7" i="1" s="1"/>
  <c r="D12" i="6"/>
  <c r="D13" i="6"/>
  <c r="E61" i="40"/>
  <c r="M19" i="9"/>
  <c r="C118" i="9" s="1"/>
  <c r="C14" i="74" s="1"/>
  <c r="B2" i="74" s="1"/>
  <c r="D8" i="6"/>
  <c r="D6" i="6"/>
  <c r="D29" i="6"/>
  <c r="C18" i="4"/>
  <c r="D9" i="6"/>
  <c r="C5" i="71"/>
  <c r="D5" i="71" s="1"/>
  <c r="T6" i="71"/>
  <c r="D6" i="71"/>
  <c r="I63" i="40"/>
  <c r="H65" i="40"/>
  <c r="B2" i="33"/>
  <c r="D6" i="12"/>
  <c r="D10" i="11"/>
  <c r="C10" i="11" s="1"/>
  <c r="D10" i="68"/>
  <c r="D20" i="12"/>
  <c r="C20" i="12" s="1"/>
  <c r="C18" i="12" s="1"/>
  <c r="D10" i="69"/>
  <c r="F33" i="21"/>
  <c r="J33" i="21"/>
  <c r="H33" i="21"/>
  <c r="AR9" i="1"/>
  <c r="AQ9" i="1"/>
  <c r="T9" i="1"/>
  <c r="B3" i="33"/>
  <c r="D8" i="12"/>
  <c r="C18" i="15"/>
  <c r="C15" i="15"/>
  <c r="F11" i="12"/>
  <c r="F34" i="11"/>
  <c r="F34" i="68"/>
  <c r="AQ6" i="1"/>
  <c r="AR6" i="1"/>
  <c r="S16" i="1"/>
  <c r="T6" i="1"/>
  <c r="I19" i="6"/>
  <c r="M27" i="6"/>
  <c r="AR7" i="1"/>
  <c r="AQ7" i="1"/>
  <c r="T7" i="1"/>
  <c r="F50" i="69"/>
  <c r="F50" i="11"/>
  <c r="F50" i="68"/>
  <c r="C15" i="12"/>
  <c r="C12" i="12"/>
  <c r="C19" i="69"/>
  <c r="C24" i="69" s="1"/>
  <c r="C19" i="68"/>
  <c r="G53" i="34"/>
  <c r="H53" i="34" s="1"/>
  <c r="E36" i="36"/>
  <c r="R37" i="36"/>
  <c r="S7" i="34"/>
  <c r="AA7" i="34"/>
  <c r="R49" i="34" s="1"/>
  <c r="H68" i="39"/>
  <c r="G70" i="39"/>
  <c r="W7" i="34"/>
  <c r="AC7" i="34"/>
  <c r="V49" i="34" s="1"/>
  <c r="I49" i="34" s="1"/>
  <c r="I41" i="36"/>
  <c r="J41" i="36" s="1"/>
  <c r="I40" i="36"/>
  <c r="J40" i="36" s="1"/>
  <c r="W7" i="37"/>
  <c r="AC7" i="37"/>
  <c r="V42" i="37" s="1"/>
  <c r="I42" i="37" s="1"/>
  <c r="E42" i="37"/>
  <c r="R43" i="37"/>
  <c r="G46" i="37"/>
  <c r="H46" i="37" s="1"/>
  <c r="G47" i="37"/>
  <c r="H47" i="37" s="1"/>
  <c r="U7" i="36"/>
  <c r="AB7" i="36"/>
  <c r="T36" i="36" s="1"/>
  <c r="G36" i="36" s="1"/>
  <c r="J48" i="35"/>
  <c r="C33" i="15"/>
  <c r="J59" i="15"/>
  <c r="J60" i="15" s="1"/>
  <c r="C22" i="11"/>
  <c r="C31" i="11" s="1"/>
  <c r="C33" i="67"/>
  <c r="C31" i="67" s="1"/>
  <c r="J14" i="67"/>
  <c r="C57" i="67"/>
  <c r="C13" i="67"/>
  <c r="J19" i="67"/>
  <c r="J17" i="67" s="1"/>
  <c r="Q49" i="67"/>
  <c r="C36" i="67"/>
  <c r="J59" i="67"/>
  <c r="J60" i="67" s="1"/>
  <c r="M21" i="15"/>
  <c r="F35" i="15"/>
  <c r="J20" i="15" l="1"/>
  <c r="F63" i="15"/>
  <c r="C62" i="15" s="1"/>
  <c r="C34" i="15"/>
  <c r="C31" i="15" s="1"/>
  <c r="AB33" i="21"/>
  <c r="T48" i="21" s="1"/>
  <c r="G48" i="21" s="1"/>
  <c r="U33" i="21"/>
  <c r="AA33" i="21"/>
  <c r="R48" i="21" s="1"/>
  <c r="S33" i="21"/>
  <c r="J63" i="40"/>
  <c r="I65" i="40"/>
  <c r="D16" i="6"/>
  <c r="D27" i="6"/>
  <c r="W33" i="21"/>
  <c r="AC33" i="21"/>
  <c r="V48" i="21" s="1"/>
  <c r="I48" i="21" s="1"/>
  <c r="I52" i="21" s="1"/>
  <c r="J52" i="21" s="1"/>
  <c r="D19" i="69"/>
  <c r="D37" i="69" s="1"/>
  <c r="C37" i="69" s="1"/>
  <c r="C33" i="69" s="1"/>
  <c r="C42" i="69" s="1"/>
  <c r="C10" i="69"/>
  <c r="C8" i="69" s="1"/>
  <c r="C5" i="69" s="1"/>
  <c r="C23" i="69" s="1"/>
  <c r="C10" i="68"/>
  <c r="D19" i="68"/>
  <c r="D37" i="68" s="1"/>
  <c r="C37" i="68" s="1"/>
  <c r="M20" i="43"/>
  <c r="C19" i="43" s="1"/>
  <c r="U6" i="71"/>
  <c r="A7" i="51"/>
  <c r="B7" i="72" s="1"/>
  <c r="A10" i="51"/>
  <c r="B9" i="72" s="1"/>
  <c r="C4" i="52"/>
  <c r="B45" i="72" s="1"/>
  <c r="D7" i="74"/>
  <c r="D8" i="74"/>
  <c r="D30" i="6"/>
  <c r="J38" i="39"/>
  <c r="H38" i="39"/>
  <c r="F38" i="39"/>
  <c r="C19" i="15"/>
  <c r="C20" i="15" s="1"/>
  <c r="C26" i="15" s="1"/>
  <c r="C36" i="11"/>
  <c r="C37" i="11"/>
  <c r="C34" i="11"/>
  <c r="C36" i="68"/>
  <c r="C34" i="68"/>
  <c r="C14" i="12"/>
  <c r="C16" i="12" s="1"/>
  <c r="C21" i="12" s="1"/>
  <c r="C22" i="12" s="1"/>
  <c r="T16" i="1"/>
  <c r="H19" i="6"/>
  <c r="S19" i="6"/>
  <c r="S27" i="6" s="1"/>
  <c r="I27" i="6"/>
  <c r="C24" i="68"/>
  <c r="G40" i="36"/>
  <c r="H40" i="36" s="1"/>
  <c r="G41" i="36"/>
  <c r="H41" i="36" s="1"/>
  <c r="C42" i="37"/>
  <c r="C43" i="37"/>
  <c r="B2" i="37" s="1"/>
  <c r="B3" i="37" s="1"/>
  <c r="I47" i="37"/>
  <c r="J47" i="37" s="1"/>
  <c r="I46" i="37"/>
  <c r="J46" i="37" s="1"/>
  <c r="I53" i="34"/>
  <c r="J53" i="34" s="1"/>
  <c r="K48" i="35"/>
  <c r="E47" i="37"/>
  <c r="F47" i="37" s="1"/>
  <c r="E46" i="37"/>
  <c r="F46" i="37" s="1"/>
  <c r="I68" i="39"/>
  <c r="H70" i="39"/>
  <c r="R50" i="34"/>
  <c r="E49" i="34"/>
  <c r="C36" i="36"/>
  <c r="C37" i="36"/>
  <c r="B2" i="36" s="1"/>
  <c r="B3" i="36" s="1"/>
  <c r="G54" i="34"/>
  <c r="H54" i="34" s="1"/>
  <c r="E40" i="36"/>
  <c r="F40" i="36" s="1"/>
  <c r="E41" i="36"/>
  <c r="F41" i="36" s="1"/>
  <c r="Q48" i="67"/>
  <c r="L46" i="67"/>
  <c r="C75" i="67"/>
  <c r="C37" i="67"/>
  <c r="C30" i="67" s="1"/>
  <c r="C39" i="67" s="1"/>
  <c r="Q70" i="67"/>
  <c r="C56" i="67"/>
  <c r="C65" i="67" s="1"/>
  <c r="J13" i="67"/>
  <c r="J23" i="67" s="1"/>
  <c r="J22" i="67"/>
  <c r="Q48" i="15"/>
  <c r="C61" i="67"/>
  <c r="C59" i="67" s="1"/>
  <c r="C64" i="67"/>
  <c r="C39" i="69" l="1"/>
  <c r="C43" i="69" s="1"/>
  <c r="C41" i="69" s="1"/>
  <c r="C20" i="69"/>
  <c r="C28" i="69" s="1"/>
  <c r="C27" i="69" s="1"/>
  <c r="AB38" i="39"/>
  <c r="U38" i="39"/>
  <c r="D31" i="6"/>
  <c r="AA38" i="39"/>
  <c r="S38" i="39"/>
  <c r="AC38" i="39"/>
  <c r="W38" i="3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J65" i="40"/>
  <c r="K63" i="40"/>
  <c r="E48" i="21"/>
  <c r="R49" i="21"/>
  <c r="G53" i="21"/>
  <c r="H53" i="21" s="1"/>
  <c r="G52" i="21"/>
  <c r="H52" i="21" s="1"/>
  <c r="C23" i="15"/>
  <c r="C29" i="15" s="1"/>
  <c r="C35" i="68"/>
  <c r="C38" i="68"/>
  <c r="C35" i="11"/>
  <c r="C38" i="11"/>
  <c r="H27" i="6"/>
  <c r="R19" i="6"/>
  <c r="C25" i="69"/>
  <c r="C22" i="69" s="1"/>
  <c r="C31" i="69" s="1"/>
  <c r="C46" i="69"/>
  <c r="C45" i="69" s="1"/>
  <c r="E54" i="34"/>
  <c r="F54" i="34" s="1"/>
  <c r="E53" i="34"/>
  <c r="F53" i="34" s="1"/>
  <c r="C50" i="34"/>
  <c r="B2" i="34" s="1"/>
  <c r="B3" i="34" s="1"/>
  <c r="C49" i="34"/>
  <c r="J68" i="39"/>
  <c r="I70" i="39"/>
  <c r="I54" i="34"/>
  <c r="J54" i="34" s="1"/>
  <c r="L48" i="35"/>
  <c r="J16" i="67"/>
  <c r="J25" i="67" s="1"/>
  <c r="C40" i="67"/>
  <c r="Q69" i="67"/>
  <c r="Q68" i="67" s="1"/>
  <c r="C58" i="67"/>
  <c r="C67" i="67" s="1"/>
  <c r="C68" i="67" s="1"/>
  <c r="C80" i="67"/>
  <c r="C79" i="67" s="1"/>
  <c r="L51" i="67"/>
  <c r="C49" i="21" l="1"/>
  <c r="C48" i="21"/>
  <c r="K65" i="40"/>
  <c r="L63" i="40"/>
  <c r="E39" i="43"/>
  <c r="G39" i="43"/>
  <c r="I39" i="43" s="1"/>
  <c r="E33" i="43"/>
  <c r="G33" i="43"/>
  <c r="I33" i="43" s="1"/>
  <c r="E34" i="43"/>
  <c r="G34" i="43"/>
  <c r="I34" i="43" s="1"/>
  <c r="E53" i="21"/>
  <c r="F53" i="21" s="1"/>
  <c r="E52" i="21"/>
  <c r="F52" i="21" s="1"/>
  <c r="I53" i="21"/>
  <c r="J53" i="21" s="1"/>
  <c r="G38" i="43"/>
  <c r="I38" i="43" s="1"/>
  <c r="E38" i="43"/>
  <c r="C30" i="43"/>
  <c r="E30" i="43" s="1"/>
  <c r="C27" i="43" s="1"/>
  <c r="E29" i="43"/>
  <c r="C26" i="43" s="1"/>
  <c r="E36" i="43"/>
  <c r="G36" i="43"/>
  <c r="I36" i="43" s="1"/>
  <c r="E35" i="43"/>
  <c r="G35" i="43"/>
  <c r="I35" i="43" s="1"/>
  <c r="E37" i="43"/>
  <c r="G37" i="43"/>
  <c r="I37" i="43" s="1"/>
  <c r="I5" i="6"/>
  <c r="I6" i="6"/>
  <c r="C36" i="15"/>
  <c r="J19" i="15"/>
  <c r="J17" i="15" s="1"/>
  <c r="C57" i="15"/>
  <c r="C13" i="15"/>
  <c r="Q49" i="15"/>
  <c r="J14" i="15"/>
  <c r="C33" i="11"/>
  <c r="C42" i="11" s="1"/>
  <c r="C33" i="68"/>
  <c r="C49" i="69"/>
  <c r="C51" i="69" s="1"/>
  <c r="C52" i="69" s="1"/>
  <c r="B2" i="69" s="1"/>
  <c r="B3" i="69" s="1"/>
  <c r="R6" i="1"/>
  <c r="R16" i="1" s="1"/>
  <c r="R27" i="6"/>
  <c r="M48" i="35"/>
  <c r="K68" i="39"/>
  <c r="J70" i="39"/>
  <c r="Q67" i="67"/>
  <c r="L57" i="67"/>
  <c r="L60" i="67" s="1"/>
  <c r="L57" i="15"/>
  <c r="L60" i="15" s="1"/>
  <c r="L46" i="15" s="1"/>
  <c r="C71" i="67"/>
  <c r="C45" i="67"/>
  <c r="C46" i="67" s="1"/>
  <c r="Q56" i="67"/>
  <c r="Q47" i="67"/>
  <c r="Q53" i="67" s="1"/>
  <c r="Q65" i="67"/>
  <c r="C43" i="67"/>
  <c r="D2" i="67"/>
  <c r="C83" i="67"/>
  <c r="C82" i="67" s="1"/>
  <c r="E6" i="76"/>
  <c r="E2" i="76" l="1"/>
  <c r="M63" i="40"/>
  <c r="L65" i="40"/>
  <c r="B2" i="43"/>
  <c r="B2" i="21"/>
  <c r="C8" i="12" s="1"/>
  <c r="B3" i="21"/>
  <c r="C6" i="12"/>
  <c r="F6" i="12" s="1"/>
  <c r="F8" i="12" s="1"/>
  <c r="C39" i="11"/>
  <c r="C46" i="11" s="1"/>
  <c r="C45" i="11" s="1"/>
  <c r="J22" i="15"/>
  <c r="J13" i="15"/>
  <c r="J23" i="15" s="1"/>
  <c r="C56" i="15"/>
  <c r="C65" i="15" s="1"/>
  <c r="C75" i="15"/>
  <c r="Q70" i="15"/>
  <c r="C37" i="15"/>
  <c r="C30" i="15" s="1"/>
  <c r="C39" i="15" s="1"/>
  <c r="C64" i="15"/>
  <c r="C61" i="15"/>
  <c r="C59" i="15" s="1"/>
  <c r="C39" i="68"/>
  <c r="C42" i="68"/>
  <c r="C43" i="11"/>
  <c r="C41" i="11" s="1"/>
  <c r="C57" i="69"/>
  <c r="C56" i="69" s="1"/>
  <c r="L68" i="39"/>
  <c r="K70" i="39"/>
  <c r="N48" i="35"/>
  <c r="Q57" i="15"/>
  <c r="Q66" i="15"/>
  <c r="Q66" i="67"/>
  <c r="Q75" i="67" s="1"/>
  <c r="Q57" i="67"/>
  <c r="Q62" i="67" s="1"/>
  <c r="B2" i="67"/>
  <c r="B3" i="67"/>
  <c r="L51" i="15"/>
  <c r="B6" i="76"/>
  <c r="B2" i="76" l="1"/>
  <c r="B3" i="76" s="1"/>
  <c r="B3" i="43"/>
  <c r="M65" i="40"/>
  <c r="N63" i="40"/>
  <c r="J16" i="15"/>
  <c r="J25" i="15" s="1"/>
  <c r="Q67" i="15"/>
  <c r="C40" i="15"/>
  <c r="Q69" i="15"/>
  <c r="Q68" i="15" s="1"/>
  <c r="C80" i="15"/>
  <c r="C79" i="15" s="1"/>
  <c r="C58" i="15"/>
  <c r="C67" i="15" s="1"/>
  <c r="C68" i="15" s="1"/>
  <c r="C43" i="68"/>
  <c r="C41" i="68" s="1"/>
  <c r="C46" i="68"/>
  <c r="C45" i="68" s="1"/>
  <c r="C49" i="11"/>
  <c r="C51" i="11" s="1"/>
  <c r="C52" i="11" s="1"/>
  <c r="B2" i="11" s="1"/>
  <c r="B3" i="11" s="1"/>
  <c r="O48" i="35"/>
  <c r="H7" i="35"/>
  <c r="M68" i="39"/>
  <c r="L70" i="39"/>
  <c r="O63" i="40" l="1"/>
  <c r="O65" i="40" s="1"/>
  <c r="N65" i="40"/>
  <c r="J7" i="40"/>
  <c r="Q65" i="15"/>
  <c r="Q75" i="15" s="1"/>
  <c r="Q47" i="15"/>
  <c r="Q53" i="15" s="1"/>
  <c r="C83" i="15"/>
  <c r="C82" i="15" s="1"/>
  <c r="C43" i="15"/>
  <c r="Q56" i="15"/>
  <c r="Q62" i="15" s="1"/>
  <c r="B2" i="15"/>
  <c r="C46" i="15"/>
  <c r="C71" i="15"/>
  <c r="C49" i="68"/>
  <c r="C51" i="68" s="1"/>
  <c r="C56" i="11"/>
  <c r="C57" i="11" s="1"/>
  <c r="U7" i="35"/>
  <c r="AB7" i="35"/>
  <c r="T38" i="35" s="1"/>
  <c r="G38" i="35" s="1"/>
  <c r="N68" i="39"/>
  <c r="M70" i="39"/>
  <c r="F7" i="35"/>
  <c r="J7" i="35"/>
  <c r="AO8" i="1"/>
  <c r="F7" i="40" l="1"/>
  <c r="H7" i="40"/>
  <c r="W7" i="40"/>
  <c r="AC7" i="40"/>
  <c r="V42" i="40" s="1"/>
  <c r="I42" i="40" s="1"/>
  <c r="I46" i="40" s="1"/>
  <c r="J46" i="40" s="1"/>
  <c r="B8" i="70"/>
  <c r="B2" i="70" s="1"/>
  <c r="B3" i="70" s="1"/>
  <c r="E8" i="12"/>
  <c r="C4" i="12" s="1"/>
  <c r="B3" i="15"/>
  <c r="E6" i="12" s="1"/>
  <c r="W7" i="35"/>
  <c r="AC7" i="35"/>
  <c r="V38" i="35" s="1"/>
  <c r="I38" i="35" s="1"/>
  <c r="G42" i="35"/>
  <c r="H42" i="35" s="1"/>
  <c r="G43" i="35"/>
  <c r="H43" i="35" s="1"/>
  <c r="AA7" i="35"/>
  <c r="R38" i="35" s="1"/>
  <c r="S7" i="35"/>
  <c r="O68" i="39"/>
  <c r="O70" i="39" s="1"/>
  <c r="N70" i="39"/>
  <c r="U7" i="40" l="1"/>
  <c r="AB7" i="40"/>
  <c r="T42" i="40" s="1"/>
  <c r="G42" i="40" s="1"/>
  <c r="AA7" i="40"/>
  <c r="R42" i="40" s="1"/>
  <c r="S7" i="40"/>
  <c r="C23" i="12"/>
  <c r="C31" i="12"/>
  <c r="J7" i="39"/>
  <c r="H7" i="39"/>
  <c r="F7" i="39"/>
  <c r="E38" i="35"/>
  <c r="R39" i="35"/>
  <c r="I42" i="35"/>
  <c r="J42" i="35" s="1"/>
  <c r="I43" i="35"/>
  <c r="J43" i="35" s="1"/>
  <c r="G46" i="40" l="1"/>
  <c r="H46" i="40" s="1"/>
  <c r="G47" i="40"/>
  <c r="H47" i="40" s="1"/>
  <c r="E42" i="40"/>
  <c r="R43" i="40"/>
  <c r="C30" i="12"/>
  <c r="C28" i="12" s="1"/>
  <c r="C27" i="12"/>
  <c r="C25" i="12" s="1"/>
  <c r="S7" i="39"/>
  <c r="AA7" i="39"/>
  <c r="R47" i="39" s="1"/>
  <c r="E43" i="35"/>
  <c r="F43" i="35" s="1"/>
  <c r="E42" i="35"/>
  <c r="F42" i="35" s="1"/>
  <c r="AB7" i="39"/>
  <c r="T47" i="39" s="1"/>
  <c r="G47" i="39" s="1"/>
  <c r="U7" i="39"/>
  <c r="C38" i="35"/>
  <c r="C39" i="35"/>
  <c r="B2" i="35" s="1"/>
  <c r="B3" i="35" s="1"/>
  <c r="AC7" i="39"/>
  <c r="V47" i="39" s="1"/>
  <c r="I47" i="39" s="1"/>
  <c r="W7" i="39"/>
  <c r="C42" i="40" l="1"/>
  <c r="C43" i="40"/>
  <c r="E46" i="40"/>
  <c r="F46" i="40" s="1"/>
  <c r="I47" i="40"/>
  <c r="J47" i="40" s="1"/>
  <c r="E47" i="40"/>
  <c r="F47" i="40" s="1"/>
  <c r="C32" i="12"/>
  <c r="B2" i="12" s="1"/>
  <c r="I51" i="39"/>
  <c r="J51" i="39" s="1"/>
  <c r="G52" i="39"/>
  <c r="H52" i="39" s="1"/>
  <c r="G51" i="39"/>
  <c r="H51" i="39" s="1"/>
  <c r="E47" i="39"/>
  <c r="R48" i="39"/>
  <c r="D19" i="9"/>
  <c r="B53" i="40" l="1"/>
  <c r="F53" i="40" s="1"/>
  <c r="B51" i="40"/>
  <c r="F51" i="40" s="1"/>
  <c r="B59" i="40"/>
  <c r="F59" i="40" s="1"/>
  <c r="F61" i="40"/>
  <c r="B2" i="40" s="1"/>
  <c r="B3" i="40" s="1"/>
  <c r="B55" i="40"/>
  <c r="F55" i="40" s="1"/>
  <c r="B56" i="40"/>
  <c r="F56" i="40" s="1"/>
  <c r="B58" i="40"/>
  <c r="F58" i="40" s="1"/>
  <c r="B60" i="40"/>
  <c r="F60" i="40" s="1"/>
  <c r="B54" i="40"/>
  <c r="F54" i="40" s="1"/>
  <c r="B52" i="40"/>
  <c r="F52" i="40" s="1"/>
  <c r="B57" i="40"/>
  <c r="F57" i="40" s="1"/>
  <c r="D102" i="9"/>
  <c r="D21" i="9"/>
  <c r="B3" i="12"/>
  <c r="E51" i="39"/>
  <c r="F51" i="39" s="1"/>
  <c r="E52" i="39"/>
  <c r="F52" i="39" s="1"/>
  <c r="C48" i="39"/>
  <c r="C47" i="39"/>
  <c r="I52" i="39"/>
  <c r="J52" i="39" s="1"/>
  <c r="D20" i="9"/>
  <c r="D103" i="9" l="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5" i="68" s="1"/>
  <c r="C23" i="68" l="1"/>
  <c r="C20" i="68"/>
  <c r="C25" i="68" s="1"/>
  <c r="C28" i="68" l="1"/>
  <c r="C27" i="68" s="1"/>
  <c r="C22" i="68"/>
  <c r="C31" i="68" l="1"/>
  <c r="C52" i="68" s="1"/>
  <c r="B2" i="68" s="1"/>
  <c r="B3" i="68" s="1"/>
  <c r="C20" i="9"/>
  <c r="C19" i="9"/>
  <c r="C21" i="9" l="1"/>
  <c r="G19" i="9"/>
  <c r="C102" i="9"/>
  <c r="D22" i="9"/>
  <c r="C57" i="68"/>
  <c r="C103" i="9"/>
  <c r="G20" i="9"/>
  <c r="D35" i="9"/>
  <c r="G21" i="9" l="1"/>
  <c r="A27" i="9"/>
  <c r="C32" i="9"/>
  <c r="H118" i="9" s="1"/>
  <c r="C56" i="68"/>
  <c r="D34" i="9"/>
  <c r="C35" i="9" l="1"/>
  <c r="F118" i="9" s="1"/>
  <c r="G118" i="9" s="1"/>
  <c r="G4" i="52" s="1"/>
  <c r="H4" i="52"/>
  <c r="I118" i="9"/>
  <c r="H119" i="9"/>
  <c r="H5" i="52" s="1"/>
  <c r="H101" i="9"/>
  <c r="C104" i="9"/>
  <c r="D14" i="74"/>
  <c r="F119" i="9" l="1"/>
  <c r="F5" i="52" s="1"/>
  <c r="B53" i="72" s="1"/>
  <c r="F4" i="52"/>
  <c r="C34" i="9"/>
  <c r="D118" i="9" s="1"/>
  <c r="D119" i="9" s="1"/>
  <c r="D5" i="52" s="1"/>
  <c r="B51" i="72"/>
  <c r="B52" i="72"/>
  <c r="F14" i="74"/>
  <c r="B5" i="74"/>
  <c r="E14" i="74"/>
  <c r="D5" i="53"/>
  <c r="H107" i="9"/>
  <c r="M48" i="9"/>
  <c r="D45" i="9"/>
  <c r="I4" i="52"/>
  <c r="H102" i="9"/>
  <c r="D7" i="53" s="1"/>
  <c r="C105" i="9"/>
  <c r="E118" i="9"/>
  <c r="E4" i="52" s="1"/>
  <c r="D4" i="52" l="1"/>
  <c r="B47" i="72" s="1"/>
  <c r="B48" i="72"/>
  <c r="B49" i="72"/>
  <c r="B21" i="72"/>
  <c r="M49" i="9"/>
  <c r="D13" i="53"/>
  <c r="H108" i="9"/>
  <c r="D15" i="53" s="1"/>
  <c r="D122" i="9"/>
  <c r="D6" i="53"/>
  <c r="B20" i="72"/>
  <c r="D5" i="74"/>
  <c r="C5" i="74"/>
  <c r="C64" i="9"/>
  <c r="C63" i="9" s="1"/>
  <c r="C67" i="9" s="1"/>
  <c r="C68" i="9" s="1"/>
  <c r="D54" i="9" s="1"/>
  <c r="D55" i="9"/>
  <c r="M53" i="9" s="1"/>
  <c r="C85" i="9"/>
  <c r="C78" i="9"/>
  <c r="C73" i="9" s="1"/>
  <c r="C72" i="9"/>
  <c r="D53" i="9"/>
  <c r="D52" i="9"/>
  <c r="C93" i="9"/>
  <c r="C86" i="9" s="1"/>
  <c r="C79" i="9" l="1"/>
  <c r="C95" i="9"/>
  <c r="B31" i="72"/>
  <c r="B22" i="72"/>
  <c r="C80" i="9"/>
  <c r="E80" i="9" s="1"/>
  <c r="E81" i="9" s="1"/>
  <c r="C96" i="9"/>
  <c r="E96" i="9" s="1"/>
  <c r="E97" i="9" s="1"/>
  <c r="D8" i="52"/>
  <c r="D123" i="9"/>
  <c r="D9" i="52" s="1"/>
  <c r="G14" i="74"/>
  <c r="B6" i="74" s="1"/>
  <c r="B30" i="72"/>
  <c r="D14" i="53"/>
  <c r="L68" i="9"/>
  <c r="M68" i="9" s="1"/>
  <c r="L66" i="9"/>
  <c r="M66" i="9" s="1"/>
  <c r="L63" i="9"/>
  <c r="M63" i="9" s="1"/>
  <c r="L65" i="9"/>
  <c r="M65" i="9" s="1"/>
  <c r="L64" i="9"/>
  <c r="M64" i="9" s="1"/>
  <c r="L67" i="9"/>
  <c r="M67" i="9" s="1"/>
  <c r="B32" i="72" l="1"/>
  <c r="M69" i="9"/>
  <c r="N69" i="9" s="1"/>
  <c r="C97" i="9"/>
  <c r="D58" i="9" s="1"/>
  <c r="D56" i="9" s="1"/>
  <c r="M54" i="9" s="1"/>
  <c r="N57" i="9" s="1"/>
  <c r="C81" i="9"/>
  <c r="C6" i="74"/>
  <c r="D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<sst xmlns="http://schemas.openxmlformats.org/spreadsheetml/2006/main" count="9962" uniqueCount="3558">
  <si>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</si>
  <si>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</si>
  <si>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</si>
  <si>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</si>
  <si>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</si>
  <si>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</si>
  <si>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</si>
  <si>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</si>
  <si>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</si>
  <si>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</si>
  <si>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</si>
  <si>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</si>
  <si>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</si>
  <si>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</si>
  <si>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</si>
  <si>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</si>
  <si>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</si>
  <si>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</si>
  <si>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</si>
  <si>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</si>
  <si>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</si>
  <si>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</si>
  <si>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</si>
  <si>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</si>
  <si>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</si>
  <si>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</si>
  <si>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</si>
  <si>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</si>
  <si>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</si>
  <si>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</si>
  <si>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</si>
  <si>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</si>
  <si>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</si>
  <si>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</si>
  <si>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</si>
  <si>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</si>
  <si>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</si>
  <si>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</si>
  <si>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</si>
  <si>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</si>
  <si>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</si>
  <si>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</si>
  <si>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</si>
  <si>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</si>
  <si>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</si>
  <si>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</si>
  <si>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</si>
  <si>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</si>
  <si>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</si>
  <si>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</si>
  <si>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</si>
  <si>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</si>
  <si>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</si>
  <si>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</si>
  <si>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</si>
  <si>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</si>
  <si>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</si>
  <si>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</si>
  <si>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</si>
  <si>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</si>
  <si>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</si>
  <si>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</si>
  <si>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</si>
  <si>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</si>
  <si>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</si>
  <si>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</si>
  <si>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</si>
  <si>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</si>
  <si>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</si>
  <si>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</si>
  <si>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</si>
  <si>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</si>
  <si>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</si>
  <si>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</si>
  <si>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</si>
  <si>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</si>
  <si>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</si>
  <si>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</si>
  <si>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</si>
  <si>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</si>
  <si>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</si>
  <si>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</si>
  <si>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</si>
  <si>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</si>
  <si>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</si>
  <si>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</si>
  <si>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</si>
  <si>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</si>
  <si>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</si>
  <si>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</si>
  <si>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</si>
  <si>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</si>
  <si>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</si>
  <si>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</si>
  <si>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</si>
  <si>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</si>
  <si>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</si>
  <si>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</si>
  <si>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</si>
  <si>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</si>
  <si>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</si>
  <si>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</si>
  <si>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</si>
  <si>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</si>
  <si>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</si>
  <si>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</si>
  <si>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</si>
  <si>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</si>
  <si>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</si>
  <si>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</si>
  <si>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</si>
  <si>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</si>
  <si>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</si>
  <si>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</si>
  <si>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</si>
  <si>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</si>
  <si>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</si>
  <si>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</si>
  <si>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</si>
  <si>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</si>
  <si>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</si>
  <si>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</si>
  <si>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</si>
  <si>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</si>
  <si>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</si>
  <si>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</si>
  <si>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</si>
  <si>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</si>
  <si>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</si>
  <si>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</si>
  <si>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</si>
  <si>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</si>
  <si>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</si>
  <si>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</si>
  <si>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</si>
  <si>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</si>
  <si>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</si>
  <si>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</si>
  <si>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</si>
  <si>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</si>
  <si>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</si>
  <si>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</si>
  <si>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</si>
  <si>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</si>
  <si>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</si>
  <si>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</si>
  <si>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</si>
  <si>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</si>
  <si>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</si>
  <si>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</si>
  <si>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</si>
  <si>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</si>
  <si>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</si>
  <si>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</si>
  <si>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</si>
  <si>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</si>
  <si>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</si>
  <si>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</si>
  <si>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</si>
  <si>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</si>
  <si>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</si>
  <si>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</si>
  <si>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</si>
  <si>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</si>
  <si>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</si>
  <si>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</si>
  <si>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</si>
  <si>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</si>
  <si>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</si>
  <si>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</si>
  <si>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</si>
  <si>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</si>
  <si>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</si>
  <si>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</si>
  <si>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</si>
  <si>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</si>
  <si>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</si>
  <si>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</si>
  <si>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</si>
  <si>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</si>
  <si>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</si>
  <si>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</si>
  <si>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</si>
  <si>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</si>
  <si>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</si>
  <si>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</si>
  <si>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</si>
  <si>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</si>
  <si>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</si>
  <si>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</si>
  <si>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</si>
  <si>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</si>
  <si>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</si>
  <si>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</si>
  <si>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</si>
  <si>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</si>
  <si>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</si>
  <si>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</si>
  <si>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</si>
  <si>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</si>
  <si>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</si>
  <si>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</si>
  <si>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</si>
  <si>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</si>
  <si>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</si>
  <si>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</si>
  <si>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</si>
  <si>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</si>
  <si>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</si>
  <si>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</si>
  <si>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</si>
  <si>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</si>
  <si>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</si>
  <si>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</si>
  <si>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</si>
  <si>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</si>
  <si>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</si>
  <si>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</si>
  <si>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</si>
  <si>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</si>
  <si>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</si>
  <si>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</si>
  <si>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</si>
  <si>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</si>
  <si>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</si>
  <si>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</si>
  <si>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</si>
  <si>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</si>
  <si>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</si>
  <si>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</si>
  <si>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</si>
  <si>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</si>
  <si>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</si>
  <si>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</si>
  <si>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</si>
  <si>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</si>
  <si>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</si>
  <si>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</si>
  <si>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</si>
  <si>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</si>
  <si>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</si>
  <si>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</si>
  <si>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</si>
  <si>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</si>
  <si>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</si>
  <si>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</si>
  <si>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</si>
  <si>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</si>
  <si>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</si>
  <si>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</si>
  <si>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</si>
  <si>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</si>
  <si>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</si>
  <si>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</si>
  <si>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</si>
  <si>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</si>
  <si>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</si>
  <si>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</si>
  <si>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</si>
  <si>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</si>
  <si>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</si>
  <si>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</si>
  <si>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</si>
  <si>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</si>
  <si>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</si>
  <si>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</si>
  <si>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</si>
  <si>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</si>
  <si>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</si>
  <si>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</si>
  <si>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</si>
  <si>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</si>
  <si>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</si>
  <si>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</si>
  <si>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</si>
  <si>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</si>
  <si>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</si>
  <si>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</si>
  <si>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</si>
  <si>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</si>
  <si>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</si>
  <si>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</si>
  <si>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</si>
  <si>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</si>
  <si>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</si>
  <si>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</si>
  <si>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</si>
  <si>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</si>
  <si>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</si>
  <si>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</si>
  <si>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</si>
  <si>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</si>
  <si>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</si>
  <si>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</si>
  <si>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</si>
  <si>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</si>
  <si>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</si>
  <si>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</si>
  <si>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</si>
  <si>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</si>
  <si>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</si>
  <si>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</si>
  <si>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</si>
  <si>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</si>
  <si>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</si>
  <si>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</si>
  <si>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</si>
  <si>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</si>
  <si>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</si>
  <si>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</si>
  <si>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</si>
  <si>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</si>
  <si>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</si>
  <si>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</si>
  <si>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</si>
  <si>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</si>
  <si>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</si>
  <si>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</si>
  <si>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</si>
  <si>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</si>
  <si>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</si>
  <si>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</si>
  <si>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</si>
  <si>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</si>
  <si>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</si>
  <si>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</si>
  <si>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</si>
  <si>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</si>
  <si>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</si>
  <si>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</si>
  <si>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</si>
  <si>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</si>
  <si>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</si>
  <si>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</si>
  <si>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</si>
  <si>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</si>
  <si>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</si>
  <si>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</si>
  <si>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</si>
  <si>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</si>
  <si>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</si>
  <si>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</si>
  <si>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</si>
  <si>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</si>
  <si>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</si>
  <si>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</si>
  <si>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</si>
  <si>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</si>
  <si>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</si>
  <si>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</si>
  <si>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</si>
  <si>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</si>
  <si>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</si>
  <si>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</si>
  <si>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</si>
  <si>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</si>
  <si>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</si>
  <si>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</si>
  <si>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</si>
  <si>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</si>
  <si>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</si>
  <si>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</si>
  <si>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</si>
  <si>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</si>
  <si>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</si>
  <si>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</si>
  <si>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</si>
  <si>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</si>
  <si>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</si>
  <si>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</si>
  <si>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</si>
  <si>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</si>
  <si>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</si>
  <si>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</si>
  <si>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</si>
  <si>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</si>
  <si>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</si>
  <si>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</si>
  <si>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</si>
  <si>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</si>
  <si>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</si>
  <si>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</si>
  <si>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</si>
  <si>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</si>
  <si>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</si>
  <si>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</si>
  <si>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</si>
  <si>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</si>
  <si>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</si>
  <si>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</si>
  <si>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</si>
  <si>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</si>
  <si>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</si>
  <si>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</si>
  <si>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</si>
  <si>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</si>
  <si>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</si>
  <si>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</si>
  <si>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</si>
  <si>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</si>
  <si>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</si>
  <si>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</si>
  <si>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</si>
  <si>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</si>
  <si>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</si>
  <si>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</si>
  <si>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</si>
  <si>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</si>
  <si>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</si>
  <si>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</si>
  <si>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</si>
  <si>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</si>
  <si>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</si>
  <si>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</si>
  <si>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</si>
  <si>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</si>
  <si>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</si>
  <si>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</si>
  <si>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</si>
  <si>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</si>
  <si>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</si>
  <si>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</si>
  <si>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</si>
  <si>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</si>
  <si>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</si>
  <si>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</si>
  <si>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</si>
  <si>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</si>
  <si>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</si>
  <si>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</si>
  <si>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</si>
  <si>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</si>
  <si>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</si>
  <si>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</si>
  <si>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</si>
  <si>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</si>
  <si>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</si>
  <si>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</si>
  <si>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</si>
  <si>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</si>
  <si>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</si>
  <si>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</si>
  <si>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</si>
  <si>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</si>
  <si>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</si>
  <si>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</si>
  <si>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</si>
  <si>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</si>
  <si>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</si>
  <si>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</si>
  <si>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</si>
  <si>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</si>
  <si>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</si>
  <si>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</si>
  <si>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</si>
  <si>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</si>
  <si>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</si>
  <si>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</si>
  <si>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</si>
  <si>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</si>
  <si>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</si>
  <si>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</si>
  <si>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</si>
  <si>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</si>
  <si>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</si>
  <si>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</si>
  <si>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</si>
  <si>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</si>
  <si>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</si>
  <si>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</si>
  <si>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</si>
  <si>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</si>
  <si>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</si>
  <si>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</si>
  <si>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</si>
  <si>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</si>
  <si>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</si>
  <si>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</si>
  <si>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</si>
  <si>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</si>
  <si>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</si>
  <si>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</si>
  <si>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</si>
  <si>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</si>
  <si>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</si>
  <si>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</si>
  <si>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</si>
  <si>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</si>
  <si>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</si>
  <si>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</si>
  <si>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</si>
  <si>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</si>
  <si>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</si>
  <si>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</si>
  <si>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</si>
  <si>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</si>
  <si>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</si>
  <si>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</si>
  <si>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</si>
  <si>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</si>
  <si>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</si>
  <si>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</si>
  <si>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</si>
  <si>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</si>
  <si>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</si>
  <si>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</si>
  <si>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</si>
  <si>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</si>
  <si>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</si>
  <si>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</si>
  <si>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</si>
  <si>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</si>
  <si>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</si>
  <si>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</si>
  <si>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</si>
  <si>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</si>
  <si>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</si>
  <si>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</si>
  <si>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</si>
  <si>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</si>
  <si>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</si>
  <si>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</si>
  <si>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</si>
  <si>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</si>
  <si>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</si>
  <si>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</si>
  <si>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</si>
  <si>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</si>
  <si>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</si>
  <si>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</si>
  <si>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</si>
  <si>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</si>
  <si>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</si>
  <si>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</si>
  <si>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</si>
  <si>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</si>
  <si>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</si>
  <si>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</si>
  <si>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</si>
  <si>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</si>
  <si>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</si>
  <si>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</si>
  <si>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</si>
  <si>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</si>
  <si>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</si>
  <si>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</si>
  <si>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</si>
  <si>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</si>
  <si>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</si>
  <si>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</si>
  <si>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</si>
  <si>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</si>
  <si>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</si>
  <si>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</si>
  <si>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</si>
  <si>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</si>
  <si>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</si>
  <si>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</si>
  <si>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</si>
  <si>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</si>
  <si>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</si>
  <si>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</si>
  <si>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</si>
  <si>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</si>
  <si>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</si>
  <si>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</si>
  <si>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</si>
  <si>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</si>
  <si>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</si>
  <si>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</si>
  <si>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</si>
  <si>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</si>
  <si>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</si>
  <si>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</si>
  <si>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</si>
  <si>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</si>
  <si>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</si>
  <si>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</si>
  <si>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</si>
  <si>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</si>
  <si>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</si>
  <si>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</si>
  <si>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</si>
  <si>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</si>
  <si>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</si>
  <si>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</si>
  <si>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</si>
  <si>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</si>
  <si>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</si>
  <si>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</si>
  <si>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</si>
  <si>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</si>
  <si>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</si>
  <si>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</si>
  <si>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</si>
  <si>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</si>
  <si>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</si>
  <si>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</si>
  <si>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</si>
  <si>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</si>
  <si>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</si>
  <si>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</si>
  <si>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</si>
  <si>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</si>
  <si>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</si>
  <si>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</si>
  <si>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</si>
  <si>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</si>
  <si>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</si>
  <si>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</si>
  <si>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</si>
  <si>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</si>
  <si>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</si>
  <si>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</si>
  <si>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</si>
  <si>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</si>
  <si>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</si>
  <si>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</si>
  <si>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</si>
  <si>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</si>
  <si>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</si>
  <si>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</si>
  <si>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</si>
  <si>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</si>
  <si>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</si>
  <si>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</si>
  <si>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</si>
  <si>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</si>
  <si>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</si>
  <si>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</si>
  <si>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</si>
  <si>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</si>
  <si>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</si>
  <si>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</si>
  <si>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</si>
  <si>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</si>
  <si>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</si>
  <si>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</si>
  <si>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</si>
  <si>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</si>
  <si>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</si>
  <si>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</si>
  <si>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</si>
  <si>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</si>
  <si>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</si>
  <si>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</si>
  <si>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</si>
  <si>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</si>
  <si>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</si>
  <si>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</si>
  <si>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</si>
  <si>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</si>
  <si>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</si>
  <si>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</si>
  <si>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</si>
  <si>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</si>
  <si>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</si>
  <si>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</si>
  <si>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</si>
  <si>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</si>
  <si>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</si>
  <si>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</si>
  <si>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</si>
  <si>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</si>
  <si>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</si>
  <si>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</si>
  <si>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</si>
  <si>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</si>
  <si>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</si>
  <si>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</si>
  <si>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</si>
  <si>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</si>
  <si>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</si>
  <si>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</si>
  <si>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</si>
  <si>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</si>
  <si>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</si>
  <si>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</si>
  <si>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</si>
  <si>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</si>
  <si>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</si>
  <si>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</si>
  <si>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</si>
  <si>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</si>
  <si>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</si>
  <si>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</si>
  <si>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</si>
  <si>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</si>
  <si>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</si>
  <si>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</si>
  <si>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</si>
  <si>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</si>
  <si>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</si>
  <si>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</si>
  <si>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</si>
  <si>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</si>
  <si>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</si>
  <si>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</si>
  <si>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</si>
  <si>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</si>
  <si>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</si>
  <si>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</si>
  <si>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</si>
  <si>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</si>
  <si>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</si>
  <si>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</si>
  <si>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</si>
  <si>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</si>
  <si>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</si>
  <si>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</si>
  <si>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</si>
  <si>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</si>
  <si>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</si>
  <si>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</si>
  <si>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</si>
  <si>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</si>
  <si>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</si>
  <si>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</si>
  <si>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</si>
  <si>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</si>
  <si>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</si>
  <si>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</si>
  <si>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</si>
  <si>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</si>
  <si>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</si>
  <si>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</si>
  <si>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</si>
  <si>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</si>
  <si>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</si>
  <si>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</si>
  <si>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</si>
  <si>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</si>
  <si>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</si>
  <si>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</si>
  <si>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</si>
  <si>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</si>
  <si>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</si>
  <si>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</si>
  <si>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</si>
  <si>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</si>
  <si>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</si>
  <si>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</si>
  <si>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</si>
  <si>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</si>
  <si>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</si>
  <si>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</si>
  <si>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</si>
  <si>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</si>
  <si>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</si>
  <si>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</si>
  <si>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</si>
  <si>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</si>
  <si>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</si>
  <si>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</si>
  <si>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</si>
  <si>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</si>
  <si>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</si>
  <si>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</si>
  <si>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</si>
  <si>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</si>
  <si>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</si>
  <si>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</si>
  <si>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</si>
  <si>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</si>
  <si>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</si>
  <si>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</si>
  <si>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</si>
  <si>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</si>
  <si>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</si>
  <si>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</si>
  <si>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</si>
  <si>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</si>
  <si>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</si>
  <si>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</si>
  <si>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</si>
  <si>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</si>
  <si>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</si>
  <si>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</si>
  <si>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</si>
  <si>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</si>
  <si>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</si>
  <si>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</si>
  <si>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</si>
  <si>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</si>
  <si>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</si>
  <si>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</si>
  <si>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</si>
  <si>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</si>
  <si>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</si>
  <si>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</si>
  <si>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</si>
  <si>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</si>
  <si>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</si>
  <si>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</si>
  <si>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</si>
  <si>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</si>
  <si>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</si>
  <si>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</si>
  <si>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</si>
  <si>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</si>
  <si>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</si>
  <si>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</si>
  <si>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</si>
  <si>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</si>
  <si>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</si>
  <si>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</si>
  <si>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</si>
  <si>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</si>
  <si>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</si>
  <si>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</si>
  <si>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</si>
  <si>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</si>
  <si>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</si>
  <si>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</si>
  <si>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</si>
  <si>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</si>
  <si>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</si>
  <si>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</si>
  <si>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</si>
  <si>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</si>
  <si>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</si>
  <si>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</si>
  <si>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</si>
  <si>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</si>
  <si>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</si>
  <si>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</si>
  <si>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</si>
  <si>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</si>
  <si>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</si>
  <si>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</si>
  <si>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</si>
  <si>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</si>
  <si>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</si>
  <si>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</si>
  <si>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</si>
  <si>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</si>
  <si>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</si>
  <si>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</si>
  <si>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</si>
  <si>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</si>
  <si>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</si>
  <si>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</si>
  <si>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</si>
  <si>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</si>
  <si>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</si>
  <si>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</si>
  <si>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</si>
  <si>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</si>
  <si>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</si>
  <si>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</si>
  <si>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</si>
  <si>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</si>
  <si>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</si>
  <si>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</si>
  <si>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</si>
  <si>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</si>
  <si>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</si>
  <si>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</si>
  <si>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</si>
  <si>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</si>
  <si>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</si>
  <si>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</si>
  <si>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</si>
  <si>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</si>
  <si>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</si>
  <si>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</si>
  <si>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</si>
  <si>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</si>
  <si>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</si>
  <si>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</si>
  <si>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</si>
  <si>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</si>
  <si>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</si>
  <si>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</si>
  <si>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</si>
  <si>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</si>
  <si>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</si>
  <si>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</si>
  <si>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</si>
  <si>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</si>
  <si>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</si>
  <si>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</si>
  <si>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</si>
  <si>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</si>
  <si>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</si>
  <si>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</si>
  <si>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</si>
  <si>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</si>
  <si>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</si>
  <si>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</si>
  <si>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</si>
  <si>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</si>
  <si>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</si>
  <si>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</si>
  <si>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</si>
  <si>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</si>
  <si>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</si>
  <si>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</si>
  <si>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</si>
  <si>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</si>
  <si>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</si>
  <si>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</si>
  <si>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</si>
  <si>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</si>
  <si>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</si>
  <si>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</si>
  <si>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</si>
  <si>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</si>
  <si>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</si>
  <si>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</si>
  <si>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</si>
  <si>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</si>
  <si>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</si>
  <si>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</si>
  <si>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</si>
  <si>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</si>
  <si>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</si>
  <si>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</si>
  <si>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</si>
  <si>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</si>
  <si>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</si>
  <si>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</si>
  <si>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</si>
  <si>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</si>
  <si>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</si>
  <si>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</si>
  <si>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</si>
  <si>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</si>
  <si>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</si>
  <si>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</si>
  <si>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</si>
  <si>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</si>
  <si>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</si>
  <si>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</si>
  <si>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</si>
  <si>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</si>
  <si>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</si>
  <si>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</si>
  <si>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</si>
  <si>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</si>
  <si>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</si>
  <si>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</si>
  <si>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</si>
  <si>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</si>
  <si>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</si>
  <si>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</si>
  <si>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</si>
  <si>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</si>
  <si>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</si>
  <si>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</si>
  <si>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</si>
  <si>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</si>
  <si>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</si>
  <si>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</si>
  <si>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</si>
  <si>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</si>
  <si>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</si>
  <si>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</si>
  <si>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</si>
  <si>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</si>
  <si>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</si>
  <si>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</si>
  <si>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</si>
  <si>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</si>
  <si>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</si>
  <si>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</si>
  <si>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</si>
  <si>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</si>
  <si>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</si>
  <si>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</si>
  <si>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</si>
  <si>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</si>
  <si>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</si>
  <si>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</si>
  <si>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</si>
  <si>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</si>
  <si>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</si>
  <si>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</si>
  <si>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</si>
  <si>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</si>
  <si>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</si>
  <si>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</si>
  <si>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</si>
  <si>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</si>
  <si>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</si>
  <si>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</si>
  <si>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</si>
  <si>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</si>
  <si>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</si>
  <si>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</si>
  <si>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</si>
  <si>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</si>
  <si>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</si>
  <si>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</si>
  <si>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</si>
  <si>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</si>
  <si>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</si>
  <si>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</si>
  <si>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</si>
  <si>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</si>
  <si>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</si>
  <si>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</si>
  <si>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</si>
  <si>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</si>
  <si>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</si>
  <si>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</si>
  <si>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</si>
  <si>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</si>
  <si>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</si>
  <si>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</si>
  <si>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</si>
  <si>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</si>
  <si>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</si>
  <si>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</si>
  <si>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</si>
  <si>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</si>
  <si>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</si>
  <si>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</si>
  <si>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</si>
  <si>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</si>
  <si>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</si>
  <si>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</si>
  <si>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</si>
  <si>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</si>
  <si>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</si>
  <si>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</si>
  <si>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</si>
  <si>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</si>
  <si>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</si>
  <si>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</si>
  <si>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</si>
  <si>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</si>
  <si>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</si>
  <si>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</si>
  <si>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</si>
  <si>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</si>
  <si>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</si>
  <si>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</si>
  <si>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</si>
  <si>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</si>
  <si>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</si>
  <si>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</si>
  <si>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</si>
  <si>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</si>
  <si>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</si>
  <si>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</si>
  <si>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</si>
  <si>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</si>
  <si>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</si>
  <si>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</si>
  <si>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</si>
  <si>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</si>
  <si>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</si>
  <si>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</si>
  <si>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</si>
  <si>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</si>
  <si>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</si>
  <si>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</si>
  <si>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</si>
  <si>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</si>
  <si>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</si>
  <si>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</si>
  <si>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</si>
  <si>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</si>
  <si>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</si>
  <si>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</si>
  <si>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</si>
  <si>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</si>
  <si>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</si>
  <si>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</si>
  <si>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</si>
  <si>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</si>
  <si>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</si>
  <si>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</si>
  <si>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</si>
  <si>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</si>
  <si>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</si>
  <si>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</si>
  <si>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</si>
  <si>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</si>
  <si>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</si>
  <si>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</si>
  <si>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</si>
  <si>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</si>
  <si>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</si>
  <si>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</si>
  <si>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</si>
  <si>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</si>
  <si>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</si>
  <si>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</si>
  <si>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</si>
  <si>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</si>
  <si>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</si>
  <si>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</si>
  <si>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</si>
  <si>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</si>
  <si>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</si>
  <si>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</si>
  <si>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</si>
  <si>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</si>
  <si>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</si>
  <si>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</si>
  <si>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</si>
  <si>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</si>
  <si>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</si>
  <si>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</si>
  <si>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</si>
  <si>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</si>
  <si>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</si>
  <si>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</si>
  <si>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</si>
  <si>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</si>
  <si>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</si>
  <si>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</si>
  <si>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</si>
  <si>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</si>
  <si>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</si>
  <si>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</si>
  <si>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</si>
  <si>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</si>
  <si>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</si>
  <si>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</si>
  <si>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</si>
  <si>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</si>
  <si>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</si>
  <si>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</si>
  <si>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</si>
  <si>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</si>
  <si>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</si>
  <si>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</si>
  <si>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</si>
  <si>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</si>
  <si>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</si>
  <si>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</si>
  <si>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</si>
  <si>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</si>
  <si>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</si>
  <si>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</si>
  <si>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</si>
  <si>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</si>
  <si>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</si>
  <si>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</si>
  <si>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</si>
  <si>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</si>
  <si>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</si>
  <si>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</si>
  <si>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</si>
  <si>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</si>
  <si>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</si>
  <si>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</si>
  <si>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</si>
  <si>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</si>
  <si>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</si>
  <si>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</si>
  <si>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</si>
  <si>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</si>
  <si>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</si>
  <si>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</si>
  <si>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</si>
  <si>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</si>
  <si>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</si>
  <si>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</si>
  <si>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</si>
  <si>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</si>
  <si>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</si>
  <si>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</si>
  <si>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</si>
  <si>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</si>
  <si>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</si>
  <si>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</si>
  <si>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</si>
  <si>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</si>
  <si>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</si>
  <si>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</si>
  <si>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</si>
  <si>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</si>
  <si>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</si>
  <si>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</si>
  <si>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</si>
  <si>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</si>
  <si>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</si>
  <si>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</si>
  <si>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</si>
  <si>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</si>
  <si>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</si>
  <si>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</si>
  <si>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</si>
  <si>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</si>
  <si>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</si>
  <si>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</si>
  <si>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</si>
  <si>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</si>
  <si>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</si>
  <si>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</si>
  <si>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</si>
  <si>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</si>
  <si>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</si>
  <si>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</si>
  <si>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</si>
  <si>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</si>
  <si>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</si>
  <si>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</si>
  <si>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</si>
  <si>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</si>
  <si>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</si>
  <si>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</si>
  <si>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</si>
  <si>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</si>
  <si>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</si>
  <si>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</si>
  <si>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</si>
  <si>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</si>
  <si>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</si>
  <si>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</si>
  <si>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</si>
  <si>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</si>
  <si>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</si>
  <si>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</si>
  <si>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</si>
  <si>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</si>
  <si>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</si>
  <si>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</si>
  <si>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</si>
  <si>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</si>
  <si>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</si>
  <si>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</si>
  <si>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</si>
  <si>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</si>
  <si>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</si>
  <si>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</si>
  <si>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</si>
  <si>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</si>
  <si>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</si>
  <si>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</si>
  <si>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</si>
  <si>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</si>
  <si>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</si>
  <si>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</si>
  <si>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</si>
  <si>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</si>
  <si>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</si>
  <si>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</si>
  <si>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</si>
  <si>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</si>
  <si>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</si>
  <si>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</si>
  <si>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</si>
  <si>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</si>
  <si>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</si>
  <si>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</si>
  <si>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</si>
  <si>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</si>
  <si>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</si>
  <si>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</si>
  <si>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</si>
  <si>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</si>
  <si>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</si>
  <si>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</si>
  <si>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</si>
  <si>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</si>
  <si>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</si>
  <si>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</si>
  <si>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</si>
  <si>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</si>
  <si>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</si>
  <si>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</si>
  <si>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</si>
  <si>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</si>
  <si>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</si>
  <si>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</si>
  <si>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</si>
  <si>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</si>
  <si>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</si>
  <si>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</si>
  <si>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</si>
  <si>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</si>
  <si>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</si>
  <si>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</si>
  <si>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</si>
  <si>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</si>
  <si>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</si>
  <si>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</si>
  <si>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</si>
  <si>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</si>
  <si>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</si>
  <si>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</si>
  <si>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</si>
  <si>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</si>
  <si>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</si>
  <si>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</si>
  <si>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</si>
  <si>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</si>
  <si>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</si>
  <si>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</si>
  <si>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</si>
  <si>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</si>
  <si>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</si>
  <si>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</si>
  <si>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</si>
  <si>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</si>
  <si>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</si>
  <si>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</si>
  <si>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</si>
  <si>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</si>
  <si>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</si>
  <si>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</si>
  <si>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</si>
  <si>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</si>
  <si>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</si>
  <si>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</si>
  <si>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</si>
  <si>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</si>
  <si>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</si>
  <si>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</si>
  <si>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</si>
  <si>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</si>
  <si>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</si>
  <si>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</si>
  <si>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</si>
  <si>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</si>
  <si>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</si>
  <si>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</si>
  <si>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</si>
  <si>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</si>
  <si>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</si>
  <si>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</si>
  <si>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</si>
  <si>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</si>
  <si>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</si>
  <si>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</si>
  <si>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</si>
  <si>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</si>
  <si>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</si>
  <si>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</si>
  <si>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</si>
  <si>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</si>
  <si>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</si>
  <si>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</si>
  <si>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</si>
  <si>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</si>
  <si>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</si>
  <si>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</si>
  <si>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</si>
  <si>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</si>
  <si>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</si>
  <si>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</si>
  <si>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</si>
  <si>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</si>
  <si>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</si>
  <si>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</si>
  <si>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</si>
  <si>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</si>
  <si>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</si>
  <si>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</si>
  <si>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</si>
  <si>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</si>
  <si>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</si>
  <si>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</si>
  <si>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</si>
  <si>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</si>
  <si>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</si>
  <si>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</si>
  <si>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</si>
  <si>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</si>
  <si>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</si>
  <si>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</si>
  <si>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</si>
  <si>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</si>
  <si>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</si>
  <si>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</si>
  <si>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</si>
  <si>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</si>
  <si>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</si>
  <si>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</si>
  <si>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</si>
  <si>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</si>
  <si>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</si>
  <si>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</si>
  <si>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</si>
  <si>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</si>
  <si>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</si>
  <si>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</si>
  <si>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</si>
  <si>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</si>
  <si>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</si>
  <si>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</si>
  <si>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</si>
  <si>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</si>
  <si>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</si>
  <si>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</si>
  <si>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</si>
  <si>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</si>
  <si>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</si>
  <si>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</si>
  <si>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</si>
  <si>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</si>
  <si>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</si>
  <si>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</si>
  <si>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</si>
  <si>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</si>
  <si>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</si>
  <si>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</si>
  <si>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</si>
  <si>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</si>
  <si>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</si>
  <si>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</si>
  <si>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</si>
  <si>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</si>
  <si>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</si>
  <si>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</si>
  <si>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</si>
  <si>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</si>
  <si>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</si>
  <si>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</si>
  <si>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</si>
  <si>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</si>
  <si>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</si>
  <si>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</si>
  <si>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</si>
  <si>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</si>
  <si>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</si>
  <si>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</si>
  <si>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</si>
  <si>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</si>
  <si>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</si>
  <si>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</si>
  <si>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</si>
  <si>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</si>
  <si>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</si>
  <si>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</si>
  <si>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</si>
  <si>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</si>
  <si>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</si>
  <si>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</si>
  <si>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</si>
  <si>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</si>
  <si>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</si>
  <si>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</si>
  <si>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</si>
  <si>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</si>
  <si>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</si>
  <si>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</si>
  <si>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</si>
  <si>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</si>
  <si>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</si>
  <si>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</si>
  <si>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</si>
  <si>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</si>
  <si>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</si>
  <si>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</si>
  <si>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</si>
  <si>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</si>
  <si>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</si>
  <si>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</si>
  <si>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</si>
  <si>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</si>
  <si>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</si>
  <si>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</si>
  <si>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</si>
  <si>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</si>
  <si>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</si>
  <si>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</si>
  <si>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</si>
  <si>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</si>
  <si>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</si>
  <si>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</si>
  <si>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</si>
  <si>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</si>
  <si>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</si>
  <si>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</si>
  <si>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</si>
  <si>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</si>
  <si>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</si>
  <si>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</si>
  <si>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</si>
  <si>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</si>
  <si>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</si>
  <si>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</si>
  <si>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</si>
  <si>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</si>
  <si>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</si>
  <si>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</si>
  <si>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</si>
  <si>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</si>
  <si>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</si>
  <si>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</si>
  <si>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</si>
  <si>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</si>
  <si>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</si>
  <si>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</si>
  <si>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</si>
  <si>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</si>
  <si>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</si>
  <si>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</si>
  <si>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</si>
  <si>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</si>
  <si>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</si>
  <si>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</si>
  <si>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</si>
  <si>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</si>
  <si>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</si>
  <si>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</si>
  <si>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</si>
  <si>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</si>
  <si>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</si>
  <si>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</si>
  <si>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</si>
  <si>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</si>
  <si>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</si>
  <si>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</si>
  <si>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</si>
  <si>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</si>
  <si>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</si>
  <si>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</si>
  <si>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</si>
  <si>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</si>
  <si>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</si>
  <si>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</si>
  <si>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</si>
  <si>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</si>
  <si>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</si>
  <si>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</si>
  <si>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</si>
  <si>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</si>
  <si>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</si>
  <si>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</si>
  <si>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</si>
  <si>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</si>
  <si>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</si>
  <si>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</si>
  <si>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</si>
  <si>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</si>
  <si>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</si>
  <si>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</si>
  <si>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</si>
  <si>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</si>
  <si>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</si>
  <si>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</si>
  <si>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</si>
  <si>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</si>
  <si>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</si>
  <si>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</si>
  <si>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</si>
  <si>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</si>
  <si>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</si>
  <si>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</si>
  <si>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</si>
  <si>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</si>
  <si>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</si>
  <si>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</si>
  <si>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</si>
  <si>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</si>
  <si>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</si>
  <si>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</si>
  <si>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</si>
  <si>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</si>
  <si>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</si>
  <si>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</si>
  <si>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</si>
  <si>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</si>
  <si>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</si>
  <si>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</si>
  <si>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</si>
  <si>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</si>
  <si>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</si>
  <si>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</si>
  <si>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</si>
  <si>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</si>
  <si>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</si>
  <si>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</si>
  <si>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</si>
  <si>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</si>
  <si>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</si>
  <si>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</si>
  <si>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</si>
  <si>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</si>
  <si>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</si>
  <si>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</si>
  <si>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</si>
  <si>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</si>
  <si>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</si>
  <si>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</si>
  <si>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</si>
  <si>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</si>
  <si>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</si>
  <si>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</si>
  <si>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</si>
  <si>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</si>
  <si>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</si>
  <si>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</si>
  <si>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</si>
  <si>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</si>
  <si>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</si>
  <si>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</si>
  <si>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</si>
  <si>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</si>
  <si>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</si>
  <si>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</si>
  <si>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</si>
  <si>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</si>
  <si>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</si>
  <si>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</si>
  <si>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</si>
  <si>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</si>
  <si>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</si>
  <si>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</si>
  <si>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</si>
  <si>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</si>
  <si>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</si>
  <si>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</si>
  <si>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</si>
  <si>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</si>
  <si>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</si>
  <si>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</si>
  <si>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</si>
  <si>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</si>
  <si>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</si>
  <si>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</si>
  <si>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</si>
  <si>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</si>
  <si>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</si>
  <si>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</si>
  <si>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</si>
  <si>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</si>
  <si>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</si>
  <si>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</si>
  <si>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</si>
  <si>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</si>
  <si>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</si>
  <si>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</si>
  <si>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</si>
  <si>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</si>
  <si>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</si>
  <si>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</si>
  <si>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</si>
  <si>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</si>
  <si>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</si>
  <si>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</si>
  <si>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</si>
  <si>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</si>
  <si>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</si>
  <si>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</si>
  <si>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</si>
  <si>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</si>
  <si>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</si>
  <si>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</si>
  <si>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</si>
  <si>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</si>
  <si>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</si>
  <si>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</si>
  <si>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</si>
  <si>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</si>
  <si>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</si>
  <si>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</si>
  <si>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</si>
  <si>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</si>
  <si>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</si>
  <si>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</si>
  <si>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</si>
  <si>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</si>
  <si>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</si>
  <si>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</si>
  <si>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</si>
  <si>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</si>
  <si>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</si>
  <si>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</si>
  <si>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</si>
  <si>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</si>
  <si>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</si>
  <si>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</si>
  <si>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</si>
  <si>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</si>
  <si>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</si>
  <si>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</si>
  <si>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</si>
  <si>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</si>
  <si>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</si>
  <si>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</si>
  <si>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</si>
  <si>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</si>
  <si>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</si>
  <si>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</si>
  <si>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</si>
  <si>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</si>
  <si>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</si>
  <si>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</si>
  <si>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</si>
  <si>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</si>
  <si>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</si>
  <si>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</si>
  <si>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</si>
  <si>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</si>
  <si>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</si>
  <si>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</si>
  <si>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</si>
  <si>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</si>
  <si>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</si>
  <si>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</si>
  <si>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</si>
  <si>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</si>
  <si>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</si>
  <si>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</si>
  <si>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</si>
  <si>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</si>
  <si>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</si>
  <si>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</si>
  <si>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</si>
  <si>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</si>
  <si>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</si>
  <si>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</si>
  <si>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</si>
  <si>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</si>
  <si>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</si>
  <si>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</si>
  <si>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</si>
  <si>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</si>
  <si>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</si>
  <si>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</si>
  <si>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</si>
  <si>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</si>
  <si>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</si>
  <si>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</si>
  <si>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</si>
  <si>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</si>
  <si>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</si>
  <si>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</si>
  <si>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</si>
  <si>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</si>
  <si>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</si>
  <si>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</si>
  <si>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</si>
  <si>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</si>
  <si>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</si>
  <si>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</si>
  <si>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</si>
  <si>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</si>
  <si>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</si>
  <si>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</si>
  <si>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</si>
  <si>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</si>
  <si>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</si>
  <si>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</si>
  <si>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</si>
  <si>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</si>
  <si>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</si>
  <si>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</si>
  <si>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</si>
  <si>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</si>
  <si>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</si>
  <si>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</si>
  <si>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</si>
  <si>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</si>
  <si>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</si>
  <si>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</si>
  <si>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</si>
  <si>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</si>
  <si>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</si>
  <si>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</si>
  <si>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</si>
  <si>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</si>
  <si>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</si>
  <si>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</si>
  <si>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</si>
  <si>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</si>
  <si>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</si>
  <si>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</si>
  <si>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</si>
  <si>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</si>
  <si>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</si>
  <si>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</si>
  <si>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</si>
  <si>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</si>
  <si>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</si>
  <si>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</si>
  <si>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</si>
  <si>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</si>
  <si>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</si>
  <si>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</si>
  <si>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</si>
  <si>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</si>
  <si>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</si>
  <si>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</si>
  <si>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</si>
  <si>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</si>
  <si>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</si>
  <si>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</si>
  <si>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</si>
  <si>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</si>
  <si>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</si>
  <si>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</si>
  <si>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</si>
  <si>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</si>
  <si>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</si>
  <si>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</si>
  <si>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</si>
  <si>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</si>
  <si>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</si>
  <si>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</si>
  <si>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</si>
  <si>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</si>
  <si>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</si>
  <si>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</si>
  <si>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</si>
  <si>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</si>
  <si>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</si>
  <si>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</si>
  <si>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</si>
  <si>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</si>
  <si>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</si>
  <si>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</si>
  <si>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</si>
  <si>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</si>
  <si>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</si>
  <si>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</si>
  <si>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</si>
  <si>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</si>
  <si>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</si>
  <si>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</si>
  <si>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</si>
  <si>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</si>
  <si>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</si>
  <si>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</si>
  <si>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</si>
  <si>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</si>
  <si>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</si>
  <si>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</si>
  <si>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</si>
  <si>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</si>
  <si>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</si>
  <si>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</si>
  <si>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</si>
  <si>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</si>
  <si>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</si>
  <si>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</si>
  <si>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</si>
  <si>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</si>
  <si>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</si>
  <si>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</si>
  <si>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</si>
  <si>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</si>
  <si>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</si>
  <si>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</si>
  <si>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</si>
  <si>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</si>
  <si>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</si>
  <si>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</si>
  <si>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</si>
  <si>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</si>
  <si>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</si>
  <si>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</si>
  <si>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</si>
  <si>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</si>
  <si>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</si>
  <si>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</si>
  <si>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</si>
  <si>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</si>
  <si>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</si>
  <si>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</si>
  <si>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</si>
  <si>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</si>
  <si>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</si>
  <si>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</si>
  <si>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</si>
  <si>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</si>
  <si>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</si>
  <si>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</si>
  <si>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</si>
  <si>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</si>
  <si>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</si>
  <si>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</si>
  <si>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</si>
  <si>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</si>
  <si>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</si>
  <si>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</si>
  <si>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</si>
  <si>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</si>
  <si>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</si>
  <si>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</si>
  <si>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</si>
  <si>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</si>
  <si>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</si>
  <si>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</si>
  <si>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</si>
  <si>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</si>
  <si>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</si>
  <si>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</si>
  <si>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</si>
  <si>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</si>
  <si>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</si>
  <si>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</si>
  <si>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</si>
  <si>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</si>
  <si>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</si>
  <si>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</si>
  <si>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</si>
  <si>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</si>
  <si>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</si>
  <si>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</si>
  <si>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</si>
  <si>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</si>
  <si>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</si>
  <si>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</si>
  <si>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</si>
  <si>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</si>
  <si>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</si>
  <si>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</si>
  <si>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</si>
  <si>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</si>
  <si>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</si>
  <si>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</si>
  <si>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</si>
  <si>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</si>
  <si>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</si>
  <si>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</si>
  <si>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</si>
  <si>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</si>
  <si>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</si>
  <si>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</si>
  <si>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</si>
  <si>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</si>
  <si>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</si>
  <si>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</si>
  <si>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</si>
  <si>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</si>
  <si>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</si>
  <si>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</si>
  <si>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</si>
  <si>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</si>
  <si>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</si>
  <si>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</si>
  <si>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</si>
  <si>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</si>
  <si>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</si>
  <si>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</si>
  <si>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</si>
  <si>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</si>
  <si>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</si>
  <si>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</si>
  <si>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</si>
  <si>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</si>
  <si>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</si>
  <si>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</si>
  <si>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</si>
  <si>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</si>
  <si>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</si>
  <si>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</si>
  <si>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</si>
  <si>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</si>
  <si>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</si>
  <si>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</si>
  <si>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</si>
  <si>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</si>
  <si>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</si>
  <si>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</si>
  <si>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</si>
  <si>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</si>
  <si>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</si>
  <si>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</si>
  <si>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</si>
  <si>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</si>
  <si>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</si>
  <si>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</si>
  <si>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</si>
  <si>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</si>
  <si>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</si>
  <si>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</si>
  <si>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</si>
  <si>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</si>
  <si>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</si>
  <si>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</si>
  <si>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</si>
  <si>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</si>
  <si>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</si>
  <si>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</si>
  <si>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</si>
  <si>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</si>
  <si>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</si>
  <si>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</si>
  <si>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</si>
  <si>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</si>
  <si>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</si>
  <si>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</si>
  <si>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</si>
  <si>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</si>
  <si>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</si>
  <si>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</si>
  <si>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</si>
  <si>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</si>
  <si>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</si>
  <si>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</si>
  <si>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</si>
  <si>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</si>
  <si>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</si>
  <si>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</si>
  <si>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</si>
  <si>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</si>
  <si>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</si>
  <si>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</si>
  <si>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</si>
  <si>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</si>
  <si>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</si>
  <si>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</si>
  <si>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</si>
  <si>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</si>
  <si>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</si>
  <si>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</si>
  <si>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</si>
  <si>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</si>
  <si>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</si>
  <si>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</si>
  <si>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</si>
  <si>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</si>
  <si>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</si>
  <si>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</si>
  <si>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</si>
  <si>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</si>
  <si>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</si>
  <si>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</si>
  <si>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</si>
  <si>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</si>
  <si>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</si>
  <si>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</si>
  <si>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</si>
  <si>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</si>
  <si>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</si>
  <si>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</si>
  <si>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</si>
  <si>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</si>
  <si>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</si>
  <si>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</si>
  <si>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</si>
  <si>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</si>
  <si>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</si>
  <si>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</si>
  <si>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</si>
  <si>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</si>
  <si>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</si>
  <si>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</si>
  <si>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</si>
  <si>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</si>
  <si>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</si>
  <si>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</si>
  <si>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</si>
  <si>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</si>
  <si>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</si>
  <si>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</si>
  <si>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</si>
  <si>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</si>
  <si>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</si>
  <si>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</si>
  <si>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</si>
  <si>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</si>
  <si>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</si>
  <si>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</si>
  <si>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</si>
  <si>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</si>
  <si>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</si>
  <si>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</si>
  <si>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</si>
  <si>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</si>
  <si>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</si>
  <si>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</si>
  <si>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</si>
  <si>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</si>
  <si>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</si>
  <si>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</si>
  <si>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</si>
  <si>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</si>
  <si>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</si>
  <si>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</si>
  <si>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</si>
  <si>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</si>
  <si>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</si>
  <si>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</si>
  <si>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</si>
  <si>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</si>
  <si>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</si>
  <si>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</si>
  <si>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</si>
  <si>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</si>
  <si>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</si>
  <si>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</si>
  <si>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</si>
  <si>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</si>
  <si>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</si>
  <si>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</si>
  <si>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</si>
  <si>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</si>
  <si>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</si>
  <si>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</si>
  <si>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</si>
  <si>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</si>
  <si>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</si>
  <si>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</si>
  <si>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</si>
  <si>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</si>
  <si>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</si>
  <si>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</si>
  <si>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</si>
  <si>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</si>
  <si>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</si>
  <si>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</si>
  <si>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</si>
  <si>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</si>
  <si>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</si>
  <si>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</si>
  <si>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</si>
  <si>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</si>
  <si>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</si>
  <si>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</si>
  <si>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</si>
  <si>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</si>
  <si>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</si>
  <si>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</si>
  <si>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</si>
  <si>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</si>
  <si>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</si>
  <si>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</si>
  <si>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</si>
  <si>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</si>
  <si>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</si>
  <si>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</si>
  <si>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</si>
  <si>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</si>
  <si>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</si>
  <si>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</si>
  <si>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</si>
  <si>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</si>
  <si>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</si>
  <si>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</si>
  <si>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</si>
  <si>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</si>
  <si>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</si>
  <si>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</si>
  <si>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</si>
  <si>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</si>
  <si>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</si>
  <si>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</si>
  <si>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</si>
  <si>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</si>
  <si>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</si>
  <si>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</si>
  <si>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</si>
  <si>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</si>
  <si>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</si>
  <si>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</si>
  <si>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</si>
  <si>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</si>
  <si>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</si>
  <si>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</si>
  <si>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</si>
  <si>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</si>
  <si>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</si>
  <si>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</si>
  <si>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</si>
  <si>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</si>
  <si>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</si>
  <si>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</si>
  <si>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</si>
  <si>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</si>
  <si>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</si>
  <si>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</si>
  <si>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</si>
  <si>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</si>
  <si>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</si>
  <si>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</si>
  <si>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</si>
  <si>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</si>
  <si>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</si>
  <si>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</si>
  <si>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</si>
  <si>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</si>
  <si>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</si>
  <si>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</si>
  <si>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</si>
  <si>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</si>
  <si>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</si>
  <si>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</si>
  <si>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</si>
  <si>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</si>
  <si>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</si>
  <si>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</si>
  <si>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</si>
  <si>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</si>
  <si>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</si>
  <si>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</si>
  <si>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</si>
  <si>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</si>
  <si>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</si>
  <si>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</si>
  <si>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</si>
  <si>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</si>
  <si>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</si>
  <si>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</si>
  <si>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</si>
  <si>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</si>
  <si>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</si>
  <si>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</si>
  <si>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</si>
  <si>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</si>
  <si>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</si>
  <si>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</si>
  <si>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</si>
  <si>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</si>
  <si>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</si>
  <si>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</si>
  <si>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</si>
  <si>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</si>
  <si>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</si>
  <si>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</si>
  <si>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</si>
  <si>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</si>
  <si>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</si>
  <si>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</si>
  <si>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</si>
  <si>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</si>
  <si>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</si>
  <si>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</si>
  <si>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</si>
  <si>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</si>
  <si>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</si>
  <si>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</si>
  <si>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</si>
  <si>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</si>
  <si>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</si>
  <si>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</si>
  <si>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</si>
  <si>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</si>
  <si>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</si>
  <si>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</si>
  <si>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</si>
  <si>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</si>
  <si>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</si>
  <si>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</si>
  <si>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</si>
  <si>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</si>
  <si>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</si>
  <si>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</si>
  <si>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</si>
  <si>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</si>
  <si>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</si>
  <si>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</si>
  <si>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</si>
  <si>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</si>
  <si>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</si>
  <si>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</si>
  <si>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</si>
  <si>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</si>
  <si>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</si>
  <si>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</si>
  <si>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</si>
  <si>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</si>
  <si>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</si>
  <si>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</si>
  <si>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</si>
  <si>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</si>
  <si>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</si>
  <si>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</si>
  <si>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</si>
  <si>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</si>
  <si>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</si>
  <si>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</si>
  <si>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</si>
  <si>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</si>
  <si>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</si>
  <si>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</si>
  <si>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</si>
  <si>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</si>
  <si>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</si>
  <si>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</si>
  <si>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</si>
  <si>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</si>
  <si>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</si>
  <si>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</si>
  <si>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</si>
  <si>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</si>
  <si>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</si>
  <si>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</si>
  <si>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</si>
  <si>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</si>
  <si>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</si>
  <si>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</si>
  <si>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</si>
  <si>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</si>
  <si>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</si>
  <si>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</si>
  <si>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</si>
  <si>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</si>
  <si>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</si>
  <si>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</si>
  <si>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</si>
  <si>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</si>
  <si>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</si>
  <si>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</si>
  <si>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</si>
  <si>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</si>
  <si>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</si>
  <si>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</si>
  <si>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</si>
  <si>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</si>
  <si>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</si>
  <si>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</si>
  <si>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</si>
  <si>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</si>
  <si>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</si>
  <si>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</si>
  <si>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</si>
  <si>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</si>
  <si>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</si>
  <si>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</si>
  <si>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</si>
  <si>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</si>
  <si>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</si>
  <si>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</si>
  <si>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</si>
  <si>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</si>
  <si>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</si>
  <si>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</si>
  <si>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</si>
  <si>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</si>
  <si>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</si>
  <si>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</si>
  <si>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</si>
  <si>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</si>
  <si>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</si>
  <si>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</si>
  <si>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</si>
  <si>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</si>
  <si>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</si>
  <si>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</si>
  <si>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</si>
  <si>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</si>
  <si>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</si>
  <si>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</si>
  <si>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</si>
  <si>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</si>
  <si>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</si>
  <si>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</si>
  <si>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</si>
  <si>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</si>
  <si>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</si>
  <si>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</si>
  <si>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</si>
  <si>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</si>
  <si>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</si>
  <si>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</si>
  <si>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</si>
  <si>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</si>
  <si>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</si>
  <si>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</si>
  <si>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</si>
  <si>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</si>
  <si>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</si>
  <si>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</si>
  <si>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</si>
  <si>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</si>
  <si>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</si>
  <si>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</si>
  <si>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</si>
  <si>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</si>
  <si>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</si>
  <si>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</si>
  <si>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</si>
  <si>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</si>
  <si>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</si>
  <si>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</si>
  <si>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</si>
  <si>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</si>
  <si>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</si>
  <si>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</si>
  <si>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</si>
  <si>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</si>
  <si>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</si>
  <si>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</si>
  <si>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</si>
  <si>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</si>
  <si>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</si>
  <si>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</si>
  <si>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</si>
  <si>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</si>
  <si>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</si>
  <si>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</si>
  <si>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</si>
  <si>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</si>
  <si>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</si>
  <si>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</si>
  <si>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</si>
  <si>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</si>
  <si>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</si>
  <si>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</si>
  <si>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</si>
  <si>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</si>
  <si>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</si>
  <si>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</si>
  <si>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</si>
  <si>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</si>
  <si>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</si>
  <si>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</si>
  <si>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</si>
  <si>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</si>
  <si>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</si>
  <si>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</si>
  <si>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</si>
  <si>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</si>
  <si>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</si>
  <si>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</si>
  <si>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</si>
  <si>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</si>
  <si>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</si>
  <si>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</si>
  <si>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</si>
  <si>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</si>
  <si>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</si>
  <si>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</si>
  <si>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</si>
  <si>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</si>
  <si>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</si>
  <si>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</si>
  <si>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</si>
  <si>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</si>
  <si>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</si>
  <si>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</si>
  <si>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</si>
  <si>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</si>
  <si>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</si>
  <si>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</si>
  <si>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</si>
  <si>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</si>
  <si>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</si>
  <si>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</si>
  <si>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</si>
  <si>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</si>
  <si>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</si>
  <si>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</si>
  <si>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</si>
  <si>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</si>
  <si>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</si>
  <si>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</si>
  <si>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</si>
  <si>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</si>
  <si>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</si>
  <si>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</si>
  <si>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</si>
  <si>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</si>
  <si>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</si>
  <si>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</si>
  <si>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</si>
  <si>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</si>
  <si>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</si>
  <si>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</si>
  <si>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</si>
  <si>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</si>
  <si>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</si>
  <si>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</si>
  <si>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</si>
  <si>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</si>
  <si>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</si>
  <si>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</si>
  <si>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</si>
  <si>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</si>
  <si>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</si>
  <si>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</si>
  <si>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</si>
  <si>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</si>
  <si>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</si>
  <si>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</si>
  <si>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</si>
  <si>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</si>
  <si>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</si>
  <si>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</si>
  <si>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</si>
  <si>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</si>
  <si>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</si>
  <si>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</si>
  <si>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</si>
  <si>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</si>
  <si>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</si>
  <si>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</si>
  <si>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</si>
  <si>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</si>
  <si>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</si>
  <si>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</si>
  <si>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</si>
  <si>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</si>
  <si>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</si>
  <si>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</si>
  <si>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</si>
  <si>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</si>
  <si>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</si>
  <si>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</si>
  <si>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</si>
  <si>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</si>
  <si>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</si>
  <si>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</si>
  <si>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</si>
  <si>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</si>
  <si>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</si>
  <si>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</si>
  <si>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</si>
  <si>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</si>
  <si>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</si>
  <si>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</si>
  <si>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</si>
  <si>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</si>
  <si>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</si>
  <si>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</si>
  <si>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</si>
  <si>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</si>
  <si>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</si>
  <si>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</si>
  <si>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</si>
  <si>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</si>
  <si>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</si>
  <si>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</si>
  <si>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</si>
  <si>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</si>
  <si>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</si>
  <si>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</si>
  <si>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</si>
  <si>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</si>
  <si>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</si>
  <si>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</si>
  <si>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</si>
  <si>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</si>
  <si>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</si>
  <si>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</si>
  <si>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</si>
  <si>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</si>
  <si>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</si>
  <si>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</si>
  <si>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</si>
  <si>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</si>
  <si>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</si>
  <si>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</si>
  <si>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</si>
  <si>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</si>
  <si>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</si>
  <si>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</si>
  <si>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</si>
  <si>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</si>
  <si>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</si>
  <si>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</si>
  <si>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</si>
  <si>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</si>
  <si>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</si>
  <si>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</si>
  <si>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</si>
  <si>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</si>
  <si>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</si>
  <si>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</si>
  <si>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</si>
  <si>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</si>
  <si>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</si>
  <si>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</si>
  <si>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</si>
  <si>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</si>
  <si>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</si>
  <si>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</si>
  <si>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</si>
  <si>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</si>
  <si>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</si>
  <si>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</si>
  <si>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</si>
  <si>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</si>
  <si>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</si>
  <si>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</si>
  <si>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</si>
  <si>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</si>
  <si>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</si>
  <si>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</si>
  <si>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</si>
  <si>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</si>
  <si>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</si>
  <si>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</si>
  <si>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</si>
  <si>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</si>
  <si>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</si>
  <si>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</si>
  <si>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</si>
  <si>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</si>
  <si>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</si>
  <si>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</si>
  <si>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</si>
  <si>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</si>
  <si>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</si>
  <si>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</si>
  <si>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</si>
  <si>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</si>
  <si>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</si>
  <si>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</si>
  <si>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</si>
  <si>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</si>
  <si>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</si>
  <si>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</si>
  <si>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</si>
  <si>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</si>
  <si>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</si>
  <si>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</si>
  <si>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</si>
  <si>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</si>
  <si>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</si>
  <si>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</si>
  <si>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</si>
  <si>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</si>
  <si>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</si>
  <si>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</si>
  <si>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</si>
  <si>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</si>
  <si>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</si>
  <si>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</si>
  <si>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</si>
  <si>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</si>
  <si>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</si>
  <si>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</si>
  <si>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</si>
  <si>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</si>
  <si>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</si>
  <si>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</si>
  <si>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</si>
  <si>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</si>
  <si>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</si>
  <si>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</si>
  <si>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</si>
  <si>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</si>
  <si>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</si>
  <si>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</si>
  <si>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</si>
  <si>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</si>
  <si>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</si>
  <si>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</si>
  <si>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</si>
  <si>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</si>
  <si>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</si>
  <si>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</si>
  <si>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</si>
  <si>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</si>
  <si>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</si>
  <si>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</si>
  <si>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</si>
  <si>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</si>
  <si>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</si>
  <si>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</si>
  <si>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</si>
  <si>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</si>
  <si>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</si>
  <si>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</si>
  <si>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</si>
  <si>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</si>
  <si>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</si>
  <si>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</si>
  <si>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</si>
  <si>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</si>
  <si>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</si>
  <si>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</si>
  <si>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</si>
  <si>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</si>
  <si>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</si>
  <si>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</si>
  <si>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</si>
  <si>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</si>
  <si>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</si>
  <si>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</si>
  <si>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</si>
  <si>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</si>
  <si>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</si>
  <si>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</si>
  <si>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</si>
  <si>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</si>
  <si>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</si>
  <si>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</si>
  <si>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</si>
  <si>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</si>
  <si>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</si>
  <si>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</si>
  <si>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</si>
  <si>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</si>
  <si>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</si>
  <si>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</si>
  <si>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</si>
  <si>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</si>
  <si>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</si>
  <si>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</si>
  <si>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</si>
  <si>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</si>
  <si>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</si>
  <si>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</si>
  <si>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</si>
  <si>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</si>
  <si>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</si>
  <si>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</si>
  <si>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</si>
  <si>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</si>
  <si>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</si>
  <si>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</si>
  <si>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</si>
  <si>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</si>
  <si>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</si>
  <si>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</si>
  <si>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</si>
  <si>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</si>
  <si>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</si>
  <si>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</si>
  <si>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</si>
  <si>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</si>
  <si>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</si>
  <si>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</si>
  <si>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</si>
  <si>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</si>
  <si>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</si>
  <si>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</si>
  <si>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</si>
  <si>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</si>
  <si>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</si>
  <si>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</si>
  <si>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</si>
  <si>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</si>
  <si>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</si>
  <si>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</si>
  <si>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</si>
  <si>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</si>
  <si>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</si>
  <si>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</si>
  <si>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</si>
  <si>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</si>
  <si>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</si>
  <si>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</si>
  <si>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</si>
  <si>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</si>
  <si>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</si>
  <si>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</si>
  <si>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</si>
  <si>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</si>
  <si>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</si>
  <si>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</si>
  <si>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</si>
  <si>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</si>
  <si>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</si>
  <si>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</si>
  <si>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</si>
  <si>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</si>
  <si>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</si>
  <si>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</si>
  <si>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</si>
  <si>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</si>
  <si>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</si>
  <si>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</si>
  <si>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</si>
  <si>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</si>
  <si>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</si>
  <si>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</si>
  <si>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</si>
  <si>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</si>
  <si>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</si>
  <si>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</si>
  <si>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</si>
  <si>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</si>
  <si>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</si>
  <si>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</si>
  <si>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</si>
  <si>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</si>
  <si>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</si>
  <si>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</si>
  <si>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</si>
  <si>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</si>
  <si>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</si>
  <si>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</si>
  <si>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</si>
  <si>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</si>
  <si>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</si>
  <si>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</si>
  <si>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</si>
  <si>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</si>
  <si>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</si>
  <si>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</si>
  <si>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</si>
  <si>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</si>
  <si>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</si>
  <si>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</si>
  <si>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</si>
  <si>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</si>
  <si>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</si>
  <si>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</si>
  <si>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</si>
  <si>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</si>
  <si>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</si>
  <si>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</si>
  <si>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</si>
  <si>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</si>
  <si>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</si>
  <si>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</si>
  <si>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</si>
  <si>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</si>
  <si>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</si>
  <si>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</si>
  <si>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</si>
  <si>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</si>
  <si>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</si>
  <si>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</si>
  <si>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</si>
  <si>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</si>
  <si>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</si>
  <si>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</si>
  <si>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</si>
  <si>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</si>
  <si>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</si>
  <si>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</si>
  <si>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</si>
  <si>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</si>
  <si>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</si>
  <si>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</si>
  <si>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</si>
  <si>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</si>
  <si>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</si>
  <si>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</si>
  <si>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</si>
  <si>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</si>
  <si>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</si>
  <si>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</si>
  <si>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</si>
  <si>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</si>
  <si>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</si>
  <si>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</si>
  <si>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</si>
  <si>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</si>
  <si>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</si>
  <si>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</si>
  <si>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</si>
  <si>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</si>
  <si>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</si>
  <si>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</si>
  <si>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</si>
  <si>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</si>
  <si>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</si>
  <si>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</si>
  <si>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</si>
  <si>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</si>
  <si>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</si>
  <si>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</si>
  <si>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</si>
  <si>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</si>
  <si>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</si>
  <si>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</si>
  <si>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</si>
  <si>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</si>
  <si>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</si>
  <si>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</si>
  <si>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</si>
  <si>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</si>
  <si>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</si>
  <si>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</si>
  <si>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</si>
  <si>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</si>
  <si>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</si>
  <si>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</si>
  <si>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</si>
  <si>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</si>
  <si>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</si>
  <si>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</si>
  <si>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</si>
  <si>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</si>
  <si>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</si>
  <si>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</si>
  <si>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</si>
  <si>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</si>
  <si>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</si>
  <si>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</si>
  <si>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</si>
  <si>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</si>
  <si>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</si>
  <si>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</si>
  <si>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</si>
  <si>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</si>
  <si>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</si>
  <si>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</si>
  <si>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</si>
  <si>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</si>
  <si>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</si>
  <si>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</si>
  <si>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</si>
  <si>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</si>
  <si>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</si>
  <si>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</si>
  <si>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</si>
  <si>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</si>
  <si>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</si>
  <si>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</si>
  <si>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</si>
  <si>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</si>
  <si>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</si>
  <si>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</si>
  <si>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</si>
  <si>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</si>
  <si>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</si>
  <si>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</si>
  <si>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</si>
  <si>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</si>
  <si>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</si>
  <si>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</si>
  <si>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</si>
  <si>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</si>
  <si>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</si>
  <si>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</si>
  <si>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</si>
  <si>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</si>
  <si>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</si>
  <si>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</si>
  <si>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</si>
  <si>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</si>
  <si>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</si>
  <si>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</si>
  <si>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</si>
  <si>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</si>
  <si>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</si>
  <si>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</si>
  <si>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</si>
  <si>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</si>
  <si>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</si>
  <si>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</si>
  <si>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</si>
  <si>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</si>
  <si>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</si>
  <si>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</si>
  <si>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</si>
  <si>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</si>
  <si>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</si>
  <si>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</si>
  <si>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</si>
  <si>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</si>
  <si>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</si>
  <si>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</si>
  <si>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</si>
  <si>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</si>
  <si>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</si>
  <si>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</si>
  <si>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</si>
  <si>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</si>
  <si>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</si>
  <si>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</si>
  <si>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</si>
  <si>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</si>
  <si>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</si>
  <si>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</si>
  <si>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</si>
  <si>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</si>
  <si>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</si>
  <si>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</si>
  <si>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</si>
  <si>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</si>
  <si>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</si>
  <si>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</si>
  <si>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</si>
  <si>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</si>
  <si>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</si>
  <si>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</si>
  <si>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</si>
  <si>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</si>
  <si>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</si>
  <si>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</si>
  <si>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</si>
  <si>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</si>
  <si>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</si>
  <si>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</si>
  <si>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</si>
  <si>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</si>
  <si>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</si>
  <si>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</si>
  <si>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</si>
  <si>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</si>
  <si>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</si>
  <si>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</si>
  <si>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</si>
  <si>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</si>
  <si>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</si>
  <si>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</si>
  <si>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</si>
  <si>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</si>
  <si>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</si>
  <si>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</si>
  <si>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</si>
  <si>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</si>
  <si>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</si>
  <si>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</si>
  <si>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</si>
  <si>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</si>
  <si>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</si>
  <si>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</si>
  <si>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</si>
  <si>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</si>
  <si>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</si>
  <si>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</si>
  <si>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</si>
  <si>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</si>
  <si>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</si>
  <si>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</si>
  <si>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</si>
  <si>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</si>
  <si>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</si>
  <si>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</si>
  <si>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</si>
  <si>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</si>
  <si>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</si>
  <si>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</si>
  <si>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</si>
  <si>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</si>
  <si>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</si>
  <si>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</si>
  <si>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</si>
  <si>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</si>
  <si>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</si>
  <si>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</si>
  <si>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</si>
  <si>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</si>
  <si>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</si>
  <si>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</si>
  <si>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</si>
  <si>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</si>
  <si>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</si>
  <si>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</si>
  <si>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</si>
  <si>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</si>
  <si>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</si>
  <si>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</si>
  <si>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</si>
  <si>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</si>
  <si>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</si>
  <si>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</si>
  <si>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</si>
  <si>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</si>
  <si>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</si>
  <si>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</si>
  <si>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</si>
  <si>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</si>
  <si>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</si>
  <si>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</si>
  <si>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</si>
  <si>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</si>
  <si>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</si>
  <si>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</si>
  <si>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</si>
  <si>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</si>
  <si>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</si>
  <si>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</si>
  <si>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</si>
  <si>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</si>
  <si>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</si>
  <si>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</si>
  <si>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</si>
  <si>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住宅</t>
  </si>
  <si>
    <t>地下</t>
  </si>
  <si>
    <t>车库</t>
  </si>
  <si>
    <t>商业</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</si>
  <si>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</si>
  <si>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</si>
  <si>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</si>
  <si>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</si>
  <si>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</si>
  <si>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</si>
  <si>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</si>
  <si>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</si>
  <si>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</si>
  <si>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</si>
  <si>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</si>
  <si>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</si>
  <si>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</si>
  <si>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</si>
  <si>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</si>
  <si>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</si>
  <si>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</si>
  <si>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</si>
  <si>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</si>
  <si>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</si>
  <si>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</si>
  <si>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</si>
  <si>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</si>
  <si>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</si>
  <si>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</si>
  <si>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</si>
  <si>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</si>
  <si>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</si>
  <si>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</si>
  <si>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</si>
  <si>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</si>
  <si>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</si>
  <si>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</si>
  <si>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</si>
  <si>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</si>
  <si>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</si>
  <si>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</si>
  <si>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</si>
  <si>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</si>
  <si>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</si>
  <si>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</si>
  <si>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</si>
  <si>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</si>
  <si>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</si>
  <si>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</si>
  <si>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</si>
  <si>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晋宁区晋城镇新街片区安江、古城村委会</t>
  </si>
  <si>
    <t>昆明市</t>
  </si>
  <si>
    <t>住宅用地</t>
  </si>
  <si>
    <t>晋宁区</t>
  </si>
  <si>
    <t>挂牌</t>
  </si>
  <si>
    <t>JN2018-56号</t>
  </si>
  <si>
    <t>其他普通商品住房用地</t>
  </si>
  <si>
    <t>大于1并且小于或等于2.4</t>
  </si>
  <si>
    <t>小于或等于35</t>
  </si>
  <si>
    <t>等于100</t>
  </si>
  <si>
    <t>未开工</t>
  </si>
  <si>
    <t>2018-12-29</t>
  </si>
  <si>
    <t>2019-01-18</t>
  </si>
  <si>
    <t>2019-01-31</t>
  </si>
  <si>
    <t>晋国土资告字[2018]16号</t>
  </si>
  <si>
    <t>已成交</t>
  </si>
  <si>
    <t>昆明欣江合达城市建设有限公司</t>
  </si>
  <si>
    <t>70年</t>
  </si>
  <si>
    <t>0星</t>
  </si>
  <si>
    <t>JN2018-65号</t>
  </si>
  <si>
    <t>大于1并且小于或等于3.2</t>
  </si>
  <si>
    <t>小于或等于30</t>
  </si>
  <si>
    <t>等于80</t>
  </si>
  <si>
    <t>JN2018-58号</t>
  </si>
  <si>
    <t>大于1并且小于或等于1.5</t>
  </si>
  <si>
    <t>JN2018-54号</t>
  </si>
  <si>
    <t>晋宁区晋城镇新街片区安江村委会</t>
  </si>
  <si>
    <t>JN2018-48号</t>
  </si>
  <si>
    <t>小于或等于25</t>
  </si>
  <si>
    <t>JN2018-49号</t>
  </si>
  <si>
    <t>晋宁区晋城镇新街片区文河、宋家营村委会</t>
  </si>
  <si>
    <t>JN2018-67号</t>
  </si>
  <si>
    <t>晋宁区晋城镇新街片区安江、宋家营村委会</t>
  </si>
  <si>
    <t>JN2018-64号</t>
  </si>
  <si>
    <t>JN2018-53号</t>
  </si>
  <si>
    <t>JN2018-52号</t>
  </si>
  <si>
    <t>晋宁区晋城镇新街片区古城村委会</t>
  </si>
  <si>
    <t>JN2018-61号</t>
  </si>
  <si>
    <t>大于1并且小于或等于1.2</t>
  </si>
  <si>
    <t>等于48</t>
  </si>
  <si>
    <t>JN2018-57号</t>
  </si>
  <si>
    <t>JN2018-55号</t>
  </si>
  <si>
    <t>JN2018-46号</t>
  </si>
  <si>
    <t>晋宁区晋城镇新街片区宋家营村委会</t>
  </si>
  <si>
    <t>JN2018-70号</t>
  </si>
  <si>
    <t>JN2018-62号</t>
  </si>
  <si>
    <t>JN2018-47号</t>
  </si>
  <si>
    <t>昆明市晋宁区晋城镇草村村委会</t>
  </si>
  <si>
    <t>拍卖</t>
  </si>
  <si>
    <t>JN2018-32号</t>
  </si>
  <si>
    <t>大于1并且小于或等于3</t>
  </si>
  <si>
    <t>开工中</t>
  </si>
  <si>
    <t>2018-07-12</t>
  </si>
  <si>
    <t>2018-08-02</t>
  </si>
  <si>
    <t>晋国土资告字[2018]9号</t>
  </si>
  <si>
    <t>云南文滇置业有限公司</t>
  </si>
  <si>
    <t>晋宁区昆阳街道办事处兴隆片区公安局戒毒所(原老党校)</t>
  </si>
  <si>
    <t>JN2017-73号</t>
  </si>
  <si>
    <t>大于1并且小于或等于1.4</t>
  </si>
  <si>
    <t>小于或等于27</t>
  </si>
  <si>
    <t>等于36</t>
  </si>
  <si>
    <t>2018-06-05</t>
  </si>
  <si>
    <t>2018-06-26</t>
  </si>
  <si>
    <t>晋国土资告字[2018]6号</t>
  </si>
  <si>
    <t>昆明永益房地产开发有限公司</t>
  </si>
  <si>
    <t>昆明市晋宁区晋城镇新街片区安乐、三合村委会</t>
  </si>
  <si>
    <t>JN2017-76号</t>
  </si>
  <si>
    <t>2018-03-23</t>
  </si>
  <si>
    <t>2018-04-12</t>
  </si>
  <si>
    <t>2018-04-25</t>
  </si>
  <si>
    <t>晋国土资告字[2018]3号</t>
  </si>
  <si>
    <t>昆明七彩云南古滇王国投资发展有限公司</t>
  </si>
  <si>
    <t>晋宁区昆阳街道办事处东绕城线道路南侧、东大河西侧</t>
  </si>
  <si>
    <t>JN2017-78号</t>
  </si>
  <si>
    <t>等于75</t>
  </si>
  <si>
    <t>2018-04-13</t>
  </si>
  <si>
    <t>晋国土资告字[2018]2号</t>
  </si>
  <si>
    <t>昆明市晋宁区城市资源开发有限公司</t>
  </si>
  <si>
    <t>晋宁区昆阳街道办事处礼智村委会国税局以南</t>
  </si>
  <si>
    <t>JN2017-80号</t>
  </si>
  <si>
    <t>大于1并且小于或等于4.5</t>
  </si>
  <si>
    <t>小于或等于32</t>
  </si>
  <si>
    <t>JN2017-77号</t>
  </si>
  <si>
    <t>晋宁区昆阳街道办事处礼智村委会城关小学以北</t>
  </si>
  <si>
    <t>JN2017-79号</t>
  </si>
  <si>
    <t>大于1并且小于或等于3.5</t>
  </si>
  <si>
    <t>昆明市晋宁区晋城镇新街片区安江、三合村委会</t>
  </si>
  <si>
    <t>JN2017-34号</t>
  </si>
  <si>
    <t>大于1并且小于或等于1.05</t>
  </si>
  <si>
    <t>等于35</t>
  </si>
  <si>
    <t>2017-11-09</t>
  </si>
  <si>
    <t>2017-11-29</t>
  </si>
  <si>
    <t>2017-12-12</t>
  </si>
  <si>
    <t>晋国土资告字[2017]3号</t>
  </si>
  <si>
    <t>昆明市晋宁区晋城镇新街片区安江村委会</t>
  </si>
  <si>
    <t>JN2017-67号</t>
  </si>
  <si>
    <t>JN2017-33号</t>
  </si>
  <si>
    <t>JN2017-35号</t>
  </si>
  <si>
    <t>JN2017-68号</t>
  </si>
  <si>
    <t>晋宁县晋城镇新街片区安江村委会</t>
  </si>
  <si>
    <t>JN2016-27号</t>
  </si>
  <si>
    <t>大于1并且小于或等于2.2</t>
  </si>
  <si>
    <t>2016-08-26</t>
  </si>
  <si>
    <t>2016-09-15</t>
  </si>
  <si>
    <t>2016-09-29</t>
  </si>
  <si>
    <t>晋国土资告字[2016]11号</t>
  </si>
  <si>
    <t>昆明七彩云南城市建设投资有限公司</t>
  </si>
  <si>
    <t>JN2016-30号</t>
  </si>
  <si>
    <t>JN2016-74号</t>
  </si>
  <si>
    <t>JN2014-10号</t>
  </si>
  <si>
    <t>JN2014-08号</t>
  </si>
  <si>
    <t>JN2014-07号</t>
  </si>
  <si>
    <t>JN2016-75号</t>
  </si>
  <si>
    <t>JN2016-28号</t>
  </si>
  <si>
    <t>JN2015-32号</t>
  </si>
  <si>
    <t>昆明高新技术产业开发区马金铺乡中卫社区</t>
  </si>
  <si>
    <t>KCG2013-33号</t>
  </si>
  <si>
    <t>已完工</t>
  </si>
  <si>
    <t>2013-12-06</t>
  </si>
  <si>
    <t>2013-12-26</t>
  </si>
  <si>
    <t>2014-01-09</t>
  </si>
  <si>
    <t>晋国土资告字[2013]14号</t>
  </si>
  <si>
    <t>KCG2013-39号</t>
  </si>
  <si>
    <t>KCG2013-37号</t>
  </si>
  <si>
    <t>KCG2013-36号</t>
  </si>
  <si>
    <t>KCG2013-52号</t>
  </si>
  <si>
    <t>KCG2013-30号</t>
  </si>
  <si>
    <t>KCG2013-41号</t>
  </si>
  <si>
    <t>等于60</t>
  </si>
  <si>
    <t>KCG2013-38号</t>
  </si>
  <si>
    <t>KCG2013-31号</t>
  </si>
  <si>
    <t>KCG2013-35号</t>
  </si>
  <si>
    <t>KCG2013-54号</t>
  </si>
  <si>
    <t>KCG2013-32号</t>
  </si>
  <si>
    <t>未包含在土地购买价格中</t>
  </si>
  <si>
    <t>已包含在土地取得成本中</t>
  </si>
  <si>
    <t>成本法</t>
  </si>
  <si>
    <t>假设开发法</t>
  </si>
  <si>
    <t>收益法</t>
  </si>
  <si>
    <t>在建（套用方法）</t>
  </si>
  <si>
    <t>钢混</t>
  </si>
  <si>
    <t>非生产用房</t>
  </si>
  <si>
    <t>自定义</t>
  </si>
  <si>
    <t>按租金收入计税</t>
  </si>
  <si>
    <t>2019-1-0359-P01DYGJ2</t>
    <phoneticPr fontId="6" type="noConversion"/>
  </si>
  <si>
    <t>王鹏</t>
  </si>
  <si>
    <t>郑燚</t>
  </si>
  <si>
    <t>云南文滇置业有限公司</t>
    <phoneticPr fontId="6" type="noConversion"/>
  </si>
  <si>
    <t>云南文滇置业有限公司</t>
    <phoneticPr fontId="6" type="noConversion"/>
  </si>
  <si>
    <t>抵押</t>
  </si>
  <si>
    <t>房地产抵押价值</t>
  </si>
  <si>
    <t>其他：</t>
  </si>
  <si>
    <t>云南省昆明市</t>
    <phoneticPr fontId="6" type="noConversion"/>
  </si>
  <si>
    <t>企业</t>
  </si>
  <si>
    <t>住宅、商业、地下车库</t>
    <phoneticPr fontId="6" type="noConversion"/>
  </si>
  <si>
    <r>
      <rPr>
        <sz val="12"/>
        <color theme="9" tint="-0.249977111117893"/>
        <rFont val="宋体"/>
        <family val="3"/>
        <charset val="134"/>
      </rPr>
      <t>住宅</t>
    </r>
    <r>
      <rPr>
        <sz val="12"/>
        <color theme="9" tint="-0.249977111117893"/>
        <rFont val="Arial"/>
        <family val="2"/>
      </rPr>
      <t>69.2</t>
    </r>
    <r>
      <rPr>
        <sz val="12"/>
        <color theme="9" tint="-0.249977111117893"/>
        <rFont val="宋体"/>
        <family val="3"/>
        <charset val="134"/>
      </rPr>
      <t>年、商业</t>
    </r>
    <r>
      <rPr>
        <sz val="12"/>
        <color theme="9" tint="-0.249977111117893"/>
        <rFont val="Arial"/>
        <family val="2"/>
      </rPr>
      <t>39.2</t>
    </r>
    <r>
      <rPr>
        <sz val="12"/>
        <color theme="9" tint="-0.249977111117893"/>
        <rFont val="宋体"/>
        <family val="3"/>
        <charset val="134"/>
      </rPr>
      <t>年、地下车库</t>
    </r>
    <r>
      <rPr>
        <sz val="12"/>
        <color theme="9" tint="-0.249977111117893"/>
        <rFont val="Arial"/>
        <family val="2"/>
      </rPr>
      <t>49.2</t>
    </r>
    <r>
      <rPr>
        <sz val="12"/>
        <color theme="9" tint="-0.249977111117893"/>
        <rFont val="宋体"/>
        <family val="3"/>
        <charset val="134"/>
      </rPr>
      <t>年</t>
    </r>
    <phoneticPr fontId="6" type="noConversion"/>
  </si>
  <si>
    <r>
      <t>《不动产权利证书》</t>
    </r>
    <r>
      <rPr>
        <sz val="12"/>
        <color theme="9" tint="-0.249977111117893"/>
        <rFont val="Arial"/>
        <family val="2"/>
      </rPr>
      <t>[</t>
    </r>
    <r>
      <rPr>
        <sz val="12"/>
        <color theme="9" tint="-0.249977111117893"/>
        <rFont val="宋体"/>
        <family val="3"/>
        <charset val="134"/>
      </rPr>
      <t>云（</t>
    </r>
    <r>
      <rPr>
        <sz val="12"/>
        <color theme="9" tint="-0.249977111117893"/>
        <rFont val="Arial"/>
        <family val="2"/>
      </rPr>
      <t>2018</t>
    </r>
    <r>
      <rPr>
        <sz val="12"/>
        <color theme="9" tint="-0.249977111117893"/>
        <rFont val="宋体"/>
        <family val="3"/>
        <charset val="134"/>
      </rPr>
      <t>）晋宁区不动产权第</t>
    </r>
    <r>
      <rPr>
        <sz val="12"/>
        <color theme="9" tint="-0.249977111117893"/>
        <rFont val="Arial"/>
        <family val="2"/>
      </rPr>
      <t>0004354</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</si>
  <si>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建字第晋宁区</t>
    </r>
    <r>
      <rPr>
        <sz val="12"/>
        <color theme="9" tint="-0.249977111117893"/>
        <rFont val="Arial"/>
        <family val="2"/>
      </rPr>
      <t>201900021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、《经济技术指标》及估价委托人介绍</t>
    </r>
    <phoneticPr fontId="6" type="noConversion"/>
  </si>
  <si>
    <t>否</t>
  </si>
  <si>
    <t>《不动产权证书》</t>
  </si>
  <si>
    <t>原件</t>
  </si>
  <si>
    <t>居住项目</t>
  </si>
  <si>
    <t>无</t>
  </si>
  <si>
    <t>在建</t>
  </si>
  <si>
    <t>正常</t>
  </si>
  <si>
    <t>正常</t>
    <phoneticPr fontId="6" type="noConversion"/>
  </si>
  <si>
    <t>通路</t>
  </si>
  <si>
    <t>通电</t>
  </si>
  <si>
    <t>通讯</t>
  </si>
  <si>
    <t>通上水</t>
  </si>
  <si>
    <t>通下水</t>
  </si>
  <si>
    <t>燃气</t>
  </si>
  <si>
    <t>独栋</t>
    <phoneticPr fontId="25" type="noConversion"/>
  </si>
  <si>
    <t>联排</t>
    <phoneticPr fontId="25" type="noConversion"/>
  </si>
  <si>
    <t>洋房</t>
    <phoneticPr fontId="25" type="noConversion"/>
  </si>
  <si>
    <t>高层</t>
  </si>
  <si>
    <t>高层</t>
    <phoneticPr fontId="25" type="noConversion"/>
  </si>
  <si>
    <t>钢</t>
    <phoneticPr fontId="25" type="noConversion"/>
  </si>
  <si>
    <t>钢混</t>
    <phoneticPr fontId="25" type="noConversion"/>
  </si>
  <si>
    <t>砖混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</si>
  <si>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</si>
  <si>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</si>
  <si>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</si>
  <si>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</si>
  <si>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</si>
  <si>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</si>
  <si>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</si>
  <si>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</si>
  <si>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</si>
  <si>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</si>
  <si>
    <t>毛坯</t>
    <phoneticPr fontId="25" type="noConversion"/>
  </si>
  <si>
    <t>专业</t>
  </si>
  <si>
    <t>专业</t>
    <phoneticPr fontId="25" type="noConversion"/>
  </si>
  <si>
    <t>普通</t>
    <phoneticPr fontId="25" type="noConversion"/>
  </si>
  <si>
    <t>七通</t>
    <phoneticPr fontId="25" type="noConversion"/>
  </si>
  <si>
    <t>六通</t>
  </si>
  <si>
    <t>六通</t>
    <phoneticPr fontId="25" type="noConversion"/>
  </si>
  <si>
    <t>五通</t>
    <phoneticPr fontId="25" type="noConversion"/>
  </si>
  <si>
    <t>四通</t>
    <phoneticPr fontId="25" type="noConversion"/>
  </si>
  <si>
    <t>三通</t>
  </si>
  <si>
    <t>三通</t>
    <phoneticPr fontId="25" type="noConversion"/>
  </si>
  <si>
    <t>较差</t>
  </si>
  <si>
    <t>——</t>
    <phoneticPr fontId="25" type="noConversion"/>
  </si>
  <si>
    <t>一般</t>
  </si>
  <si>
    <t>估价对象所在区域公共配套设施齐备情况较差。</t>
    <phoneticPr fontId="41" type="noConversion"/>
  </si>
  <si>
    <t>估价对象所在区域基础设施水平达“六通”。</t>
    <phoneticPr fontId="25" type="noConversion"/>
  </si>
  <si>
    <t>住宅</t>
    <phoneticPr fontId="31" type="noConversion"/>
  </si>
  <si>
    <t>住宅商业</t>
  </si>
  <si>
    <t>住宅商业</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</si>
  <si>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</si>
  <si>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</si>
  <si>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</si>
  <si>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</si>
  <si>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</si>
  <si>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</si>
  <si>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</si>
  <si>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</si>
  <si>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</si>
  <si>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</si>
  <si>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</si>
  <si>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</si>
  <si>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</si>
  <si>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</si>
  <si>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</si>
  <si>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</si>
  <si>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</si>
  <si>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</si>
  <si>
    <t>较好</t>
    <phoneticPr fontId="31" type="noConversion"/>
  </si>
  <si>
    <t>一般</t>
    <phoneticPr fontId="31" type="noConversion"/>
  </si>
  <si>
    <t>较差</t>
    <phoneticPr fontId="31" type="noConversion"/>
  </si>
  <si>
    <t>住宅</t>
    <phoneticPr fontId="25" type="noConversion"/>
  </si>
  <si>
    <t>60-70（含）</t>
  </si>
  <si>
    <t>招商·依云郡</t>
    <phoneticPr fontId="3" type="noConversion"/>
  </si>
  <si>
    <t>恒大金碧天下</t>
    <phoneticPr fontId="3" type="noConversion"/>
  </si>
  <si>
    <t>多面临街</t>
  </si>
  <si>
    <t>多面临街</t>
    <phoneticPr fontId="31" type="noConversion"/>
  </si>
  <si>
    <t>双面临街</t>
    <phoneticPr fontId="31" type="noConversion"/>
  </si>
  <si>
    <t>单面临街</t>
  </si>
  <si>
    <t>单面临街</t>
    <phoneticPr fontId="31" type="noConversion"/>
  </si>
  <si>
    <t>不临街</t>
    <phoneticPr fontId="31" type="noConversion"/>
  </si>
  <si>
    <t>较好</t>
    <phoneticPr fontId="31" type="noConversion"/>
  </si>
  <si>
    <t>一般</t>
    <phoneticPr fontId="31" type="noConversion"/>
  </si>
  <si>
    <t>较差</t>
    <phoneticPr fontId="31" type="noConversion"/>
  </si>
  <si>
    <t>差</t>
    <phoneticPr fontId="31" type="noConversion"/>
  </si>
  <si>
    <t>商业街商铺</t>
    <phoneticPr fontId="31" type="noConversion"/>
  </si>
  <si>
    <t>独立商业</t>
    <phoneticPr fontId="31" type="noConversion"/>
  </si>
  <si>
    <t>住宅底商</t>
  </si>
  <si>
    <t>住宅底商</t>
    <phoneticPr fontId="31" type="noConversion"/>
  </si>
  <si>
    <t>写字楼底商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</si>
  <si>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</si>
  <si>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</si>
  <si>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</si>
  <si>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</si>
  <si>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</si>
  <si>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</si>
  <si>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</si>
  <si>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</si>
  <si>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</si>
  <si>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</si>
  <si>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</si>
  <si>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</si>
  <si>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</si>
  <si>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</si>
  <si>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</si>
  <si>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</si>
  <si>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</si>
  <si>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</si>
  <si>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</si>
  <si>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phoneticPr fontId="31" type="noConversion"/>
  </si>
  <si>
    <t>较不适宜</t>
    <phoneticPr fontId="31" type="noConversion"/>
  </si>
  <si>
    <t>不适宜</t>
    <phoneticPr fontId="31" type="noConversion"/>
  </si>
  <si>
    <t>商业</t>
    <phoneticPr fontId="31" type="noConversion"/>
  </si>
  <si>
    <t>30-40（含）</t>
  </si>
  <si>
    <t>20-30（含）</t>
  </si>
  <si>
    <r>
      <t>1</t>
    </r>
    <r>
      <rPr>
        <sz val="11"/>
        <color indexed="8"/>
        <rFont val="宋体"/>
        <family val="3"/>
        <charset val="134"/>
      </rPr>
      <t>层</t>
    </r>
    <phoneticPr fontId="31" type="noConversion"/>
  </si>
  <si>
    <t>1层</t>
  </si>
  <si>
    <t>售价</t>
  </si>
  <si>
    <t>安宁市连然街道</t>
  </si>
  <si>
    <t>大于或等于2并且小于或等于3.1</t>
  </si>
  <si>
    <t>2019-06-05</t>
  </si>
  <si>
    <t>安宁瑞伦置业有限公司</t>
  </si>
  <si>
    <t>大于或等于3并且小于或等于4.6</t>
  </si>
  <si>
    <t>2019-05-07</t>
  </si>
  <si>
    <t>安宁市金方商业集团有限责任公司</t>
  </si>
  <si>
    <t>大于1并且小于或等于2</t>
  </si>
  <si>
    <t>2019-04-22</t>
  </si>
  <si>
    <t>安宁市保障性住房建设管理有限公司</t>
  </si>
  <si>
    <t>大于1.5并且小于或等于2</t>
  </si>
  <si>
    <t>大于3.5并且小于或等于4.4</t>
  </si>
  <si>
    <t>2019-01-25</t>
  </si>
  <si>
    <t>昆明新城亿博房地产开发有限公司</t>
  </si>
  <si>
    <t>大于2.5并且小于或等于3.5</t>
  </si>
  <si>
    <t>安宁市金方街道</t>
  </si>
  <si>
    <t>周文武</t>
  </si>
  <si>
    <t>大于3并且小于或等于4</t>
  </si>
  <si>
    <t>2019-01-17</t>
  </si>
  <si>
    <t>云南瑞玖房地产开发有限公司</t>
  </si>
  <si>
    <t>安宁市太平新城街道</t>
  </si>
  <si>
    <t>大于1并且小于或等于1.15</t>
  </si>
  <si>
    <t>2019-01-09</t>
  </si>
  <si>
    <t>昆明阳光城达通房地产开发有限公司</t>
  </si>
  <si>
    <t>2018-12-21</t>
  </si>
  <si>
    <t>昆明盛博龙投资有限公司</t>
  </si>
  <si>
    <t>大于1并且小于或等于5.4</t>
  </si>
  <si>
    <t>2018-10-09</t>
  </si>
  <si>
    <t>安宁东湖置业房地产开发有限公司</t>
  </si>
  <si>
    <t>大于1.5并且小于或等于3.2</t>
  </si>
  <si>
    <t>2018-09-12</t>
  </si>
  <si>
    <t>安宁创佳房地产开发有限公司</t>
  </si>
  <si>
    <t>大于或等于1.5并且小于或等于3.2</t>
  </si>
  <si>
    <t>安宁市温泉街道</t>
  </si>
  <si>
    <t>2018-08-15</t>
  </si>
  <si>
    <t>华熙安宁温泉健康产业投资有限公司</t>
  </si>
  <si>
    <t>大于或等于2.8并且小于或等于3.5</t>
  </si>
  <si>
    <t>2018-06-13</t>
  </si>
  <si>
    <t>三一筑工科技有限公司</t>
  </si>
  <si>
    <t>安宁连然街道办大屯社区居委会大屯村民小组</t>
  </si>
  <si>
    <t>综合用地(含住宅)</t>
  </si>
  <si>
    <t>≥2且≤3.5</t>
  </si>
  <si>
    <t>2018-04-24</t>
  </si>
  <si>
    <t>中航里城有限公司</t>
  </si>
  <si>
    <t>2星</t>
  </si>
  <si>
    <t>安宁连然街道办大屯社区居委会二组、张家坝居民小组</t>
  </si>
  <si>
    <t>＞3且≤3.8</t>
  </si>
  <si>
    <t>昆明新城亿煊房地产开发有限公司</t>
  </si>
  <si>
    <t>3星</t>
  </si>
  <si>
    <t>2018-04-20</t>
  </si>
  <si>
    <t>云南温泉山谷康养度假运营开发(集团)有限公司</t>
  </si>
  <si>
    <t>大于或等于2并且小于或等于3</t>
  </si>
  <si>
    <t>2018-01-17</t>
  </si>
  <si>
    <t>云南盛荣房地产开发有限公司</t>
  </si>
  <si>
    <t>安宁市县街街道</t>
  </si>
  <si>
    <t>大于1.2并且小于或等于2</t>
  </si>
  <si>
    <t>2017-12-27</t>
  </si>
  <si>
    <t>云南鼎福房地产开发有限责任公司</t>
  </si>
  <si>
    <t>2017-12-21</t>
  </si>
  <si>
    <t>2017-11-22</t>
  </si>
  <si>
    <t>2017-11-17</t>
  </si>
  <si>
    <t>安宁市旅游投资开发有限公司</t>
  </si>
  <si>
    <t>大于3.6并且小于或等于4.6</t>
  </si>
  <si>
    <t>2017-09-27</t>
  </si>
  <si>
    <t>成都中梁置业有限公司</t>
  </si>
  <si>
    <t>大于1并且小于或等于1.6</t>
  </si>
  <si>
    <t>2017-09-22</t>
  </si>
  <si>
    <t>云南玉龙湾旅游发展有限公司</t>
  </si>
  <si>
    <t>2017-07-26</t>
  </si>
  <si>
    <t>中梁地产</t>
  </si>
  <si>
    <t>高速</t>
    <phoneticPr fontId="31" type="noConversion"/>
  </si>
  <si>
    <t>快速</t>
    <phoneticPr fontId="31" type="noConversion"/>
  </si>
  <si>
    <t>主</t>
    <phoneticPr fontId="31" type="noConversion"/>
  </si>
  <si>
    <t>次</t>
    <phoneticPr fontId="31" type="noConversion"/>
  </si>
  <si>
    <t>支</t>
  </si>
  <si>
    <t>支</t>
    <phoneticPr fontId="31" type="noConversion"/>
  </si>
  <si>
    <t>技术经济指标表</t>
  </si>
  <si>
    <t>项目</t>
  </si>
  <si>
    <t>数值</t>
  </si>
  <si>
    <t>单位</t>
  </si>
  <si>
    <t>备注</t>
  </si>
  <si>
    <t>总用地面积</t>
  </si>
  <si>
    <t xml:space="preserve">㎡ </t>
  </si>
  <si>
    <t>其中</t>
  </si>
  <si>
    <t>其他用地面积（不参与指标计算）</t>
  </si>
  <si>
    <t>净用地面积</t>
  </si>
  <si>
    <t>总建筑面积</t>
  </si>
  <si>
    <t>地下建筑面积</t>
  </si>
  <si>
    <t>负一层面积</t>
  </si>
  <si>
    <t>生鲜超市</t>
  </si>
  <si>
    <t>按每1万㎡地上住宅建筑面积设置不小于50㎡，其中一半以上建筑面积应设置于地上建筑。生鲜超市总建筑面积：919.86㎡</t>
  </si>
  <si>
    <t>物业管理</t>
  </si>
  <si>
    <t>按不小于地上住宅建筑面积3‰计算，50%地上，50%地下。物业管理总建筑面积：566.2㎡</t>
  </si>
  <si>
    <t>消防控制室</t>
  </si>
  <si>
    <t>机动车车库建筑面积</t>
  </si>
  <si>
    <t>夹层</t>
  </si>
  <si>
    <t>其他</t>
  </si>
  <si>
    <t>非机动车车库面积</t>
  </si>
  <si>
    <t>地上计容建筑面积</t>
  </si>
  <si>
    <t>底商</t>
  </si>
  <si>
    <t>幼儿园</t>
  </si>
  <si>
    <t>配套</t>
  </si>
  <si>
    <t>社区卫生服务（4#楼）</t>
  </si>
  <si>
    <t>按每1万㎡地上住宅建筑面积设置不小于10㎡</t>
  </si>
  <si>
    <t>生鲜超市（9#楼）</t>
  </si>
  <si>
    <t>按每1万㎡地上住宅建筑面积设置不小于50㎡，其中一半以上建筑面积应设置于地上建筑。生鲜超市总建筑面积：940.19㎡</t>
  </si>
  <si>
    <t>社区用房（2#楼）</t>
  </si>
  <si>
    <t>㎡</t>
  </si>
  <si>
    <t>按每1万㎡地上住宅面积设置不小于20㎡</t>
  </si>
  <si>
    <t>物业管理（4#楼）</t>
  </si>
  <si>
    <t>公共卫生间（4/9#楼）</t>
  </si>
  <si>
    <t>按超过6万㎡每增加6万㎡增加一处，每处建筑面积不小于40㎡</t>
  </si>
  <si>
    <t>社区文化活动场所</t>
  </si>
  <si>
    <t>按每1万㎡地上住宅建筑面积设置用地面积不小于50㎡的室外活动场所，设置于室外活动场所948.57㎡</t>
  </si>
  <si>
    <t>社区体育活动场所</t>
  </si>
  <si>
    <t>按室外人均用地不小于0.3㎡，设置于室外活动场所1713.61㎡</t>
  </si>
  <si>
    <t>老年服务站（2#楼）</t>
  </si>
  <si>
    <t>建筑面积不低于800㎡</t>
  </si>
  <si>
    <t>地上不计容建筑面积</t>
  </si>
  <si>
    <t>架空层</t>
  </si>
  <si>
    <t>居住户数</t>
  </si>
  <si>
    <t>户</t>
  </si>
  <si>
    <t>居住人口</t>
  </si>
  <si>
    <t>人</t>
  </si>
  <si>
    <t>按照每户3.5人计算</t>
  </si>
  <si>
    <t>＞1.0且≤3.0</t>
  </si>
  <si>
    <t>建筑占地面积</t>
  </si>
  <si>
    <t>%</t>
  </si>
  <si>
    <t>≤30%</t>
  </si>
  <si>
    <t>绿地面积</t>
  </si>
  <si>
    <t>绿地率</t>
  </si>
  <si>
    <t>≥35%</t>
  </si>
  <si>
    <t>机动车车位</t>
  </si>
  <si>
    <t>辆</t>
  </si>
  <si>
    <t>非机动车车位</t>
  </si>
  <si>
    <t>1车位/100㎡地上建筑面积</t>
  </si>
  <si>
    <t>项目全部</t>
  </si>
  <si>
    <t>晋宁区晋城镇草村村民委员会住宅、商业、地下车库用地</t>
    <phoneticPr fontId="6" type="noConversion"/>
  </si>
  <si>
    <t>精装</t>
    <phoneticPr fontId="143" type="noConversion"/>
  </si>
  <si>
    <t>毛坯</t>
    <phoneticPr fontId="143" type="noConversion"/>
  </si>
  <si>
    <t>住宅毛坯</t>
  </si>
  <si>
    <t>住宅毛坯</t>
    <phoneticPr fontId="7" type="noConversion"/>
  </si>
  <si>
    <t>住宅精装</t>
  </si>
  <si>
    <t>住宅精装</t>
    <phoneticPr fontId="7" type="noConversion"/>
  </si>
  <si>
    <t>广东粤财信托有限公司</t>
    <phoneticPr fontId="6" type="noConversion"/>
  </si>
  <si>
    <t>成本比率</t>
  </si>
  <si>
    <t>房屋状态</t>
    <phoneticPr fontId="31" type="noConversion"/>
  </si>
  <si>
    <t>新房</t>
    <phoneticPr fontId="31" type="noConversion"/>
  </si>
  <si>
    <t>二手房</t>
    <phoneticPr fontId="31" type="noConversion"/>
  </si>
  <si>
    <t>估价对象所在区域住宅社区较少，分布密度较差，入住率较低，综合评价居住社区成熟度较差。</t>
    <phoneticPr fontId="41" type="noConversion"/>
  </si>
  <si>
    <t>估价对象所在区域商业中心较少，商业氛围较差，综合评价商业繁华度较差。</t>
    <phoneticPr fontId="25" type="noConversion"/>
  </si>
  <si>
    <t>估价对象邻近昆磨高速，公共交通线路较少，路网密集度一般，停车便捷程度较好，综合评价交通便捷度一般。</t>
    <phoneticPr fontId="41" type="noConversion"/>
  </si>
  <si>
    <t>估价对象所在区域无公园等自然环境设施，自然环境较差；所在区域无博物馆等人文设施，人文设施较差，综合评价自然及人文环境状况较差。</t>
    <phoneticPr fontId="41" type="noConversion"/>
  </si>
  <si>
    <t>城市支路—未命名道路</t>
    <phoneticPr fontId="25" type="noConversion"/>
  </si>
  <si>
    <t>零星有他用地，对本宗地无不利影响。</t>
  </si>
  <si>
    <t>零星有他用地，对本宗地无不利影响。</t>
    <phoneticPr fontId="25" type="noConversion"/>
  </si>
  <si>
    <t>城市支路—未命名道路</t>
    <phoneticPr fontId="31" type="noConversion"/>
  </si>
  <si>
    <t>案例周边有金屯小区、欣和雅苑、金色半岛等住宅社区，分布密集程度较好，入住率较高，综合评价居住社区成熟度较好。</t>
    <phoneticPr fontId="31" type="noConversion"/>
  </si>
  <si>
    <t>案例周边有宝兴花园、西铁小区、新发小区等住宅社区，分布密集程度较好，入住率较高，综合评价居住社区成熟度较好。</t>
    <phoneticPr fontId="31" type="noConversion"/>
  </si>
  <si>
    <t>案例周边有山语锦苑、太平新村等住宅社区，分布密集程度一般，入住率一般，综合评价居住社区成熟度一般。</t>
    <phoneticPr fontId="31" type="noConversion"/>
  </si>
  <si>
    <t>所在区域商业中心较少，商业氛围较差，综合评价商业繁华度较差。</t>
    <phoneticPr fontId="31" type="noConversion"/>
  </si>
  <si>
    <t>所在区域有一定商业项目，商业氛围一般，综合评价商业繁华度一般。</t>
    <phoneticPr fontId="31" type="noConversion"/>
  </si>
  <si>
    <r>
      <rPr>
        <sz val="11"/>
        <rFont val="宋体"/>
        <family val="3"/>
        <charset val="134"/>
      </rPr>
      <t>所在区域有安宁</t>
    </r>
    <r>
      <rPr>
        <sz val="11"/>
        <rFont val="Arial"/>
        <family val="2"/>
      </rPr>
      <t>2</t>
    </r>
    <r>
      <rPr>
        <sz val="11"/>
        <rFont val="宋体"/>
        <family val="3"/>
        <charset val="134"/>
      </rPr>
      <t>路、安宁</t>
    </r>
    <r>
      <rPr>
        <sz val="11"/>
        <rFont val="Arial"/>
        <family val="2"/>
      </rPr>
      <t>3</t>
    </r>
    <r>
      <rPr>
        <sz val="11"/>
        <rFont val="宋体"/>
        <family val="3"/>
        <charset val="134"/>
      </rPr>
      <t>路等多条公交线路，路网较密集，停车便捷程度较好，综合评价交通便捷度较好。</t>
    </r>
    <phoneticPr fontId="31" type="noConversion"/>
  </si>
  <si>
    <r>
      <rPr>
        <sz val="11"/>
        <rFont val="宋体"/>
        <family val="3"/>
        <charset val="134"/>
      </rPr>
      <t>所在区域有安宁</t>
    </r>
    <r>
      <rPr>
        <sz val="11"/>
        <rFont val="Arial"/>
        <family val="2"/>
      </rPr>
      <t>3</t>
    </r>
    <r>
      <rPr>
        <sz val="11"/>
        <rFont val="宋体"/>
        <family val="3"/>
        <charset val="134"/>
      </rPr>
      <t>路、安宁</t>
    </r>
    <r>
      <rPr>
        <sz val="11"/>
        <rFont val="Arial"/>
        <family val="2"/>
      </rPr>
      <t>7</t>
    </r>
    <r>
      <rPr>
        <sz val="11"/>
        <rFont val="宋体"/>
        <family val="3"/>
        <charset val="134"/>
      </rPr>
      <t>路等多条公交线路，路网较密集，停车便捷程度较好，综合评价交通便捷度较好。</t>
    </r>
    <phoneticPr fontId="31" type="noConversion"/>
  </si>
  <si>
    <r>
      <rPr>
        <sz val="11"/>
        <rFont val="宋体"/>
        <family val="3"/>
        <charset val="134"/>
      </rPr>
      <t>所在区域有安宁</t>
    </r>
    <r>
      <rPr>
        <sz val="11"/>
        <rFont val="Arial"/>
        <family val="2"/>
      </rPr>
      <t>38</t>
    </r>
    <r>
      <rPr>
        <sz val="11"/>
        <rFont val="宋体"/>
        <family val="3"/>
        <charset val="134"/>
      </rPr>
      <t>路、安宁</t>
    </r>
    <r>
      <rPr>
        <sz val="11"/>
        <rFont val="Arial"/>
        <family val="2"/>
      </rPr>
      <t>36</t>
    </r>
    <r>
      <rPr>
        <sz val="11"/>
        <rFont val="宋体"/>
        <family val="3"/>
        <charset val="134"/>
      </rPr>
      <t>路等多条公交线路，路网密集度较差，停车便捷程度较好，综合评价交通便捷度一般。</t>
    </r>
    <phoneticPr fontId="31" type="noConversion"/>
  </si>
  <si>
    <t>所在区域无公园等自然环境设施，自然环境较差；所在区域无博物馆等人文设施，人文设施较差，综合评价自然及人文环境状况较差。</t>
    <phoneticPr fontId="31" type="noConversion"/>
  </si>
  <si>
    <t>所在区域公共配套设施齐备情况较好。</t>
  </si>
  <si>
    <t>所在区域公共配套设施齐备情况较好。</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</si>
  <si>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</si>
  <si>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</si>
  <si>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城市支路—泉山路</t>
    <phoneticPr fontId="31" type="noConversion"/>
  </si>
  <si>
    <t>城市支路—兴发路</t>
    <phoneticPr fontId="31" type="noConversion"/>
  </si>
  <si>
    <t>案例周边有磷都小区、东门小区、金实小区等住宅社区，分布密集程度较好，入住率较高，综合评价居住社区成熟度较好。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</si>
  <si>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5" type="noConversion"/>
  </si>
  <si>
    <t>所在区域有郑和公园等自然环境设施，绿化较好，自然环境较好；所在区域无博物馆等人文设施，人文设施较差，综合评价自然及人文环境状况一般。</t>
    <phoneticPr fontId="25" type="noConversion"/>
  </si>
  <si>
    <t>花样年·麓湖国际</t>
    <phoneticPr fontId="3" type="noConversion"/>
  </si>
  <si>
    <t>所在区域住宅社区较少，分布密度较差，入住率较低，综合评价居住社区成熟度较差。</t>
    <phoneticPr fontId="25" type="noConversion"/>
  </si>
  <si>
    <t>所在区域公共配套设施齐备情况较好。</t>
    <phoneticPr fontId="25" type="noConversion"/>
  </si>
  <si>
    <t>所在区域公共配套设施齐备情况较差。</t>
    <phoneticPr fontId="25" type="noConversion"/>
  </si>
  <si>
    <t>所在区域无公园等自然环境设施，自然环境较差；所在区域无博物馆等人文设施，人文设施较差，综合评价自然及人文环境状况较差。</t>
    <phoneticPr fontId="25" type="noConversion"/>
  </si>
  <si>
    <t>所在区域公共交通线路较少，路网密集度一般，停车便捷程度较好，综合评价交通便捷度较差。</t>
    <phoneticPr fontId="25" type="noConversion"/>
  </si>
  <si>
    <t>所在区域邻近昆明绕城高速，公共交通线路较少，路网密集度一般，停车便捷程度较好，综合评价交通便捷度一般。</t>
    <phoneticPr fontId="31" type="noConversion"/>
  </si>
  <si>
    <t>所在区域有晋宁区兴隆片区水景公园等自然环境设施，绿化较好，自然环境较好；所在区域无博物馆等人文设施，人文设施较差，综合评价自然及人文环境状况一般。</t>
    <phoneticPr fontId="25" type="noConversion"/>
  </si>
  <si>
    <t>所在区域公共交通线路较少，路网密集度一般，停车便捷程度较好，综合评价交通便捷度较差。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</si>
</sst>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quot;亩&quot;"/>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FF0000"/>
      <name val="微软雅黑"/>
      <family val="2"/>
      <charset val="134"/>
    </font>
    <font>
      <sz val="1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20" fillId="0" borderId="0" xfId="0" applyFont="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0" fillId="5" borderId="0" xfId="0" applyFill="1" applyAlignment="1"/>
    <xf numFmtId="0" fontId="61" fillId="9" borderId="3" xfId="0" applyNumberFormat="1" applyFont="1" applyFill="1" applyBorder="1" applyAlignment="1" applyProtection="1">
      <alignment horizontal="center" vertical="center" wrapText="1"/>
      <protection locked="0"/>
    </xf>
    <xf numFmtId="0" fontId="183" fillId="0" borderId="1" xfId="0" applyFont="1" applyBorder="1" applyAlignment="1">
      <alignment horizontal="center"/>
    </xf>
    <xf numFmtId="0" fontId="183" fillId="0" borderId="1" xfId="0" applyFont="1" applyBorder="1" applyAlignment="1">
      <alignment horizontal="center" vertical="center"/>
    </xf>
    <xf numFmtId="197" fontId="183" fillId="0" borderId="1" xfId="0" applyNumberFormat="1" applyFont="1" applyBorder="1" applyAlignment="1">
      <alignment horizontal="center"/>
    </xf>
    <xf numFmtId="0" fontId="254" fillId="0" borderId="1" xfId="0" applyFont="1" applyBorder="1" applyAlignment="1">
      <alignment horizontal="center"/>
    </xf>
    <xf numFmtId="176" fontId="254" fillId="0" borderId="1" xfId="0" applyNumberFormat="1" applyFont="1" applyBorder="1" applyAlignment="1">
      <alignment horizontal="center"/>
    </xf>
    <xf numFmtId="0" fontId="0" fillId="0" borderId="1" xfId="0" applyBorder="1" applyAlignment="1"/>
    <xf numFmtId="179" fontId="254" fillId="0" borderId="1" xfId="0" applyNumberFormat="1" applyFont="1" applyBorder="1" applyAlignment="1">
      <alignment horizontal="center"/>
    </xf>
    <xf numFmtId="0" fontId="183" fillId="0" borderId="1" xfId="0" applyFont="1" applyBorder="1" applyAlignment="1"/>
    <xf numFmtId="179" fontId="255" fillId="0" borderId="13" xfId="0" applyNumberFormat="1" applyFont="1" applyBorder="1" applyAlignment="1">
      <alignment horizontal="center"/>
    </xf>
    <xf numFmtId="0" fontId="183" fillId="0" borderId="13" xfId="0" applyFont="1" applyBorder="1" applyAlignment="1">
      <alignment horizontal="center" vertical="center"/>
    </xf>
    <xf numFmtId="0" fontId="183" fillId="0" borderId="13" xfId="0" applyFont="1" applyBorder="1" applyAlignment="1"/>
    <xf numFmtId="176" fontId="183" fillId="0" borderId="1" xfId="0" applyNumberFormat="1" applyFont="1" applyBorder="1" applyAlignment="1">
      <alignment horizontal="center"/>
    </xf>
    <xf numFmtId="0" fontId="183" fillId="0" borderId="1" xfId="0" applyFont="1" applyBorder="1" applyAlignment="1">
      <alignment wrapText="1"/>
    </xf>
    <xf numFmtId="179" fontId="183" fillId="0" borderId="1" xfId="0" applyNumberFormat="1" applyFont="1" applyBorder="1" applyAlignment="1">
      <alignment horizontal="center"/>
    </xf>
    <xf numFmtId="2" fontId="183" fillId="0" borderId="1" xfId="0" applyNumberFormat="1" applyFont="1" applyBorder="1" applyAlignment="1">
      <alignment horizontal="center"/>
    </xf>
    <xf numFmtId="189" fontId="183" fillId="0" borderId="1" xfId="0" applyNumberFormat="1" applyFont="1" applyBorder="1" applyAlignment="1">
      <alignment horizontal="left" vertical="center"/>
    </xf>
    <xf numFmtId="176" fontId="255" fillId="7" borderId="1" xfId="0" applyNumberFormat="1" applyFont="1" applyFill="1" applyBorder="1" applyAlignment="1">
      <alignment horizontal="center" vertical="center"/>
    </xf>
    <xf numFmtId="0" fontId="255" fillId="0" borderId="1" xfId="0" applyFont="1" applyBorder="1" applyAlignment="1">
      <alignment horizontal="left"/>
    </xf>
    <xf numFmtId="0" fontId="255" fillId="0" borderId="1" xfId="0" applyFont="1" applyBorder="1" applyAlignment="1">
      <alignment horizontal="left" vertical="center" wrapText="1"/>
    </xf>
    <xf numFmtId="0" fontId="255" fillId="0" borderId="1" xfId="0" applyFont="1" applyBorder="1" applyAlignment="1">
      <alignment horizontal="left" vertical="center"/>
    </xf>
    <xf numFmtId="176" fontId="183" fillId="0" borderId="1" xfId="0" applyNumberFormat="1" applyFont="1" applyBorder="1" applyAlignment="1">
      <alignment horizontal="center" vertical="center"/>
    </xf>
    <xf numFmtId="0" fontId="183" fillId="0" borderId="2" xfId="0" applyFont="1" applyBorder="1" applyAlignment="1">
      <alignment horizontal="center" vertical="center"/>
    </xf>
    <xf numFmtId="0" fontId="255" fillId="0" borderId="1" xfId="0" applyFont="1" applyBorder="1" applyAlignment="1">
      <alignment horizontal="center"/>
    </xf>
    <xf numFmtId="10" fontId="183" fillId="0" borderId="1" xfId="0" applyNumberFormat="1" applyFont="1" applyBorder="1" applyAlignment="1">
      <alignment horizontal="center"/>
    </xf>
    <xf numFmtId="0" fontId="99" fillId="0" borderId="0" xfId="0" applyFont="1" applyAlignment="1"/>
    <xf numFmtId="0" fontId="183" fillId="0" borderId="58" xfId="0" applyFont="1" applyFill="1" applyBorder="1" applyAlignment="1">
      <alignment horizontal="center"/>
    </xf>
    <xf numFmtId="177" fontId="137" fillId="0" borderId="1" xfId="1" applyNumberFormat="1" applyFont="1" applyFill="1" applyBorder="1" applyAlignment="1" applyProtection="1">
      <alignment vertical="center"/>
      <protection locked="0"/>
    </xf>
    <xf numFmtId="176" fontId="50" fillId="17" borderId="1"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47" fillId="17" borderId="51" xfId="0" applyNumberFormat="1" applyFont="1" applyFill="1" applyBorder="1" applyAlignment="1" applyProtection="1">
      <alignment horizontal="center" vertical="center" wrapText="1"/>
      <protection locked="0"/>
    </xf>
    <xf numFmtId="0" fontId="56" fillId="17" borderId="61" xfId="1" applyNumberFormat="1" applyFont="1" applyFill="1" applyBorder="1" applyAlignment="1" applyProtection="1">
      <alignment horizontal="center" vertical="center"/>
      <protection locked="0"/>
    </xf>
    <xf numFmtId="0" fontId="47" fillId="17" borderId="1"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47" fillId="17" borderId="37" xfId="0" applyNumberFormat="1" applyFont="1" applyFill="1" applyBorder="1" applyAlignment="1" applyProtection="1">
      <alignment horizontal="center" vertical="center" wrapText="1"/>
      <protection locked="0"/>
    </xf>
    <xf numFmtId="0" fontId="137" fillId="17" borderId="5" xfId="0"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83" fillId="0" borderId="1" xfId="0" applyFont="1" applyBorder="1" applyAlignment="1">
      <alignment horizontal="left" vertical="center"/>
    </xf>
    <xf numFmtId="0" fontId="183" fillId="0" borderId="1" xfId="0" applyFont="1" applyBorder="1" applyAlignment="1">
      <alignment horizontal="left"/>
    </xf>
    <xf numFmtId="179" fontId="183" fillId="0" borderId="13" xfId="0" applyNumberFormat="1" applyFont="1" applyBorder="1" applyAlignment="1">
      <alignment horizontal="center" vertical="center"/>
    </xf>
    <xf numFmtId="179" fontId="183" fillId="0" borderId="2" xfId="0" applyNumberFormat="1" applyFont="1" applyBorder="1" applyAlignment="1">
      <alignment horizontal="center" vertical="center"/>
    </xf>
    <xf numFmtId="0" fontId="183" fillId="0" borderId="13" xfId="0" applyFont="1" applyBorder="1" applyAlignment="1">
      <alignment horizontal="center" vertical="center"/>
    </xf>
    <xf numFmtId="0" fontId="183" fillId="0" borderId="2" xfId="0" applyFont="1" applyBorder="1" applyAlignment="1">
      <alignment horizontal="center" vertical="center"/>
    </xf>
    <xf numFmtId="0" fontId="183" fillId="0" borderId="13" xfId="0" applyFont="1" applyBorder="1" applyAlignment="1">
      <alignment horizontal="center" vertical="center" wrapText="1"/>
    </xf>
    <xf numFmtId="0" fontId="183" fillId="0" borderId="2" xfId="0" applyFont="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wrapText="1"/>
    </xf>
    <xf numFmtId="0" fontId="183" fillId="0" borderId="1" xfId="0" applyFont="1" applyBorder="1" applyAlignment="1">
      <alignment horizontal="center" vertical="center"/>
    </xf>
    <xf numFmtId="0" fontId="183" fillId="7" borderId="1" xfId="0" applyFont="1" applyFill="1" applyBorder="1" applyAlignment="1">
      <alignment horizontal="center" vertical="center"/>
    </xf>
    <xf numFmtId="0" fontId="183" fillId="0" borderId="1" xfId="0" applyFont="1" applyBorder="1" applyAlignment="1">
      <alignment horizontal="center"/>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0" fillId="0" borderId="15" xfId="0" applyBorder="1" applyAlignment="1">
      <alignment horizontal="center" vertical="center"/>
    </xf>
    <xf numFmtId="0" fontId="0" fillId="0" borderId="2"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53</xdr:row>
      <xdr:rowOff>0</xdr:rowOff>
    </xdr:from>
    <xdr:to>
      <xdr:col>29</xdr:col>
      <xdr:colOff>1924050</xdr:colOff>
      <xdr:row>71</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05875" y="9077325"/>
          <a:ext cx="7181850" cy="3105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49</xdr:row>
      <xdr:rowOff>161925</xdr:rowOff>
    </xdr:from>
    <xdr:to>
      <xdr:col>3</xdr:col>
      <xdr:colOff>577816</xdr:colOff>
      <xdr:row>72</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8562975"/>
          <a:ext cx="5045041" cy="3857625"/>
        </a:xfrm>
        <a:prstGeom prst="rect">
          <a:avLst/>
        </a:prstGeom>
      </xdr:spPr>
    </xdr:pic>
    <xdr:clientData/>
  </xdr:twoCellAnchor>
  <xdr:twoCellAnchor editAs="oneCell">
    <xdr:from>
      <xdr:col>3</xdr:col>
      <xdr:colOff>676275</xdr:colOff>
      <xdr:row>49</xdr:row>
      <xdr:rowOff>0</xdr:rowOff>
    </xdr:from>
    <xdr:to>
      <xdr:col>10</xdr:col>
      <xdr:colOff>619125</xdr:colOff>
      <xdr:row>84</xdr:row>
      <xdr:rowOff>132035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8401050"/>
          <a:ext cx="7410450" cy="6132785"/>
        </a:xfrm>
        <a:prstGeom prst="rect">
          <a:avLst/>
        </a:prstGeom>
      </xdr:spPr>
    </xdr:pic>
    <xdr:clientData/>
  </xdr:twoCellAnchor>
  <xdr:twoCellAnchor editAs="oneCell">
    <xdr:from>
      <xdr:col>10</xdr:col>
      <xdr:colOff>844225</xdr:colOff>
      <xdr:row>49</xdr:row>
      <xdr:rowOff>95250</xdr:rowOff>
    </xdr:from>
    <xdr:to>
      <xdr:col>19</xdr:col>
      <xdr:colOff>63928</xdr:colOff>
      <xdr:row>86</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69550" y="8496300"/>
          <a:ext cx="7515978" cy="6324600"/>
        </a:xfrm>
        <a:prstGeom prst="rect">
          <a:avLst/>
        </a:prstGeom>
      </xdr:spPr>
    </xdr:pic>
    <xdr:clientData/>
  </xdr:twoCellAnchor>
  <xdr:twoCellAnchor editAs="oneCell">
    <xdr:from>
      <xdr:col>3</xdr:col>
      <xdr:colOff>761999</xdr:colOff>
      <xdr:row>85</xdr:row>
      <xdr:rowOff>28575</xdr:rowOff>
    </xdr:from>
    <xdr:to>
      <xdr:col>10</xdr:col>
      <xdr:colOff>23378</xdr:colOff>
      <xdr:row>117</xdr:row>
      <xdr:rowOff>25047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19724" y="14601825"/>
          <a:ext cx="6728979" cy="5482872"/>
        </a:xfrm>
        <a:prstGeom prst="rect">
          <a:avLst/>
        </a:prstGeom>
      </xdr:spPr>
    </xdr:pic>
    <xdr:clientData/>
  </xdr:twoCellAnchor>
  <xdr:twoCellAnchor editAs="oneCell">
    <xdr:from>
      <xdr:col>0</xdr:col>
      <xdr:colOff>0</xdr:colOff>
      <xdr:row>120</xdr:row>
      <xdr:rowOff>0</xdr:rowOff>
    </xdr:from>
    <xdr:to>
      <xdr:col>5</xdr:col>
      <xdr:colOff>847725</xdr:colOff>
      <xdr:row>158</xdr:row>
      <xdr:rowOff>9525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0574000"/>
          <a:ext cx="7620000" cy="6524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38100</xdr:colOff>
      <xdr:row>38</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581900" cy="6467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11</xdr:col>
      <xdr:colOff>304800</xdr:colOff>
      <xdr:row>29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66675"/>
          <a:ext cx="7791450" cy="4962525"/>
        </a:xfrm>
        <a:prstGeom prst="rect">
          <a:avLst/>
        </a:prstGeom>
      </xdr:spPr>
    </xdr:pic>
    <xdr:clientData/>
  </xdr:twoCellAnchor>
  <xdr:twoCellAnchor editAs="oneCell">
    <xdr:from>
      <xdr:col>11</xdr:col>
      <xdr:colOff>676274</xdr:colOff>
      <xdr:row>1</xdr:row>
      <xdr:rowOff>9525</xdr:rowOff>
    </xdr:from>
    <xdr:to>
      <xdr:col>23</xdr:col>
      <xdr:colOff>647699</xdr:colOff>
      <xdr:row>34</xdr:row>
      <xdr:rowOff>103308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20074" y="180975"/>
          <a:ext cx="8201025" cy="5751633"/>
        </a:xfrm>
        <a:prstGeom prst="rect">
          <a:avLst/>
        </a:prstGeom>
      </xdr:spPr>
    </xdr:pic>
    <xdr:clientData/>
  </xdr:twoCellAnchor>
  <xdr:twoCellAnchor editAs="oneCell">
    <xdr:from>
      <xdr:col>0</xdr:col>
      <xdr:colOff>0</xdr:colOff>
      <xdr:row>31</xdr:row>
      <xdr:rowOff>1</xdr:rowOff>
    </xdr:from>
    <xdr:to>
      <xdr:col>10</xdr:col>
      <xdr:colOff>609419</xdr:colOff>
      <xdr:row>61</xdr:row>
      <xdr:rowOff>38101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1"/>
          <a:ext cx="7467419" cy="5181600"/>
        </a:xfrm>
        <a:prstGeom prst="rect">
          <a:avLst/>
        </a:prstGeom>
      </xdr:spPr>
    </xdr:pic>
    <xdr:clientData/>
  </xdr:twoCellAnchor>
  <xdr:twoCellAnchor editAs="oneCell">
    <xdr:from>
      <xdr:col>11</xdr:col>
      <xdr:colOff>647699</xdr:colOff>
      <xdr:row>35</xdr:row>
      <xdr:rowOff>38100</xdr:rowOff>
    </xdr:from>
    <xdr:to>
      <xdr:col>25</xdr:col>
      <xdr:colOff>219074</xdr:colOff>
      <xdr:row>73</xdr:row>
      <xdr:rowOff>60572</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91499" y="6038850"/>
          <a:ext cx="9172575" cy="6537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4" zoomScale="80" zoomScaleNormal="80" workbookViewId="0">
      <selection activeCell="B1" sqref="B1:B1048576"/>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云南省昆明市晋宁区晋城镇草村村民委员会住宅、商业、地下车库用地出让国有建设用地使用权及在建建筑物房地产抵押价值预评估</v>
      </c>
    </row>
    <row r="3" spans="1:2" s="1591" customFormat="1">
      <c r="A3" s="1589" t="s">
        <v>1217</v>
      </c>
      <c r="B3" s="1590" t="str">
        <f>'预评函-封皮'!B40</f>
        <v>云南文滇置业有限公司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康正预评字2019-1-0359-P01DYGJ2号</v>
      </c>
    </row>
    <row r="6" spans="1:2" s="1588" customFormat="1" ht="15" thickTop="1">
      <c r="A6" s="1586" t="s">
        <v>1220</v>
      </c>
      <c r="B6" s="1587" t="str">
        <f>'预评函-1'!A4</f>
        <v>受贵公司委托，我公司对云南省昆明市晋宁区晋城镇草村村民委员会住宅、商业、地下车库用地出让国有建设用地使用权及在建建筑物房地产抵押价值进行了预评估。</v>
      </c>
    </row>
    <row r="7" spans="1:2" s="1591" customFormat="1">
      <c r="A7" s="1589" t="s">
        <v>1260</v>
      </c>
      <c r="B7" s="1590" t="str">
        <f>'预评函-1'!A7</f>
        <v>估价对象为云南省昆明市晋宁区晋城镇草村村民委员会住宅、商业、地下车库用地出让国有建设用地使用权及在建建筑物房地产，为云南文滇置业有限公司所有。根据《不动产权利证书》[云（2018）晋宁区不动产权第0004354号]，估价对象（分摊）出让国有建设用地使用权面积为63995.17平方米。根据《建设工程规划许可证》[建字第晋宁区201900021号]、《经济技术指标》及估价委托人介绍，估价对象建筑面积为256595.19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云南省昆明市晋宁区晋城镇草村村民委员会住宅、商业、地下车库用地出让国有建设用地使用权及在建建筑物房地产,为云南文滇置业有限公司开发建设的居住项目，该项目尚在开发建设中。根据《不动产权利证书》[云（2018）晋宁区不动产权第0004354号]，估价对象（分摊）出让国有建设用地使用权面积为63995.17平方米。根据《建设工程规划许可证》[建字第晋宁区201900021号]、《经济技术指标》及估价委托人介绍，估价对象规划建筑面积为256595.19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为估价委托人在向广东粤财信托有限公司办理贷款手续过程中，确定房地产抵押贷款额度提供参考依据而评估房地产抵押价值。</v>
      </c>
    </row>
    <row r="12" spans="1:2" s="1591" customFormat="1">
      <c r="A12" s="1589" t="s">
        <v>1222</v>
      </c>
      <c r="B12" s="1590" t="str">
        <f>'预评函-1'!A15</f>
        <v>2019年6月5日（评估专业人员实地查勘之日）</v>
      </c>
    </row>
    <row r="13" spans="1:2" s="1591" customFormat="1">
      <c r="A13" s="1589" t="s">
        <v>1223</v>
      </c>
      <c r="B13" s="1590" t="str">
        <f>'预评函-1'!A18</f>
        <v>本次估价的“房地产价值”是指在正常市场情况下，在价值时点2019年6月5日，估价对象规划用途为住宅、商业、地下车库，土地取得方式为出让，出让国有建设用地使用权剩余土地使用年限为住宅69.2年、商业39.2年、地下车库49.2年，假定未设立法定优先受偿款下的房地产市场价值。</v>
      </c>
    </row>
    <row r="14" spans="1:2" s="1591" customFormat="1">
      <c r="A14" s="1589" t="s">
        <v>1224</v>
      </c>
      <c r="B14" s="1590" t="str">
        <f>'预评函-1'!A19</f>
        <v>其中，“出让国有建设用地使用权价值”是指估价对象用途为住宅、商业、地下车库，实际开发程度为宗地红线外“七通”（即通路、通电、通讯、通上水、通下水、燃气、）、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40066</v>
      </c>
    </row>
    <row r="21" spans="1:2" s="1591" customFormat="1">
      <c r="A21" s="1589" t="s">
        <v>1231</v>
      </c>
      <c r="B21" s="1590">
        <f ca="1">'预评函-2'!D7</f>
        <v>1561</v>
      </c>
    </row>
    <row r="22" spans="1:2" s="1591" customFormat="1">
      <c r="A22" s="1589" t="s">
        <v>1232</v>
      </c>
      <c r="B22" s="1590" t="str">
        <f ca="1">'预评函-2'!D6</f>
        <v>肆亿零陆拾陆万元整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40066</v>
      </c>
    </row>
    <row r="31" spans="1:2" s="1591" customFormat="1">
      <c r="A31" s="1589" t="s">
        <v>1270</v>
      </c>
      <c r="B31" s="1590">
        <f ca="1">'预评函-2'!D15</f>
        <v>1561</v>
      </c>
    </row>
    <row r="32" spans="1:2" s="1591" customFormat="1">
      <c r="A32" s="1589" t="s">
        <v>1237</v>
      </c>
      <c r="B32" s="1590" t="str">
        <f ca="1">'预评函-2'!D14</f>
        <v>肆亿零陆拾陆万元整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云南省昆明市晋宁区晋城镇草村村民委员会住宅、商业、地下车库用地出让国有建设用地使用权及在建建筑物房地产</v>
      </c>
    </row>
    <row r="42" spans="1:2" s="1591" customFormat="1">
      <c r="A42" s="1589" t="s">
        <v>1284</v>
      </c>
      <c r="B42" s="1590" t="str">
        <f>'预评函-3'!B2</f>
        <v>建筑面积</v>
      </c>
    </row>
    <row r="43" spans="1:2" s="1591" customFormat="1">
      <c r="A43" s="1589" t="s">
        <v>1285</v>
      </c>
      <c r="B43" s="1590">
        <f>'预评函-3'!B4</f>
        <v>256595.18999999997</v>
      </c>
    </row>
    <row r="44" spans="1:2" s="1591" customFormat="1">
      <c r="A44" s="1589" t="s">
        <v>1269</v>
      </c>
      <c r="B44" s="1590" t="str">
        <f>'预评函-3'!C2</f>
        <v>(分摊)土地面积</v>
      </c>
    </row>
    <row r="45" spans="1:2" s="1591" customFormat="1">
      <c r="A45" s="1589" t="s">
        <v>1241</v>
      </c>
      <c r="B45" s="1590">
        <f>'预评函-3'!C4</f>
        <v>63995.17</v>
      </c>
    </row>
    <row r="46" spans="1:2" s="1591" customFormat="1">
      <c r="A46" s="1589" t="s">
        <v>1267</v>
      </c>
      <c r="B46" s="1590" t="str">
        <f>'预评函-3'!D2</f>
        <v>出让国有建设用地使用权价值</v>
      </c>
    </row>
    <row r="47" spans="1:2" s="1591" customFormat="1">
      <c r="A47" s="1589" t="s">
        <v>1242</v>
      </c>
      <c r="B47" s="1590">
        <f ca="1">'预评函-3'!D4</f>
        <v>25442</v>
      </c>
    </row>
    <row r="48" spans="1:2" s="1591" customFormat="1">
      <c r="A48" s="1589" t="s">
        <v>1243</v>
      </c>
      <c r="B48" s="1590">
        <f ca="1">'预评函-3'!E4</f>
        <v>991</v>
      </c>
    </row>
    <row r="49" spans="1:2" s="1591" customFormat="1">
      <c r="A49" s="1589" t="s">
        <v>1244</v>
      </c>
      <c r="B49" s="1590" t="str">
        <f ca="1">'预评函-3'!D5</f>
        <v>贰亿伍仟肆佰肆拾贰万元整</v>
      </c>
    </row>
    <row r="50" spans="1:2" s="1591" customFormat="1">
      <c r="A50" s="1589" t="s">
        <v>1268</v>
      </c>
      <c r="B50" s="1590" t="str">
        <f>'预评函-3'!F2</f>
        <v>在建建筑物价值</v>
      </c>
    </row>
    <row r="51" spans="1:2" s="1591" customFormat="1">
      <c r="A51" s="1589" t="s">
        <v>1245</v>
      </c>
      <c r="B51" s="1590">
        <f ca="1">'预评函-3'!F4</f>
        <v>14624</v>
      </c>
    </row>
    <row r="52" spans="1:2" s="1591" customFormat="1">
      <c r="A52" s="1589" t="s">
        <v>1246</v>
      </c>
      <c r="B52" s="1590">
        <f ca="1">'预评函-3'!G4</f>
        <v>570</v>
      </c>
    </row>
    <row r="53" spans="1:2" s="1591" customFormat="1">
      <c r="A53" s="1589" t="s">
        <v>1274</v>
      </c>
      <c r="B53" s="1590" t="str">
        <f ca="1">'预评函-3'!F5</f>
        <v>壹亿肆仟陆佰贰拾肆万元整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（1）根据估价对象《不动产权证书》原件、，截至价值时点，估价对象抵押权未见登记。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为估价委托人在向广东粤财信托有限公司办理贷款手续过程中，确定房地产抵押贷款额度提供参考依据而评估房地产抵押价值。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云南文滇置业有限公司拟使用云南省昆明市晋宁区晋城镇草村村民委员会住宅、商业、地下车库用地出让国有建设用地使用权及在建建筑物房地产作为抵押担保物，向广东粤财信托有限公司办理贷款手续。广东粤财信托有限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42"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42"/>
      <c r="B54" s="2020" t="s">
        <v>861</v>
      </c>
      <c r="C54" s="2017" t="s">
        <v>1277</v>
      </c>
    </row>
    <row r="55" spans="1:4">
      <c r="A55" s="3042"/>
      <c r="B55" s="2020" t="s">
        <v>862</v>
      </c>
      <c r="C55" s="2017" t="s">
        <v>1278</v>
      </c>
    </row>
    <row r="56" spans="1:4">
      <c r="A56" s="3042"/>
      <c r="B56" s="2020" t="s">
        <v>863</v>
      </c>
      <c r="C56" s="2017" t="s">
        <v>1282</v>
      </c>
    </row>
    <row r="57" spans="1:4">
      <c r="A57" s="3042"/>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G40" sqref="G4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1772</v>
      </c>
      <c r="B1" s="3051" t="str">
        <f>IF(B10="北京市","北京市",C10)&amp;F10&amp;IF(结果表!G1="在建","出让国有建设用地使用权及在建建筑物",IF(结果表!G1="土地","出让国有建设用地使用权",))&amp;B9&amp;"预评估"</f>
        <v>云南省昆明市晋宁区晋城镇草村村民委员会住宅、商业、地下车库用地出让国有建设用地使用权及在建建筑物房地产抵押价值预评估</v>
      </c>
      <c r="C1" s="3052"/>
      <c r="D1" s="3052"/>
      <c r="E1" s="3052"/>
      <c r="F1" s="3052"/>
      <c r="G1" s="3052"/>
      <c r="H1" s="3052"/>
      <c r="I1" s="305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云南省昆明市晋宁区晋城镇草村村民委员会住宅、商业、地下车库用地出让国有建设用地使用权及在建建筑物房地产抵押价值</v>
      </c>
    </row>
    <row r="2" spans="1:19" ht="18" customHeight="1">
      <c r="A2" s="2024" t="s">
        <v>1773</v>
      </c>
      <c r="B2" s="1038" t="s">
        <v>3241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云南省昆明市晋宁区晋城镇草村村民委员会住宅、商业、地下车库用地出让国有建设用地使用权及在建建筑物房地产</v>
      </c>
    </row>
    <row r="3" spans="1:19" ht="18" customHeight="1">
      <c r="A3" s="2033" t="s">
        <v>1774</v>
      </c>
      <c r="B3" s="2034">
        <v>43621</v>
      </c>
      <c r="C3" s="2035" t="s">
        <v>1775</v>
      </c>
      <c r="D3" s="2034">
        <f>B3</f>
        <v>43621</v>
      </c>
      <c r="E3" s="2024"/>
      <c r="F3" s="2024"/>
      <c r="G3" s="2024"/>
      <c r="H3" s="2024"/>
      <c r="I3" s="2024"/>
      <c r="J3" s="2024"/>
      <c r="K3" s="2025"/>
      <c r="L3" s="2026"/>
      <c r="M3" s="2026"/>
      <c r="N3" s="2027"/>
      <c r="O3" s="2028"/>
      <c r="P3" s="2027"/>
      <c r="Q3" s="2027"/>
      <c r="R3" s="2027"/>
      <c r="S3" s="2029"/>
    </row>
    <row r="4" spans="1:19" ht="18" customHeight="1" thickBot="1">
      <c r="A4" s="2036" t="s">
        <v>1776</v>
      </c>
      <c r="B4" s="2037" t="s">
        <v>3242</v>
      </c>
      <c r="C4" s="1036">
        <f ca="1">SUMIF(注册房地产估价师,B4,估价师及机构信息!B3:B24)</f>
        <v>1120050019</v>
      </c>
      <c r="D4" s="2037" t="s">
        <v>3243</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944" t="s">
        <v>3245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1778</v>
      </c>
      <c r="B6" s="2945" t="s">
        <v>3518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1779</v>
      </c>
      <c r="B7" s="2945" t="s">
        <v>3245</v>
      </c>
      <c r="C7" s="2046"/>
      <c r="D7" s="2047"/>
      <c r="E7" s="2032"/>
      <c r="F7" s="2040"/>
      <c r="G7" s="2040"/>
      <c r="H7" s="2040"/>
      <c r="I7" s="2040"/>
      <c r="J7" s="2040"/>
      <c r="K7" s="2049"/>
      <c r="L7" s="2026"/>
      <c r="M7" s="2026"/>
      <c r="N7" s="2027"/>
      <c r="O7" s="2028"/>
      <c r="P7" s="2027"/>
      <c r="Q7" s="2027"/>
      <c r="R7" s="2027"/>
    </row>
    <row r="8" spans="1:19" ht="18" customHeight="1">
      <c r="A8" s="2045" t="s">
        <v>1780</v>
      </c>
      <c r="B8" s="2050" t="s">
        <v>3246</v>
      </c>
      <c r="C8" s="2051"/>
      <c r="D8" s="3054" t="s">
        <v>1781</v>
      </c>
      <c r="E8" s="2052" t="s">
        <v>3247</v>
      </c>
      <c r="F8" s="2053"/>
      <c r="G8" s="2024"/>
      <c r="H8" s="2024"/>
      <c r="I8" s="2024"/>
      <c r="J8" s="2040"/>
      <c r="K8" s="2041"/>
      <c r="L8" s="2026"/>
      <c r="M8" s="2026"/>
      <c r="N8" s="2027"/>
      <c r="O8" s="2028"/>
      <c r="P8" s="2027"/>
      <c r="Q8" s="2027"/>
      <c r="R8" s="2027"/>
    </row>
    <row r="9" spans="1:19" ht="18" customHeight="1" thickBot="1">
      <c r="A9" s="2038" t="s">
        <v>1782</v>
      </c>
      <c r="B9" s="2054" t="s">
        <v>3247</v>
      </c>
      <c r="C9" s="2055"/>
      <c r="D9" s="3055"/>
      <c r="E9" s="2054" t="s">
        <v>70</v>
      </c>
      <c r="F9" s="2056"/>
      <c r="G9" s="2057"/>
      <c r="H9" s="2057"/>
      <c r="I9" s="2057"/>
      <c r="J9" s="2040"/>
      <c r="K9" s="2049"/>
      <c r="L9" s="2026"/>
      <c r="M9" s="2026"/>
      <c r="N9" s="2027"/>
      <c r="O9" s="2028"/>
      <c r="P9" s="2027"/>
      <c r="Q9" s="2027"/>
      <c r="R9" s="2027"/>
    </row>
    <row r="10" spans="1:19" ht="18" customHeight="1" thickTop="1">
      <c r="A10" s="2058" t="s">
        <v>1783</v>
      </c>
      <c r="B10" s="2059" t="s">
        <v>3248</v>
      </c>
      <c r="C10" s="2946" t="s">
        <v>3249</v>
      </c>
      <c r="D10" s="2044"/>
      <c r="E10" s="2060" t="s">
        <v>1784</v>
      </c>
      <c r="F10" s="2947" t="s">
        <v>3511</v>
      </c>
      <c r="G10" s="2061"/>
      <c r="H10" s="2062"/>
      <c r="I10" s="2044"/>
      <c r="J10" s="2040"/>
      <c r="K10" s="2049"/>
      <c r="L10" s="2026"/>
      <c r="M10" s="2026"/>
      <c r="N10" s="2027"/>
      <c r="O10" s="2028"/>
      <c r="P10" s="2027"/>
      <c r="Q10" s="2027"/>
      <c r="R10" s="2027"/>
    </row>
    <row r="11" spans="1:19" ht="18" customHeight="1">
      <c r="A11" s="2063" t="s">
        <v>1785</v>
      </c>
      <c r="B11" s="2064" t="s">
        <v>3250</v>
      </c>
      <c r="C11" s="2948" t="s">
        <v>3244</v>
      </c>
      <c r="D11" s="2065"/>
      <c r="E11" s="2040"/>
      <c r="F11" s="2040"/>
      <c r="G11" s="2040"/>
      <c r="H11" s="2040"/>
      <c r="I11" s="2040"/>
      <c r="J11" s="2040"/>
      <c r="K11" s="2049"/>
      <c r="L11" s="2026"/>
      <c r="M11" s="2026"/>
      <c r="N11" s="2027"/>
      <c r="O11" s="2028"/>
      <c r="P11" s="2027"/>
      <c r="Q11" s="2027"/>
      <c r="R11" s="2027"/>
    </row>
    <row r="12" spans="1:19" ht="18" customHeight="1">
      <c r="A12" s="2066" t="s">
        <v>1786</v>
      </c>
      <c r="B12" s="2064" t="s">
        <v>3044</v>
      </c>
      <c r="C12" s="2067" t="s">
        <v>1787</v>
      </c>
      <c r="D12" s="2068" t="s">
        <v>1788</v>
      </c>
      <c r="E12" s="2068" t="s">
        <v>1789</v>
      </c>
      <c r="F12" s="2068" t="s">
        <v>1790</v>
      </c>
      <c r="G12" s="2068" t="s">
        <v>1791</v>
      </c>
      <c r="H12" s="2068" t="s">
        <v>1792</v>
      </c>
      <c r="I12" s="2068" t="s">
        <v>1793</v>
      </c>
      <c r="J12" s="2040"/>
      <c r="K12" s="2049"/>
      <c r="L12" s="2026"/>
      <c r="M12" s="2026"/>
      <c r="N12" s="2027"/>
      <c r="O12" s="2028"/>
      <c r="P12" s="2027"/>
      <c r="Q12" s="2027"/>
      <c r="R12" s="2027"/>
    </row>
    <row r="13" spans="1:19" ht="18" customHeight="1">
      <c r="A13" s="2069"/>
      <c r="B13" s="2070"/>
      <c r="C13" s="2071" t="s">
        <v>1794</v>
      </c>
      <c r="D13" s="2072">
        <v>68882</v>
      </c>
      <c r="E13" s="2072">
        <v>57924</v>
      </c>
      <c r="F13" s="2072"/>
      <c r="G13" s="2072">
        <v>61577</v>
      </c>
      <c r="H13" s="2072"/>
      <c r="I13" s="1046"/>
      <c r="J13" s="2040"/>
      <c r="K13" s="2049"/>
      <c r="L13" s="2026"/>
      <c r="M13" s="2026"/>
      <c r="N13" s="2027"/>
      <c r="O13" s="2028"/>
      <c r="P13" s="2027"/>
      <c r="Q13" s="2027"/>
      <c r="R13" s="2027"/>
    </row>
    <row r="14" spans="1:19" ht="18" customHeight="1">
      <c r="A14" s="2069"/>
      <c r="B14" s="2070"/>
      <c r="C14" s="2071" t="s">
        <v>1795</v>
      </c>
      <c r="D14" s="1049">
        <v>70</v>
      </c>
      <c r="E14" s="1049">
        <v>40</v>
      </c>
      <c r="F14" s="1049"/>
      <c r="G14" s="1049">
        <v>50</v>
      </c>
      <c r="H14" s="1049"/>
      <c r="I14" s="1049"/>
      <c r="J14" s="2040"/>
      <c r="K14" s="2073"/>
      <c r="L14" s="2026"/>
      <c r="M14" s="2026"/>
      <c r="N14" s="2027"/>
      <c r="O14" s="2028"/>
      <c r="P14" s="2027"/>
      <c r="Q14" s="2027"/>
      <c r="R14" s="2027"/>
    </row>
    <row r="15" spans="1:19" ht="18" customHeight="1">
      <c r="A15" s="2058"/>
      <c r="B15" s="2074"/>
      <c r="C15" s="2071" t="s">
        <v>1796</v>
      </c>
      <c r="D15" s="1048">
        <f>IF(B12="出让",IF(D13="","",ROUNDDOWN(MIN((D13-$D$3)/365,D14),2)),D14)</f>
        <v>69.2</v>
      </c>
      <c r="E15" s="1048">
        <f>IF(B12="出让",IF(E13="","",ROUNDDOWN(MIN((E13-$D$3)/365,E14),2)),E14)</f>
        <v>39.18</v>
      </c>
      <c r="F15" s="1048" t="str">
        <f>IF(B12="出让",IF(F13="","",ROUNDDOWN(MIN((F13-$D$3)/365,F14),2)),F14)</f>
        <v/>
      </c>
      <c r="G15" s="1048">
        <f>IF(B12="出让",IF(G13="","",ROUNDDOWN(MIN((G13-$D$3)/365,G14),2)),G14)</f>
        <v>49.19</v>
      </c>
      <c r="H15" s="1048" t="str">
        <f>IF(B12="出让",IF(H13="","",ROUNDDOWN(MIN((H13-$D$3)/365,H14),2)),H14)</f>
        <v/>
      </c>
      <c r="I15" s="1048" t="str">
        <f>IF(B12="出让",IF(I13="","",ROUNDDOWN(MIN((I13-$D$3)/365,I14),2)),I14)</f>
        <v/>
      </c>
      <c r="J15" s="2040"/>
      <c r="K15" s="2075"/>
      <c r="L15" s="2076"/>
      <c r="M15" s="2076"/>
      <c r="N15" s="2077"/>
      <c r="O15" s="2076"/>
      <c r="P15" s="2077"/>
      <c r="Q15" s="2027"/>
      <c r="R15" s="2027"/>
    </row>
    <row r="16" spans="1:19" ht="30.75" customHeight="1">
      <c r="A16" s="2060" t="s">
        <v>1797</v>
      </c>
      <c r="B16" s="3061" t="s">
        <v>3251</v>
      </c>
      <c r="C16" s="3062"/>
      <c r="D16" s="3063"/>
      <c r="E16" s="2078" t="s">
        <v>1798</v>
      </c>
      <c r="F16" s="3064" t="s">
        <v>3252</v>
      </c>
      <c r="G16" s="3065"/>
      <c r="H16" s="3065"/>
      <c r="I16" s="3066"/>
      <c r="J16" s="2027"/>
      <c r="K16" s="2075"/>
      <c r="L16" s="2076"/>
      <c r="M16" s="2076"/>
      <c r="N16" s="2077"/>
      <c r="O16" s="2076"/>
      <c r="P16" s="2077"/>
      <c r="Q16" s="2027"/>
      <c r="R16" s="2027"/>
    </row>
    <row r="17" spans="1:22" ht="18" customHeight="1">
      <c r="A17" s="2079" t="s">
        <v>1799</v>
      </c>
      <c r="B17" s="2033" t="s">
        <v>1800</v>
      </c>
      <c r="C17" s="1053">
        <f>'数据-汇总表'!E3</f>
        <v>256595.18999999997</v>
      </c>
      <c r="D17" s="2080" t="s">
        <v>1801</v>
      </c>
      <c r="E17" s="3067" t="s">
        <v>3254</v>
      </c>
      <c r="F17" s="3068"/>
      <c r="G17" s="3068"/>
      <c r="H17" s="3068"/>
      <c r="I17" s="3069"/>
      <c r="J17" s="2027"/>
      <c r="K17" s="2081"/>
      <c r="L17" s="2076"/>
      <c r="M17" s="2076"/>
      <c r="N17" s="2077"/>
      <c r="O17" s="2076"/>
      <c r="P17" s="2077"/>
      <c r="Q17" s="2027"/>
      <c r="R17" s="2027"/>
      <c r="S17" s="2027"/>
      <c r="T17" s="2027"/>
      <c r="U17" s="2027"/>
      <c r="V17" s="2027"/>
    </row>
    <row r="18" spans="1:22" ht="36" customHeight="1" thickBot="1">
      <c r="A18" s="2082" t="s">
        <v>70</v>
      </c>
      <c r="B18" s="2036" t="s">
        <v>1802</v>
      </c>
      <c r="C18" s="1443">
        <f>'数据-汇总表'!D3</f>
        <v>63995.17</v>
      </c>
      <c r="D18" s="2083" t="s">
        <v>1801</v>
      </c>
      <c r="E18" s="3070" t="s">
        <v>3253</v>
      </c>
      <c r="F18" s="3071"/>
      <c r="G18" s="3071"/>
      <c r="H18" s="3071"/>
      <c r="I18" s="3072"/>
      <c r="J18" s="2027"/>
      <c r="K18" s="2081"/>
      <c r="L18" s="2076"/>
      <c r="M18" s="2076"/>
      <c r="N18" s="2077"/>
      <c r="O18" s="2076"/>
      <c r="P18" s="2077"/>
      <c r="Q18" s="2027"/>
      <c r="R18" s="2027"/>
      <c r="S18" s="2027"/>
      <c r="T18" s="2027"/>
      <c r="U18" s="2027"/>
      <c r="V18" s="2027"/>
    </row>
    <row r="19" spans="1:22" ht="37.5" customHeight="1" thickTop="1" thickBot="1">
      <c r="A19" s="373" t="s">
        <v>1803</v>
      </c>
      <c r="B19" s="352" t="s">
        <v>1804</v>
      </c>
      <c r="C19" s="2084" t="s">
        <v>3255</v>
      </c>
      <c r="D19" s="2085" t="s">
        <v>1805</v>
      </c>
      <c r="E19" s="2086" t="s">
        <v>70</v>
      </c>
      <c r="F19" s="2087" t="str">
        <f>IF(AND(C19="是",E19="否"),"是否提供他项权证或相关说明","")</f>
        <v/>
      </c>
      <c r="G19" s="2088"/>
      <c r="H19" s="2040"/>
      <c r="I19" s="2040"/>
      <c r="J19" s="2040"/>
      <c r="K19" s="2049"/>
      <c r="L19" s="2026"/>
      <c r="M19" s="2026"/>
      <c r="N19" s="2077"/>
      <c r="O19" s="2076"/>
      <c r="P19" s="2077"/>
      <c r="Q19" s="2027"/>
      <c r="R19" s="2027"/>
      <c r="S19" s="2027"/>
      <c r="T19" s="2027"/>
      <c r="U19" s="2027"/>
      <c r="V19" s="2027"/>
    </row>
    <row r="20" spans="1:22" ht="18" customHeight="1">
      <c r="A20" s="2089" t="s">
        <v>1806</v>
      </c>
      <c r="B20" s="3057" t="s">
        <v>1807</v>
      </c>
      <c r="C20" s="3058"/>
      <c r="D20" s="3059" t="s">
        <v>1808</v>
      </c>
      <c r="E20" s="3060"/>
      <c r="F20" s="2090" t="s">
        <v>1809</v>
      </c>
      <c r="G20" s="2040"/>
      <c r="H20" s="2040"/>
      <c r="I20" s="2040"/>
      <c r="J20" s="2040"/>
      <c r="K20" s="3056" t="s">
        <v>1810</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77"/>
      <c r="O20" s="2076"/>
      <c r="P20" s="2077"/>
      <c r="Q20" s="2027"/>
      <c r="R20" s="2027"/>
      <c r="S20" s="2027"/>
      <c r="T20" s="2027"/>
      <c r="U20" s="2027"/>
      <c r="V20" s="2027"/>
    </row>
    <row r="21" spans="1:22" ht="24.75" customHeight="1">
      <c r="A21" s="2089"/>
      <c r="B21" s="2091" t="s">
        <v>3256</v>
      </c>
      <c r="C21" s="2092" t="s">
        <v>3257</v>
      </c>
      <c r="D21" s="2093"/>
      <c r="E21" s="2094"/>
      <c r="F21" s="2095"/>
      <c r="G21" s="2040"/>
      <c r="H21" s="2040"/>
      <c r="I21" s="2040"/>
      <c r="J21" s="2040"/>
      <c r="K21" s="305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7"/>
      <c r="O21" s="2076"/>
      <c r="P21" s="2077"/>
      <c r="Q21" s="2027"/>
      <c r="R21" s="2027"/>
      <c r="S21" s="2027"/>
      <c r="T21" s="2027"/>
      <c r="U21" s="2027"/>
      <c r="V21" s="2027"/>
    </row>
    <row r="22" spans="1:22" ht="24.75" customHeight="1" thickBot="1">
      <c r="A22" s="2089"/>
      <c r="B22" s="2096"/>
      <c r="C22" s="2092"/>
      <c r="D22" s="2024"/>
      <c r="E22" s="2024"/>
      <c r="F22" s="2097"/>
      <c r="G22" s="2040"/>
      <c r="H22" s="2040"/>
      <c r="I22" s="2040"/>
      <c r="J22" s="2040"/>
      <c r="K22" s="305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7"/>
      <c r="O22" s="2076"/>
      <c r="P22" s="2077"/>
      <c r="Q22" s="2027"/>
      <c r="R22" s="2027"/>
      <c r="S22" s="2027"/>
      <c r="T22" s="2027"/>
      <c r="U22" s="2027"/>
      <c r="V22" s="2027"/>
    </row>
    <row r="23" spans="1:22" ht="18" customHeight="1">
      <c r="A23" s="2098" t="s">
        <v>1811</v>
      </c>
      <c r="B23" s="183" t="s">
        <v>1812</v>
      </c>
      <c r="C23" s="2099"/>
      <c r="D23" s="2100" t="s">
        <v>1812</v>
      </c>
      <c r="E23" s="2101"/>
      <c r="F23" s="2097"/>
      <c r="G23" s="2040"/>
      <c r="H23" s="2040"/>
      <c r="I23" s="2040"/>
      <c r="J23" s="2040"/>
      <c r="K23" s="2102"/>
      <c r="L23" s="747"/>
      <c r="M23" s="2026"/>
      <c r="N23" s="2077"/>
      <c r="O23" s="2076"/>
      <c r="P23" s="2077"/>
      <c r="Q23" s="2027"/>
      <c r="R23" s="2027"/>
      <c r="S23" s="2027"/>
      <c r="T23" s="2027"/>
      <c r="U23" s="2027"/>
      <c r="V23" s="2027"/>
    </row>
    <row r="24" spans="1:22" ht="18" customHeight="1">
      <c r="A24" s="2103"/>
      <c r="B24" s="183" t="s">
        <v>1813</v>
      </c>
      <c r="C24" s="2104"/>
      <c r="D24" s="2098" t="s">
        <v>1813</v>
      </c>
      <c r="E24" s="2105"/>
      <c r="F24" s="2097"/>
      <c r="G24" s="2040"/>
      <c r="H24" s="2040"/>
      <c r="I24" s="2040"/>
      <c r="J24" s="2040"/>
      <c r="K24" s="2102"/>
      <c r="L24" s="747"/>
      <c r="M24" s="2026"/>
      <c r="N24" s="2077"/>
      <c r="O24" s="2076"/>
      <c r="P24" s="2077"/>
      <c r="Q24" s="2027"/>
      <c r="R24" s="2027"/>
      <c r="S24" s="2027"/>
      <c r="T24" s="2027"/>
      <c r="U24" s="2027"/>
      <c r="V24" s="2027"/>
    </row>
    <row r="25" spans="1:22" ht="18" customHeight="1">
      <c r="A25" s="2103"/>
      <c r="B25" s="183" t="s">
        <v>1814</v>
      </c>
      <c r="C25" s="2104"/>
      <c r="D25" s="2098" t="s">
        <v>1814</v>
      </c>
      <c r="E25" s="2105"/>
      <c r="F25" s="2097"/>
      <c r="G25" s="2040"/>
      <c r="H25" s="2040"/>
      <c r="I25" s="2040"/>
      <c r="J25" s="2040"/>
      <c r="K25" s="2049"/>
      <c r="L25" s="2026"/>
      <c r="M25" s="2026"/>
      <c r="N25" s="2077"/>
      <c r="O25" s="2076"/>
      <c r="P25" s="2077"/>
      <c r="Q25" s="2027"/>
      <c r="R25" s="2027"/>
      <c r="S25" s="2027"/>
      <c r="T25" s="2027"/>
      <c r="U25" s="2027"/>
      <c r="V25" s="2027"/>
    </row>
    <row r="26" spans="1:22" ht="18" customHeight="1" thickBot="1">
      <c r="A26" s="2106"/>
      <c r="B26" s="2107" t="s">
        <v>1815</v>
      </c>
      <c r="C26" s="2108"/>
      <c r="D26" s="2109" t="s">
        <v>1816</v>
      </c>
      <c r="E26" s="2110"/>
      <c r="F26" s="2111"/>
      <c r="G26" s="2057"/>
      <c r="H26" s="2057"/>
      <c r="I26" s="2057"/>
      <c r="J26" s="2040"/>
      <c r="K26" s="2049"/>
      <c r="L26" s="2026"/>
      <c r="M26" s="2026"/>
      <c r="N26" s="2077"/>
      <c r="O26" s="2076"/>
      <c r="P26" s="2077"/>
      <c r="Q26" s="2027"/>
      <c r="R26" s="2027"/>
      <c r="S26" s="2027"/>
      <c r="T26" s="2027"/>
      <c r="U26" s="2027"/>
      <c r="V26" s="2027"/>
    </row>
    <row r="27" spans="1:22" ht="18" customHeight="1" thickTop="1">
      <c r="A27" s="3044" t="s">
        <v>1817</v>
      </c>
      <c r="B27" s="2058" t="s">
        <v>1818</v>
      </c>
      <c r="C27" s="2112" t="s">
        <v>3258</v>
      </c>
      <c r="D27" s="2113"/>
      <c r="E27" s="2040"/>
      <c r="F27" s="2040"/>
      <c r="G27" s="2040"/>
      <c r="H27" s="2040"/>
      <c r="I27" s="2040"/>
      <c r="J27" s="2027"/>
      <c r="K27" s="2075"/>
      <c r="L27" s="2076"/>
      <c r="M27" s="2076"/>
      <c r="N27" s="2077"/>
      <c r="O27" s="2076"/>
      <c r="P27" s="2077"/>
      <c r="Q27" s="2027"/>
      <c r="R27" s="2027"/>
      <c r="S27" s="2027"/>
      <c r="T27" s="2027"/>
      <c r="U27" s="2027"/>
      <c r="V27" s="2027"/>
    </row>
    <row r="28" spans="1:22" ht="18" customHeight="1">
      <c r="A28" s="3044"/>
      <c r="B28" s="2033" t="s">
        <v>1819</v>
      </c>
      <c r="C28" s="2114" t="s">
        <v>3259</v>
      </c>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044"/>
      <c r="B29" s="2033" t="s">
        <v>1820</v>
      </c>
      <c r="C29" s="2117" t="s">
        <v>3255</v>
      </c>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045"/>
      <c r="B30" s="2033" t="s">
        <v>1821</v>
      </c>
      <c r="C30" s="3046"/>
      <c r="D30" s="3047"/>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048" t="s">
        <v>1822</v>
      </c>
      <c r="B31" s="2119" t="s">
        <v>3260</v>
      </c>
      <c r="C31" s="2120" t="str">
        <f>IF(B31="现房","成新及维护状况正常否",IF(B31="在建","工程状态是否正常",IF(B31="土地","是否闲置","-")))</f>
        <v>工程状态是否正常</v>
      </c>
      <c r="D31" s="2121"/>
      <c r="E31" s="2949" t="s">
        <v>3262</v>
      </c>
      <c r="F31" s="2040"/>
      <c r="G31" s="2040"/>
      <c r="H31" s="2040"/>
      <c r="I31" s="2040"/>
      <c r="J31" s="2040"/>
      <c r="K31" s="2048"/>
      <c r="L31" s="2026"/>
      <c r="M31" s="2026"/>
      <c r="N31" s="2027"/>
      <c r="O31" s="2028"/>
      <c r="P31" s="2027"/>
      <c r="Q31" s="2027"/>
      <c r="R31" s="2027"/>
      <c r="S31" s="2027"/>
      <c r="T31" s="2027"/>
      <c r="U31" s="2027"/>
      <c r="V31" s="2027"/>
    </row>
    <row r="32" spans="1:22" ht="18" customHeight="1">
      <c r="A32" s="3049"/>
      <c r="B32" s="2119"/>
      <c r="C32" s="2120" t="str">
        <f>IF(B32="现房","成新及维护状况是否正常",IF(B32="在建","工程状态是否正常",IF(B32="土地","是否闲置","-")))</f>
        <v>-</v>
      </c>
      <c r="D32" s="2121"/>
      <c r="E32" s="2122"/>
      <c r="F32" s="2040"/>
      <c r="G32" s="2040"/>
      <c r="H32" s="2040"/>
      <c r="I32" s="2040"/>
      <c r="J32" s="2040"/>
      <c r="K32" s="2049"/>
      <c r="L32" s="2026"/>
      <c r="M32" s="2026"/>
      <c r="N32" s="2027"/>
      <c r="O32" s="2028"/>
      <c r="P32" s="2027"/>
      <c r="Q32" s="2027"/>
      <c r="R32" s="2027"/>
      <c r="S32" s="2027"/>
      <c r="T32" s="2027"/>
      <c r="U32" s="2027"/>
      <c r="V32" s="2027"/>
    </row>
    <row r="33" spans="1:22" ht="18" customHeight="1">
      <c r="A33" s="3049"/>
      <c r="B33" s="2123"/>
      <c r="C33" s="2063" t="str">
        <f>IF(B33="现房","成新及维护状况是否正常",IF(B33="在建","工程状态是否正常",IF(B33="土地","是否闲置","-")))</f>
        <v>-</v>
      </c>
      <c r="D33" s="2124"/>
      <c r="E33" s="2125"/>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1823</v>
      </c>
      <c r="B34" s="2126" t="s">
        <v>3263</v>
      </c>
      <c r="C34" s="2126" t="s">
        <v>3264</v>
      </c>
      <c r="D34" s="2126" t="s">
        <v>3265</v>
      </c>
      <c r="E34" s="2126" t="s">
        <v>3266</v>
      </c>
      <c r="F34" s="2126" t="s">
        <v>3267</v>
      </c>
      <c r="G34" s="2126" t="s">
        <v>3268</v>
      </c>
      <c r="H34" s="2126"/>
      <c r="I34" s="2040"/>
      <c r="J34" s="2040"/>
      <c r="K34" s="1793">
        <f>COUNTIF(B34:H34,"——")</f>
        <v>0</v>
      </c>
      <c r="L34" s="2067" t="s">
        <v>1824</v>
      </c>
      <c r="M34" s="2067" t="s">
        <v>1825</v>
      </c>
      <c r="N34" s="2067" t="s">
        <v>1826</v>
      </c>
      <c r="O34" s="2067" t="s">
        <v>1827</v>
      </c>
      <c r="P34" s="2067" t="s">
        <v>1828</v>
      </c>
      <c r="Q34" s="2067" t="s">
        <v>1829</v>
      </c>
      <c r="R34" s="2067" t="s">
        <v>1830</v>
      </c>
      <c r="S34" s="3043" t="s">
        <v>1831</v>
      </c>
      <c r="T34" s="2127" t="str">
        <f>NUMBERSTRING(7-K34,1)&amp;"通"</f>
        <v>七通</v>
      </c>
      <c r="U34" s="2027"/>
      <c r="V34" s="2027"/>
    </row>
    <row r="35" spans="1:22" ht="18" customHeight="1">
      <c r="A35" s="2128"/>
      <c r="B35" s="3050" t="s">
        <v>1832</v>
      </c>
      <c r="C35" s="3050"/>
      <c r="D35" s="3050"/>
      <c r="E35" s="3050"/>
      <c r="F35" s="2129" t="str">
        <f>C10</f>
        <v>云南省昆明市</v>
      </c>
      <c r="G35" s="2040"/>
      <c r="H35" s="2040"/>
      <c r="I35" s="2040"/>
      <c r="J35" s="2040"/>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3"/>
      <c r="T35" s="48" t="str">
        <f>IF(T34="一通",L35,IF(T34="二通",M35,IF(T34="三通",N35,IF(T34="四通",O35,IF(T34="五通",P35,IF(T34="六通",Q35,R35))))))</f>
        <v>通路、通电、通讯、通上水、通下水、燃气、</v>
      </c>
      <c r="U35" s="2027"/>
      <c r="V35" s="2027"/>
    </row>
    <row r="36" spans="1:22" ht="18" customHeight="1">
      <c r="A36" s="2130"/>
      <c r="B36" s="2129" t="s">
        <v>1833</v>
      </c>
      <c r="C36" s="2129" t="s">
        <v>1834</v>
      </c>
      <c r="D36" s="2129" t="s">
        <v>1835</v>
      </c>
      <c r="E36" s="2129" t="s">
        <v>1836</v>
      </c>
      <c r="F36" s="2131"/>
      <c r="G36" s="2040"/>
      <c r="H36" s="2040"/>
      <c r="I36" s="2040"/>
      <c r="J36" s="2040"/>
      <c r="K36" s="2049"/>
      <c r="L36" s="2026"/>
      <c r="M36" s="2026"/>
      <c r="N36" s="2027"/>
      <c r="O36" s="2028"/>
      <c r="P36" s="2027"/>
      <c r="Q36" s="2027"/>
      <c r="R36" s="2027"/>
      <c r="S36" s="2027"/>
      <c r="T36" s="2027"/>
      <c r="U36" s="2027"/>
      <c r="V36" s="2027"/>
    </row>
    <row r="37" spans="1:22" ht="18" customHeight="1">
      <c r="A37" s="2132" t="s">
        <v>1837</v>
      </c>
      <c r="B37" s="2133"/>
      <c r="C37" s="2133"/>
      <c r="D37" s="2133"/>
      <c r="E37" s="2133"/>
      <c r="F37" s="2131"/>
      <c r="G37" s="2040"/>
      <c r="H37" s="2040"/>
      <c r="I37" s="2040"/>
      <c r="J37" s="2040"/>
      <c r="K37" s="2049"/>
      <c r="L37" s="2026"/>
      <c r="M37" s="2026"/>
      <c r="N37" s="2027"/>
      <c r="O37" s="2028"/>
      <c r="P37" s="2027"/>
      <c r="Q37" s="2027"/>
      <c r="R37" s="2027"/>
      <c r="S37" s="2027"/>
      <c r="T37" s="2027"/>
      <c r="U37" s="2027"/>
      <c r="V37" s="2027"/>
    </row>
    <row r="38" spans="1:22" ht="18" customHeight="1" thickBot="1">
      <c r="A38" s="2134" t="s">
        <v>1838</v>
      </c>
      <c r="B38" s="2135"/>
      <c r="C38" s="2135"/>
      <c r="D38" s="2135"/>
      <c r="E38" s="2135"/>
      <c r="F38" s="2136"/>
      <c r="G38" s="2057"/>
      <c r="H38" s="2057"/>
      <c r="I38" s="2057"/>
      <c r="J38" s="2040"/>
      <c r="K38" s="2049"/>
      <c r="L38" s="2026"/>
      <c r="M38" s="2026"/>
      <c r="N38" s="2027"/>
      <c r="O38" s="2028"/>
      <c r="P38" s="2027"/>
      <c r="Q38" s="2027"/>
      <c r="R38" s="2027"/>
      <c r="S38" s="2027"/>
      <c r="T38" s="2027"/>
      <c r="U38" s="2027"/>
      <c r="V38" s="2027"/>
    </row>
    <row r="39" spans="1:22" s="2141" customFormat="1" ht="18" customHeight="1" thickTop="1" thickBot="1">
      <c r="A39" s="2137" t="s">
        <v>1839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7"/>
      <c r="K40" s="666"/>
      <c r="L40" s="2076"/>
      <c r="M40" s="2076"/>
      <c r="N40" s="2077"/>
      <c r="O40" s="2076"/>
      <c r="P40" s="2027"/>
      <c r="Q40" s="2027"/>
      <c r="R40" s="2027"/>
      <c r="S40" s="2027"/>
      <c r="T40" s="2027"/>
      <c r="U40" s="2027"/>
      <c r="V40" s="2027"/>
    </row>
    <row r="41" spans="1:22" ht="18" customHeight="1">
      <c r="A41" s="8" t="s">
        <v>1840</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7" t="s">
        <v>1841</v>
      </c>
      <c r="B42" s="1793" t="s">
        <v>1842</v>
      </c>
      <c r="C42" s="1793" t="s">
        <v>1843</v>
      </c>
      <c r="D42" s="1793" t="s">
        <v>1844</v>
      </c>
      <c r="E42" s="1793" t="s">
        <v>1845</v>
      </c>
      <c r="F42" s="1793" t="s">
        <v>1846</v>
      </c>
      <c r="G42" s="1793" t="s">
        <v>1847</v>
      </c>
      <c r="H42" s="1793" t="s">
        <v>1848</v>
      </c>
      <c r="I42" s="1793" t="s">
        <v>1849</v>
      </c>
      <c r="J42" s="2145" t="s">
        <v>1850</v>
      </c>
      <c r="K42" s="2068" t="s">
        <v>1851</v>
      </c>
      <c r="L42" s="2068" t="s">
        <v>1852</v>
      </c>
      <c r="M42" s="2068" t="s">
        <v>1853</v>
      </c>
      <c r="N42" s="1793" t="s">
        <v>1854</v>
      </c>
      <c r="O42" s="1793" t="s">
        <v>1855</v>
      </c>
      <c r="P42" s="1793" t="s">
        <v>1856</v>
      </c>
      <c r="Q42" s="2067" t="s">
        <v>1857</v>
      </c>
      <c r="R42" s="2067" t="s">
        <v>1858</v>
      </c>
      <c r="S42" s="2027"/>
      <c r="T42" s="2027"/>
      <c r="U42" s="2027"/>
      <c r="V42" s="2027"/>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D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1859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1860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1861</v>
      </c>
      <c r="B2" s="11" t="s">
        <v>1862</v>
      </c>
      <c r="C2" s="11" t="s">
        <v>1863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1864</v>
      </c>
      <c r="AZ2" s="1269" t="s">
        <v>1865</v>
      </c>
      <c r="BA2" s="11" t="s">
        <v>1866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63995.17</v>
      </c>
      <c r="B3" s="14">
        <f>IF(C3="否",G5-AT5,G5)</f>
        <v>256595.18999999997</v>
      </c>
      <c r="C3" s="2161" t="s">
        <v>1867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1868</v>
      </c>
      <c r="B5" s="1801"/>
      <c r="C5" s="1801"/>
      <c r="D5" s="1804"/>
      <c r="E5" s="16" t="s">
        <v>1</v>
      </c>
      <c r="F5" s="16">
        <f>SUM(F13:F587)</f>
        <v>0</v>
      </c>
      <c r="G5" s="16">
        <f>SUM(G13:G587)</f>
        <v>256595.18999999997</v>
      </c>
      <c r="H5" s="16">
        <f t="shared" ref="H5:AT5" si="0">SUM(H13:H656)</f>
        <v>240933.97999999998</v>
      </c>
      <c r="I5" s="16">
        <f t="shared" si="0"/>
        <v>185035</v>
      </c>
      <c r="J5" s="16">
        <f t="shared" si="0"/>
        <v>0</v>
      </c>
      <c r="K5" s="16">
        <f t="shared" si="0"/>
        <v>1453.71</v>
      </c>
      <c r="L5" s="16">
        <f t="shared" si="0"/>
        <v>0</v>
      </c>
      <c r="M5" s="16">
        <f t="shared" si="0"/>
        <v>54445.270000000004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15661.210000000003</v>
      </c>
      <c r="AD5" s="16">
        <f t="shared" si="0"/>
        <v>4803.5800000000008</v>
      </c>
      <c r="AE5" s="16">
        <f t="shared" si="0"/>
        <v>0</v>
      </c>
      <c r="AF5" s="16">
        <f t="shared" si="0"/>
        <v>467.89</v>
      </c>
      <c r="AG5" s="16">
        <f t="shared" si="0"/>
        <v>0</v>
      </c>
      <c r="AH5" s="16">
        <f t="shared" si="0"/>
        <v>285.12</v>
      </c>
      <c r="AI5" s="16">
        <f t="shared" si="0"/>
        <v>0</v>
      </c>
      <c r="AJ5" s="16">
        <f t="shared" si="0"/>
        <v>281.08000000000004</v>
      </c>
      <c r="AK5" s="16">
        <f t="shared" si="0"/>
        <v>0</v>
      </c>
      <c r="AL5" s="16">
        <f t="shared" si="0"/>
        <v>890.32999999999993</v>
      </c>
      <c r="AM5" s="16">
        <f t="shared" si="0"/>
        <v>0</v>
      </c>
      <c r="AN5" s="16">
        <f t="shared" si="0"/>
        <v>8933.2100000000009</v>
      </c>
      <c r="AO5" s="16">
        <f t="shared" si="0"/>
        <v>0</v>
      </c>
      <c r="AP5" s="16">
        <f t="shared" si="0"/>
        <v>0</v>
      </c>
      <c r="AQ5" s="16">
        <f t="shared" si="0"/>
        <v>0</v>
      </c>
      <c r="AR5" s="16">
        <f t="shared" si="0"/>
        <v>0</v>
      </c>
      <c r="AS5" s="16">
        <f t="shared" si="0"/>
        <v>0</v>
      </c>
      <c r="AT5" s="16">
        <f t="shared" si="0"/>
        <v>0</v>
      </c>
      <c r="AU5" s="1800"/>
      <c r="AV5" s="15" t="s">
        <v>1868</v>
      </c>
      <c r="AW5" s="1801"/>
      <c r="AX5" s="1801"/>
      <c r="AY5" s="17" t="s">
        <v>3</v>
      </c>
      <c r="AZ5" s="18">
        <f t="shared" ref="AZ5:BT5" si="1">SUM(AZ13:AZ656)</f>
        <v>256595.18999999997</v>
      </c>
      <c r="BA5" s="18">
        <f t="shared" si="1"/>
        <v>240933.97999999998</v>
      </c>
      <c r="BB5" s="18">
        <f t="shared" si="1"/>
        <v>185035</v>
      </c>
      <c r="BC5" s="18">
        <f t="shared" si="1"/>
        <v>1453.71</v>
      </c>
      <c r="BD5" s="18">
        <f t="shared" si="1"/>
        <v>54445.270000000004</v>
      </c>
      <c r="BE5" s="18">
        <f t="shared" si="1"/>
        <v>0</v>
      </c>
      <c r="BF5" s="18">
        <f t="shared" si="1"/>
        <v>0</v>
      </c>
      <c r="BG5" s="18">
        <f t="shared" si="1"/>
        <v>0</v>
      </c>
      <c r="BH5" s="18">
        <f t="shared" si="1"/>
        <v>0</v>
      </c>
      <c r="BI5" s="18">
        <f t="shared" si="1"/>
        <v>0</v>
      </c>
      <c r="BJ5" s="18">
        <f t="shared" si="1"/>
        <v>0</v>
      </c>
      <c r="BK5" s="18">
        <f t="shared" si="1"/>
        <v>0</v>
      </c>
      <c r="BL5" s="18">
        <f t="shared" si="1"/>
        <v>15661.210000000003</v>
      </c>
      <c r="BM5" s="18">
        <f t="shared" si="1"/>
        <v>4803.5800000000008</v>
      </c>
      <c r="BN5" s="18">
        <f t="shared" si="1"/>
        <v>467.89</v>
      </c>
      <c r="BO5" s="18">
        <f t="shared" si="1"/>
        <v>285.12</v>
      </c>
      <c r="BP5" s="18">
        <f t="shared" si="1"/>
        <v>281.08000000000004</v>
      </c>
      <c r="BQ5" s="18">
        <f t="shared" si="1"/>
        <v>890.32999999999993</v>
      </c>
      <c r="BR5" s="18">
        <f t="shared" si="1"/>
        <v>8933.2100000000009</v>
      </c>
      <c r="BS5" s="18">
        <f t="shared" si="1"/>
        <v>0</v>
      </c>
      <c r="BT5" s="19">
        <f t="shared" si="1"/>
        <v>0</v>
      </c>
    </row>
    <row r="6" spans="1:72" s="2170" customFormat="1" ht="12.75">
      <c r="A6" s="15" t="s">
        <v>1869</v>
      </c>
      <c r="B6" s="2167"/>
      <c r="C6" s="2167"/>
      <c r="D6" s="2168"/>
      <c r="E6" s="16">
        <f>H6+AC6+AT6</f>
        <v>63995.17</v>
      </c>
      <c r="F6" s="16" t="s">
        <v>1</v>
      </c>
      <c r="G6" s="16" t="s">
        <v>2</v>
      </c>
      <c r="H6" s="20">
        <f>SUMIF(I$12:AB$12,"总值",I6:AB6)</f>
        <v>60089.25</v>
      </c>
      <c r="I6" s="16">
        <f t="shared" ref="I6:AB6" si="2">ROUND($A$3*I5/$B$3,2)</f>
        <v>46147.97</v>
      </c>
      <c r="J6" s="16">
        <f t="shared" si="2"/>
        <v>0</v>
      </c>
      <c r="K6" s="16">
        <f t="shared" si="2"/>
        <v>362.56</v>
      </c>
      <c r="L6" s="16">
        <f t="shared" si="2"/>
        <v>0</v>
      </c>
      <c r="M6" s="16">
        <f t="shared" si="2"/>
        <v>13578.72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3905.9199999999996</v>
      </c>
      <c r="AD6" s="16">
        <f t="shared" ref="AD6:AS6" si="3">ROUND($A$3*AD5/$B$3,2)</f>
        <v>1198.02</v>
      </c>
      <c r="AE6" s="16">
        <f t="shared" si="3"/>
        <v>0</v>
      </c>
      <c r="AF6" s="16">
        <f t="shared" si="3"/>
        <v>116.69</v>
      </c>
      <c r="AG6" s="16">
        <f t="shared" si="3"/>
        <v>0</v>
      </c>
      <c r="AH6" s="16">
        <f t="shared" si="3"/>
        <v>71.11</v>
      </c>
      <c r="AI6" s="16">
        <f t="shared" si="3"/>
        <v>0</v>
      </c>
      <c r="AJ6" s="16">
        <f t="shared" si="3"/>
        <v>70.099999999999994</v>
      </c>
      <c r="AK6" s="16">
        <f t="shared" si="3"/>
        <v>0</v>
      </c>
      <c r="AL6" s="16">
        <f t="shared" si="3"/>
        <v>222.05</v>
      </c>
      <c r="AM6" s="16">
        <f t="shared" si="3"/>
        <v>0</v>
      </c>
      <c r="AN6" s="16">
        <f t="shared" si="3"/>
        <v>2227.9499999999998</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63995.17</v>
      </c>
      <c r="AZ6" s="16" t="s">
        <v>3</v>
      </c>
      <c r="BA6" s="16">
        <f>ROUND($AY$6*BA5/$AZ$5,2)</f>
        <v>60089.24</v>
      </c>
      <c r="BB6" s="16">
        <f>ROUND($AY$6*BB5/$AZ$5,2)</f>
        <v>46147.97</v>
      </c>
      <c r="BC6" s="16">
        <f t="shared" ref="BC6:BH6" si="4">ROUND($AY$6*BC5/$AZ$5,2)</f>
        <v>362.56</v>
      </c>
      <c r="BD6" s="16">
        <f t="shared" si="4"/>
        <v>13578.72</v>
      </c>
      <c r="BE6" s="16">
        <f t="shared" si="4"/>
        <v>0</v>
      </c>
      <c r="BF6" s="16">
        <f t="shared" si="4"/>
        <v>0</v>
      </c>
      <c r="BG6" s="16">
        <f t="shared" si="4"/>
        <v>0</v>
      </c>
      <c r="BH6" s="16">
        <f t="shared" si="4"/>
        <v>0</v>
      </c>
      <c r="BI6" s="16">
        <f t="shared" ref="BI6:BT6" si="5">ROUND($AY$6*BI5/$AZ$5,2)</f>
        <v>0</v>
      </c>
      <c r="BJ6" s="16">
        <f t="shared" si="5"/>
        <v>0</v>
      </c>
      <c r="BK6" s="16">
        <f t="shared" si="5"/>
        <v>0</v>
      </c>
      <c r="BL6" s="16">
        <f t="shared" si="5"/>
        <v>3905.93</v>
      </c>
      <c r="BM6" s="16">
        <f t="shared" si="5"/>
        <v>1198.02</v>
      </c>
      <c r="BN6" s="16">
        <f t="shared" si="5"/>
        <v>116.69</v>
      </c>
      <c r="BO6" s="16">
        <f t="shared" si="5"/>
        <v>71.11</v>
      </c>
      <c r="BP6" s="16">
        <f t="shared" si="5"/>
        <v>70.099999999999994</v>
      </c>
      <c r="BQ6" s="16">
        <f t="shared" si="5"/>
        <v>222.05</v>
      </c>
      <c r="BR6" s="16">
        <f t="shared" si="5"/>
        <v>2227.9499999999998</v>
      </c>
      <c r="BS6" s="16">
        <f t="shared" si="5"/>
        <v>0</v>
      </c>
      <c r="BT6" s="22">
        <f t="shared" si="5"/>
        <v>0</v>
      </c>
    </row>
    <row r="7" spans="1:72" s="2160" customFormat="1" ht="24.75">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1877</v>
      </c>
      <c r="AV7" s="23" t="s">
        <v>1878</v>
      </c>
      <c r="AW7" s="2159" t="s">
        <v>1879</v>
      </c>
      <c r="AX7" s="23" t="s">
        <v>1872</v>
      </c>
      <c r="AY7" s="1801"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1881</v>
      </c>
      <c r="H8" s="2177" t="s">
        <v>1882</v>
      </c>
      <c r="I8" s="2178"/>
      <c r="J8" s="1816"/>
      <c r="K8" s="1816"/>
      <c r="L8" s="1816"/>
      <c r="M8" s="1816"/>
      <c r="N8" s="1816"/>
      <c r="O8" s="1816"/>
      <c r="P8" s="1816"/>
      <c r="Q8" s="1816"/>
      <c r="R8" s="1816"/>
      <c r="S8" s="1816"/>
      <c r="T8" s="1816"/>
      <c r="U8" s="1816"/>
      <c r="V8" s="2179"/>
      <c r="W8" s="1816"/>
      <c r="X8" s="1816"/>
      <c r="Y8" s="1816"/>
      <c r="Z8" s="1816"/>
      <c r="AA8" s="2179"/>
      <c r="AB8" s="2180"/>
      <c r="AC8" s="980" t="s">
        <v>1883</v>
      </c>
      <c r="AD8" s="2181"/>
      <c r="AE8" s="2173"/>
      <c r="AF8" s="1816"/>
      <c r="AG8" s="1816"/>
      <c r="AH8" s="1816"/>
      <c r="AI8" s="1816"/>
      <c r="AJ8" s="1816"/>
      <c r="AK8" s="1816"/>
      <c r="AL8" s="1816"/>
      <c r="AM8" s="1816"/>
      <c r="AN8" s="1816"/>
      <c r="AO8" s="1816"/>
      <c r="AP8" s="1816"/>
      <c r="AQ8" s="1816"/>
      <c r="AR8" s="1816"/>
      <c r="AS8" s="1816"/>
      <c r="AT8" s="1291" t="s">
        <v>1884</v>
      </c>
      <c r="AU8" s="2175" t="s">
        <v>1885</v>
      </c>
      <c r="AV8" s="1291"/>
      <c r="AW8" s="2158"/>
      <c r="AX8" s="1291"/>
      <c r="AY8" s="2159"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1"/>
      <c r="H9" s="2183" t="s">
        <v>1888</v>
      </c>
      <c r="I9" s="2184" t="s">
        <v>3046</v>
      </c>
      <c r="J9" s="980"/>
      <c r="K9" s="2184" t="s">
        <v>3046</v>
      </c>
      <c r="L9" s="980"/>
      <c r="M9" s="2184" t="s">
        <v>3048</v>
      </c>
      <c r="N9" s="980"/>
      <c r="O9" s="2184"/>
      <c r="P9" s="980"/>
      <c r="Q9" s="2184"/>
      <c r="R9" s="980"/>
      <c r="S9" s="2184"/>
      <c r="T9" s="980"/>
      <c r="U9" s="2184"/>
      <c r="V9" s="980"/>
      <c r="W9" s="2184"/>
      <c r="X9" s="2185"/>
      <c r="Y9" s="2184"/>
      <c r="Z9" s="980"/>
      <c r="AA9" s="2184"/>
      <c r="AB9" s="980"/>
      <c r="AC9" s="2176" t="s">
        <v>1888</v>
      </c>
      <c r="AD9" s="15" t="s">
        <v>1889</v>
      </c>
      <c r="AE9" s="1297"/>
      <c r="AF9" s="15" t="s">
        <v>1890</v>
      </c>
      <c r="AG9" s="1297"/>
      <c r="AH9" s="15" t="s">
        <v>1889</v>
      </c>
      <c r="AI9" s="1297"/>
      <c r="AJ9" s="15" t="s">
        <v>1890</v>
      </c>
      <c r="AK9" s="1297"/>
      <c r="AL9" s="15" t="s">
        <v>1889</v>
      </c>
      <c r="AM9" s="1297"/>
      <c r="AN9" s="15" t="s">
        <v>1890</v>
      </c>
      <c r="AO9" s="1297"/>
      <c r="AP9" s="15" t="s">
        <v>1889</v>
      </c>
      <c r="AQ9" s="1297"/>
      <c r="AR9" s="15" t="s">
        <v>1890</v>
      </c>
      <c r="AS9" s="2186"/>
      <c r="AT9" s="2175"/>
      <c r="AU9" s="2175" t="s">
        <v>1891</v>
      </c>
      <c r="AV9" s="1291"/>
      <c r="AW9" s="2158"/>
      <c r="AX9" s="1291"/>
      <c r="AY9" s="28"/>
      <c r="AZ9" s="28" t="s">
        <v>1881</v>
      </c>
      <c r="BA9" s="2187" t="s">
        <v>1892</v>
      </c>
      <c r="BB9" s="2188"/>
      <c r="BC9" s="1337"/>
      <c r="BD9" s="1337"/>
      <c r="BE9" s="1337"/>
      <c r="BF9" s="1337"/>
      <c r="BG9" s="1337"/>
      <c r="BH9" s="1337"/>
      <c r="BI9" s="1337"/>
      <c r="BJ9" s="1337"/>
      <c r="BK9" s="2189"/>
      <c r="BL9" s="15" t="s">
        <v>1893</v>
      </c>
      <c r="BM9" s="1816"/>
      <c r="BN9" s="2178"/>
      <c r="BO9" s="1816"/>
      <c r="BP9" s="1816"/>
      <c r="BQ9" s="1816"/>
      <c r="BR9" s="1816"/>
      <c r="BS9" s="1816"/>
      <c r="BT9" s="26"/>
    </row>
    <row r="10" spans="1:72" s="2182" customFormat="1" ht="12.75">
      <c r="A10" s="2175"/>
      <c r="B10" s="2175"/>
      <c r="C10" s="2175"/>
      <c r="D10" s="2175"/>
      <c r="E10" s="2175"/>
      <c r="F10" s="2175"/>
      <c r="G10" s="1291"/>
      <c r="H10" s="28"/>
      <c r="I10" s="2184" t="s">
        <v>3047</v>
      </c>
      <c r="J10" s="980"/>
      <c r="K10" s="2190" t="s">
        <v>1373</v>
      </c>
      <c r="L10" s="980"/>
      <c r="M10" s="2190" t="s">
        <v>3049</v>
      </c>
      <c r="N10" s="980"/>
      <c r="O10" s="2190"/>
      <c r="P10" s="980"/>
      <c r="Q10" s="2190"/>
      <c r="R10" s="980"/>
      <c r="S10" s="2190"/>
      <c r="T10" s="980"/>
      <c r="U10" s="2190"/>
      <c r="V10" s="980"/>
      <c r="W10" s="2190"/>
      <c r="X10" s="980"/>
      <c r="Y10" s="2190"/>
      <c r="Z10" s="980"/>
      <c r="AA10" s="2190"/>
      <c r="AB10" s="980"/>
      <c r="AC10" s="1291"/>
      <c r="AD10" s="15" t="s">
        <v>1894</v>
      </c>
      <c r="AE10" s="2191"/>
      <c r="AF10" s="15" t="s">
        <v>1894</v>
      </c>
      <c r="AG10" s="2191"/>
      <c r="AH10" s="15" t="s">
        <v>1895</v>
      </c>
      <c r="AI10" s="2191"/>
      <c r="AJ10" s="15" t="s">
        <v>1895</v>
      </c>
      <c r="AK10" s="2191"/>
      <c r="AL10" s="15" t="s">
        <v>1896</v>
      </c>
      <c r="AM10" s="1297"/>
      <c r="AN10" s="15" t="s">
        <v>1896</v>
      </c>
      <c r="AO10" s="1297"/>
      <c r="AP10" s="15" t="s">
        <v>1897</v>
      </c>
      <c r="AQ10" s="1297"/>
      <c r="AR10" s="15" t="s">
        <v>1897</v>
      </c>
      <c r="AS10" s="1297"/>
      <c r="AT10" s="2175"/>
      <c r="AU10" s="2175"/>
      <c r="AV10" s="1291"/>
      <c r="AW10" s="2158"/>
      <c r="AX10" s="1291"/>
      <c r="AY10" s="28"/>
      <c r="AZ10" s="28"/>
      <c r="BA10" s="2192" t="s">
        <v>1888</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1"/>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1"/>
      <c r="AD11" s="2197" t="s">
        <v>1898</v>
      </c>
      <c r="AE11" s="1817"/>
      <c r="AF11" s="2197" t="s">
        <v>1898</v>
      </c>
      <c r="AG11" s="1817"/>
      <c r="AH11" s="2197" t="s">
        <v>1899</v>
      </c>
      <c r="AI11" s="2198"/>
      <c r="AJ11" s="2197" t="s">
        <v>1899</v>
      </c>
      <c r="AK11" s="1817"/>
      <c r="AL11" s="1815"/>
      <c r="AM11" s="1817"/>
      <c r="AN11" s="1815"/>
      <c r="AO11" s="1817"/>
      <c r="AP11" s="1815"/>
      <c r="AQ11" s="1817"/>
      <c r="AR11" s="1815"/>
      <c r="AS11" s="1817"/>
      <c r="AT11" s="2158"/>
      <c r="AU11" s="2175"/>
      <c r="AV11" s="1291"/>
      <c r="AW11" s="2158"/>
      <c r="AX11" s="1291"/>
      <c r="AY11" s="28"/>
      <c r="AZ11" s="28"/>
      <c r="BA11" s="28"/>
      <c r="BB11" s="2180" t="str">
        <f>I10</f>
        <v>住宅</v>
      </c>
      <c r="BC11" s="2180" t="str">
        <f>K10</f>
        <v>商业</v>
      </c>
      <c r="BD11" s="2180" t="str">
        <f>M10</f>
        <v>车库</v>
      </c>
      <c r="BE11" s="2180">
        <f>O10</f>
        <v>0</v>
      </c>
      <c r="BF11" s="2180">
        <f>Q10</f>
        <v>0</v>
      </c>
      <c r="BG11" s="2180">
        <f>S10</f>
        <v>0</v>
      </c>
      <c r="BH11" s="2180">
        <f>U10</f>
        <v>0</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2"/>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1"/>
      <c r="B13" s="1271"/>
      <c r="C13" s="1271"/>
      <c r="D13" s="2206" t="s">
        <v>3045</v>
      </c>
      <c r="E13" s="16">
        <f>IF($C$3="是",ROUND($A$3*G13/$B$3,2),ROUND($A$3*(G13-AT13)/$B$3,2))</f>
        <v>63995.17</v>
      </c>
      <c r="F13" s="32"/>
      <c r="G13" s="33">
        <f>H13+AC13+AT13</f>
        <v>256595.18999999997</v>
      </c>
      <c r="H13" s="20">
        <f>SUMIF(I$12:AB$12,"总值",I13:AB13)</f>
        <v>240933.97999999998</v>
      </c>
      <c r="I13" s="2207">
        <f>经济指标!E18</f>
        <v>185035</v>
      </c>
      <c r="J13" s="2207"/>
      <c r="K13" s="2207">
        <f>经济指标!E19</f>
        <v>1453.71</v>
      </c>
      <c r="L13" s="2207"/>
      <c r="M13" s="2207">
        <f>经济指标!E13</f>
        <v>54445.270000000004</v>
      </c>
      <c r="N13" s="2207"/>
      <c r="O13" s="2207"/>
      <c r="P13" s="2207"/>
      <c r="Q13" s="2207"/>
      <c r="R13" s="2207"/>
      <c r="S13" s="2207"/>
      <c r="T13" s="2207"/>
      <c r="U13" s="2207"/>
      <c r="V13" s="2207"/>
      <c r="W13" s="2207"/>
      <c r="X13" s="2207"/>
      <c r="Y13" s="2207"/>
      <c r="Z13" s="2207"/>
      <c r="AA13" s="2207"/>
      <c r="AB13" s="2207"/>
      <c r="AC13" s="16">
        <f>SUMIF(AD$12:AS$12,"总值",AD13:AS13)</f>
        <v>15661.210000000003</v>
      </c>
      <c r="AD13" s="2988">
        <f>经济指标!E20+经济指标!E23+经济指标!E24+经济指标!E29</f>
        <v>4803.5800000000008</v>
      </c>
      <c r="AE13" s="2208"/>
      <c r="AF13" s="2208">
        <f>经济指标!E9</f>
        <v>467.89</v>
      </c>
      <c r="AG13" s="2208"/>
      <c r="AH13" s="2208">
        <f>经济指标!E25</f>
        <v>285.12</v>
      </c>
      <c r="AI13" s="2208"/>
      <c r="AJ13" s="2208">
        <f>经济指标!E11</f>
        <v>281.08000000000004</v>
      </c>
      <c r="AK13" s="2208"/>
      <c r="AL13" s="2988">
        <f>经济指标!E22+经济指标!E26+经济指标!E30</f>
        <v>890.32999999999993</v>
      </c>
      <c r="AM13" s="2208"/>
      <c r="AN13" s="2208">
        <f>经济指标!E12+经济指标!E15+经济指标!E16</f>
        <v>8933.2100000000009</v>
      </c>
      <c r="AO13" s="2208"/>
      <c r="AP13" s="2208"/>
      <c r="AQ13" s="2208"/>
      <c r="AR13" s="2208"/>
      <c r="AS13" s="2208"/>
      <c r="AT13" s="2209"/>
      <c r="AU13" s="2210"/>
      <c r="AV13" s="11">
        <f t="shared" ref="AV13:AX17" si="6">A13</f>
        <v>0</v>
      </c>
      <c r="AW13" s="11">
        <f t="shared" si="6"/>
        <v>0</v>
      </c>
      <c r="AX13" s="11">
        <f t="shared" si="6"/>
        <v>0</v>
      </c>
      <c r="AY13" s="1804">
        <f>ROUND($AY$6*AZ13/$AZ$5,2)</f>
        <v>63995.17</v>
      </c>
      <c r="AZ13" s="16">
        <f>BA13+BL13</f>
        <v>256595.18999999997</v>
      </c>
      <c r="BA13" s="16">
        <f>SUM(BB13:BK13)</f>
        <v>240933.97999999998</v>
      </c>
      <c r="BB13" s="16">
        <f>IF($D13="是",I13-J13,0)</f>
        <v>185035</v>
      </c>
      <c r="BC13" s="16">
        <f>IF($D13="是",K13-L13,0)</f>
        <v>1453.71</v>
      </c>
      <c r="BD13" s="16">
        <f>IF($D13="是",M13-N13,0)</f>
        <v>54445.270000000004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15661.210000000003</v>
      </c>
      <c r="BM13" s="16">
        <f>IF($D13="是",AD13-AE13,0)</f>
        <v>4803.5800000000008</v>
      </c>
      <c r="BN13" s="16">
        <f>IF($D13="是",AF13-AG13,0)</f>
        <v>467.89</v>
      </c>
      <c r="BO13" s="16">
        <f>IF($D13="是",AH13-AI13,0)</f>
        <v>285.12</v>
      </c>
      <c r="BP13" s="16">
        <f>IF($D13="是",AJ13-AK13,0)</f>
        <v>281.08000000000004</v>
      </c>
      <c r="BQ13" s="16">
        <f>IF($D13="是",AL13-AM13,0)</f>
        <v>890.32999999999993</v>
      </c>
      <c r="BR13" s="16">
        <f>IF($D13="是",AN13-AO13,0)</f>
        <v>8933.2100000000009</v>
      </c>
      <c r="BS13" s="16">
        <f>IF($D13="是",AP13-AQ13,0)</f>
        <v>0</v>
      </c>
      <c r="BT13" s="22">
        <f>IF($D13="是",AR13-AS13,0)</f>
        <v>0</v>
      </c>
    </row>
    <row r="14" spans="1:72" s="2160" customFormat="1" ht="12.75">
      <c r="A14" s="1271"/>
      <c r="B14" s="1271"/>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1"/>
      <c r="B15" s="1271"/>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1"/>
      <c r="B16" s="1271"/>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1"/>
      <c r="B17" s="1271"/>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activeCell="E6" sqref="E6"/>
    </sheetView>
  </sheetViews>
  <sheetFormatPr defaultRowHeight="13.5"/>
  <cols>
    <col min="1" max="1" width="7.625" style="1633" customWidth="1"/>
    <col min="2" max="2" width="6.5" style="1633" customWidth="1"/>
    <col min="3" max="3" width="7.375" style="1633" customWidth="1"/>
    <col min="4" max="4" width="19.125" style="1633" customWidth="1"/>
    <col min="5" max="5" width="12.375" style="1633" customWidth="1"/>
    <col min="6" max="6" width="9" style="1633"/>
    <col min="7" max="7" width="49.875" style="1633" customWidth="1"/>
    <col min="8" max="8" width="8.375" style="1633" customWidth="1"/>
    <col min="9" max="9" width="7.125" style="1633" customWidth="1"/>
    <col min="10" max="10" width="12.25" style="1633" customWidth="1"/>
    <col min="11" max="16384" width="9" style="1633"/>
  </cols>
  <sheetData>
    <row r="1" spans="1:10" ht="16.5">
      <c r="A1" s="3087" t="s">
        <v>3450</v>
      </c>
      <c r="B1" s="3087"/>
      <c r="C1" s="3087"/>
      <c r="D1" s="3087"/>
      <c r="E1" s="3087"/>
      <c r="F1" s="3087"/>
      <c r="G1" s="3087"/>
      <c r="I1" s="2985" t="s">
        <v>3512</v>
      </c>
      <c r="J1" s="1633">
        <v>12717.05</v>
      </c>
    </row>
    <row r="2" spans="1:10" ht="16.5">
      <c r="A2" s="3087" t="s">
        <v>3451</v>
      </c>
      <c r="B2" s="3087"/>
      <c r="C2" s="3087"/>
      <c r="D2" s="3087"/>
      <c r="E2" s="2961" t="s">
        <v>3452</v>
      </c>
      <c r="F2" s="2961" t="s">
        <v>3453</v>
      </c>
      <c r="G2" s="2961" t="s">
        <v>3454</v>
      </c>
      <c r="I2" s="2986" t="s">
        <v>3513</v>
      </c>
      <c r="J2" s="1633">
        <v>172317.95</v>
      </c>
    </row>
    <row r="3" spans="1:10" ht="16.5">
      <c r="A3" s="3076" t="s">
        <v>3455</v>
      </c>
      <c r="B3" s="3076"/>
      <c r="C3" s="3076"/>
      <c r="D3" s="3076"/>
      <c r="E3" s="2961">
        <v>108450.06</v>
      </c>
      <c r="F3" s="2962" t="s">
        <v>3456</v>
      </c>
      <c r="G3" s="2963">
        <v>162.67427662861687</v>
      </c>
    </row>
    <row r="4" spans="1:10" ht="16.5">
      <c r="A4" s="3085" t="s">
        <v>3457</v>
      </c>
      <c r="B4" s="3076" t="s">
        <v>3458</v>
      </c>
      <c r="C4" s="3076"/>
      <c r="D4" s="3076"/>
      <c r="E4" s="2961">
        <v>44454.89</v>
      </c>
      <c r="F4" s="2962" t="s">
        <v>3456</v>
      </c>
      <c r="G4" s="2963">
        <v>66.682001589992055</v>
      </c>
    </row>
    <row r="5" spans="1:10" ht="16.5">
      <c r="A5" s="3085"/>
      <c r="B5" s="3076" t="s">
        <v>3459</v>
      </c>
      <c r="C5" s="3076"/>
      <c r="D5" s="3076"/>
      <c r="E5" s="2964">
        <v>63995.17</v>
      </c>
      <c r="F5" s="2962" t="s">
        <v>3456</v>
      </c>
      <c r="G5" s="2963">
        <v>95.992275038624811</v>
      </c>
    </row>
    <row r="6" spans="1:10" ht="16.5">
      <c r="A6" s="3076" t="s">
        <v>3460</v>
      </c>
      <c r="B6" s="3076"/>
      <c r="C6" s="3076"/>
      <c r="D6" s="3076"/>
      <c r="E6" s="2965">
        <v>256595.19</v>
      </c>
      <c r="F6" s="2962" t="s">
        <v>3456</v>
      </c>
      <c r="G6" s="2966"/>
    </row>
    <row r="7" spans="1:10" ht="16.5">
      <c r="A7" s="3085" t="s">
        <v>3457</v>
      </c>
      <c r="B7" s="3087" t="s">
        <v>3461</v>
      </c>
      <c r="C7" s="3087"/>
      <c r="D7" s="3087"/>
      <c r="E7" s="2967">
        <v>64127.450000000004</v>
      </c>
      <c r="F7" s="2962" t="s">
        <v>3456</v>
      </c>
      <c r="G7" s="2968"/>
    </row>
    <row r="8" spans="1:10" ht="16.5">
      <c r="A8" s="3085"/>
      <c r="B8" s="2961"/>
      <c r="C8" s="3088" t="s">
        <v>3462</v>
      </c>
      <c r="D8" s="3089"/>
      <c r="E8" s="2969">
        <v>55275.58</v>
      </c>
      <c r="F8" s="2970"/>
      <c r="G8" s="2971"/>
    </row>
    <row r="9" spans="1:10">
      <c r="A9" s="3085"/>
      <c r="B9" s="3090" t="s">
        <v>3457</v>
      </c>
      <c r="C9" s="3091" t="s">
        <v>3457</v>
      </c>
      <c r="D9" s="3093" t="s">
        <v>3463</v>
      </c>
      <c r="E9" s="3077">
        <v>467.89</v>
      </c>
      <c r="F9" s="3079" t="s">
        <v>3456</v>
      </c>
      <c r="G9" s="3081" t="s">
        <v>3464</v>
      </c>
    </row>
    <row r="10" spans="1:10">
      <c r="A10" s="3085"/>
      <c r="B10" s="3090"/>
      <c r="C10" s="3091"/>
      <c r="D10" s="3094"/>
      <c r="E10" s="3078"/>
      <c r="F10" s="3080"/>
      <c r="G10" s="3082"/>
    </row>
    <row r="11" spans="1:10" ht="33">
      <c r="A11" s="3085"/>
      <c r="B11" s="3090"/>
      <c r="C11" s="3091"/>
      <c r="D11" s="2966" t="s">
        <v>3465</v>
      </c>
      <c r="E11" s="2972">
        <v>281.08000000000004</v>
      </c>
      <c r="F11" s="2962" t="s">
        <v>3456</v>
      </c>
      <c r="G11" s="2973" t="s">
        <v>3466</v>
      </c>
    </row>
    <row r="12" spans="1:10" ht="16.5">
      <c r="A12" s="3085"/>
      <c r="B12" s="3090"/>
      <c r="C12" s="3091"/>
      <c r="D12" s="2966" t="s">
        <v>3467</v>
      </c>
      <c r="E12" s="2972">
        <v>81.34</v>
      </c>
      <c r="F12" s="2962" t="s">
        <v>3456</v>
      </c>
      <c r="G12" s="2968"/>
    </row>
    <row r="13" spans="1:10" ht="16.5">
      <c r="A13" s="3085"/>
      <c r="B13" s="3090"/>
      <c r="C13" s="3092"/>
      <c r="D13" s="2966" t="s">
        <v>3468</v>
      </c>
      <c r="E13" s="2974">
        <v>54445.270000000004</v>
      </c>
      <c r="F13" s="2962" t="s">
        <v>3456</v>
      </c>
      <c r="G13" s="2968"/>
    </row>
    <row r="14" spans="1:10" ht="16.5">
      <c r="A14" s="3085"/>
      <c r="B14" s="3090"/>
      <c r="C14" s="3083" t="s">
        <v>3469</v>
      </c>
      <c r="D14" s="3083"/>
      <c r="E14" s="2974">
        <v>8851.8700000000008</v>
      </c>
      <c r="F14" s="2962"/>
      <c r="G14" s="2968"/>
    </row>
    <row r="15" spans="1:10" ht="16.5">
      <c r="A15" s="3085"/>
      <c r="B15" s="3090"/>
      <c r="C15" s="3084" t="s">
        <v>3457</v>
      </c>
      <c r="D15" s="2966" t="s">
        <v>3470</v>
      </c>
      <c r="E15" s="2974">
        <v>5337.3600000000006</v>
      </c>
      <c r="F15" s="2962"/>
      <c r="G15" s="2968"/>
    </row>
    <row r="16" spans="1:10" ht="16.5">
      <c r="A16" s="3085"/>
      <c r="B16" s="3090"/>
      <c r="C16" s="3084"/>
      <c r="D16" s="2966" t="s">
        <v>3471</v>
      </c>
      <c r="E16" s="2974">
        <v>3514.51</v>
      </c>
      <c r="F16" s="2962" t="s">
        <v>3456</v>
      </c>
      <c r="G16" s="2968"/>
    </row>
    <row r="17" spans="1:7" ht="16.5">
      <c r="A17" s="3085"/>
      <c r="B17" s="3085" t="s">
        <v>3472</v>
      </c>
      <c r="C17" s="3085"/>
      <c r="D17" s="3085"/>
      <c r="E17" s="2964">
        <v>191895.44999999998</v>
      </c>
      <c r="F17" s="2962" t="s">
        <v>3456</v>
      </c>
      <c r="G17" s="2968"/>
    </row>
    <row r="18" spans="1:7" ht="16.5">
      <c r="A18" s="3085"/>
      <c r="B18" s="3085" t="s">
        <v>3457</v>
      </c>
      <c r="C18" s="3076" t="s">
        <v>3047</v>
      </c>
      <c r="D18" s="3076"/>
      <c r="E18" s="2961">
        <v>185035</v>
      </c>
      <c r="F18" s="2962" t="s">
        <v>3456</v>
      </c>
      <c r="G18" s="2968"/>
    </row>
    <row r="19" spans="1:7" ht="16.5">
      <c r="A19" s="3085"/>
      <c r="B19" s="3085"/>
      <c r="C19" s="3076" t="s">
        <v>3473</v>
      </c>
      <c r="D19" s="3076"/>
      <c r="E19" s="2961">
        <v>1453.71</v>
      </c>
      <c r="F19" s="2962" t="s">
        <v>3456</v>
      </c>
      <c r="G19" s="2968"/>
    </row>
    <row r="20" spans="1:7" ht="16.5">
      <c r="A20" s="3085"/>
      <c r="B20" s="3085"/>
      <c r="C20" s="3076" t="s">
        <v>3474</v>
      </c>
      <c r="D20" s="3076"/>
      <c r="E20" s="2975">
        <v>3149.3</v>
      </c>
      <c r="F20" s="2962"/>
      <c r="G20" s="2968"/>
    </row>
    <row r="21" spans="1:7" ht="16.5">
      <c r="A21" s="3085"/>
      <c r="B21" s="3085"/>
      <c r="C21" s="3076" t="s">
        <v>3475</v>
      </c>
      <c r="D21" s="3076"/>
      <c r="E21" s="2965">
        <v>2257.44</v>
      </c>
      <c r="F21" s="2962" t="s">
        <v>3456</v>
      </c>
      <c r="G21" s="2968"/>
    </row>
    <row r="22" spans="1:7" ht="16.5">
      <c r="A22" s="3085"/>
      <c r="B22" s="3085"/>
      <c r="C22" s="3086" t="s">
        <v>3457</v>
      </c>
      <c r="D22" s="2976" t="s">
        <v>3476</v>
      </c>
      <c r="E22" s="2977">
        <v>190.72</v>
      </c>
      <c r="F22" s="2962" t="s">
        <v>3456</v>
      </c>
      <c r="G22" s="2978" t="s">
        <v>3477</v>
      </c>
    </row>
    <row r="23" spans="1:7" ht="49.5">
      <c r="A23" s="3085"/>
      <c r="B23" s="3085"/>
      <c r="C23" s="3086"/>
      <c r="D23" s="2976" t="s">
        <v>3478</v>
      </c>
      <c r="E23" s="2977">
        <v>472.3</v>
      </c>
      <c r="F23" s="2962" t="s">
        <v>3456</v>
      </c>
      <c r="G23" s="2979" t="s">
        <v>3479</v>
      </c>
    </row>
    <row r="24" spans="1:7" ht="16.5">
      <c r="A24" s="3085"/>
      <c r="B24" s="3085"/>
      <c r="C24" s="3086"/>
      <c r="D24" s="2976" t="s">
        <v>3480</v>
      </c>
      <c r="E24" s="2977">
        <v>381.9</v>
      </c>
      <c r="F24" s="2962" t="s">
        <v>3481</v>
      </c>
      <c r="G24" s="2979" t="s">
        <v>3482</v>
      </c>
    </row>
    <row r="25" spans="1:7" ht="33">
      <c r="A25" s="3085"/>
      <c r="B25" s="3085"/>
      <c r="C25" s="3086"/>
      <c r="D25" s="2976" t="s">
        <v>3483</v>
      </c>
      <c r="E25" s="2977">
        <v>285.12</v>
      </c>
      <c r="F25" s="2962" t="s">
        <v>3481</v>
      </c>
      <c r="G25" s="2979" t="s">
        <v>3466</v>
      </c>
    </row>
    <row r="26" spans="1:7" ht="16.5">
      <c r="A26" s="3085"/>
      <c r="B26" s="3085"/>
      <c r="C26" s="3086"/>
      <c r="D26" s="2976" t="s">
        <v>3484</v>
      </c>
      <c r="E26" s="2977">
        <v>127.32</v>
      </c>
      <c r="F26" s="2962" t="s">
        <v>3481</v>
      </c>
      <c r="G26" s="2980" t="s">
        <v>3485</v>
      </c>
    </row>
    <row r="27" spans="1:7" ht="33">
      <c r="A27" s="3085"/>
      <c r="B27" s="3085"/>
      <c r="C27" s="3086"/>
      <c r="D27" s="2976" t="s">
        <v>3486</v>
      </c>
      <c r="E27" s="2981">
        <v>0</v>
      </c>
      <c r="F27" s="2962" t="s">
        <v>3481</v>
      </c>
      <c r="G27" s="2979" t="s">
        <v>3487</v>
      </c>
    </row>
    <row r="28" spans="1:7" ht="33">
      <c r="A28" s="3085"/>
      <c r="B28" s="3085"/>
      <c r="C28" s="3086"/>
      <c r="D28" s="2976" t="s">
        <v>3488</v>
      </c>
      <c r="E28" s="2981">
        <v>0</v>
      </c>
      <c r="F28" s="2962" t="s">
        <v>3481</v>
      </c>
      <c r="G28" s="2979" t="s">
        <v>3489</v>
      </c>
    </row>
    <row r="29" spans="1:7" ht="16.5">
      <c r="A29" s="3085"/>
      <c r="B29" s="3085"/>
      <c r="C29" s="3086"/>
      <c r="D29" s="2976" t="s">
        <v>3490</v>
      </c>
      <c r="E29" s="2981">
        <v>800.08</v>
      </c>
      <c r="F29" s="2962" t="s">
        <v>3481</v>
      </c>
      <c r="G29" s="2979" t="s">
        <v>3491</v>
      </c>
    </row>
    <row r="30" spans="1:7" ht="16.5">
      <c r="A30" s="3085"/>
      <c r="B30" s="3085" t="s">
        <v>3492</v>
      </c>
      <c r="C30" s="3085"/>
      <c r="D30" s="3085"/>
      <c r="E30" s="2981">
        <v>572.29</v>
      </c>
      <c r="F30" s="2962" t="s">
        <v>3481</v>
      </c>
      <c r="G30" s="2979"/>
    </row>
    <row r="31" spans="1:7" ht="16.5">
      <c r="A31" s="3085"/>
      <c r="B31" s="2982"/>
      <c r="C31" s="3075" t="s">
        <v>3493</v>
      </c>
      <c r="D31" s="3075"/>
      <c r="E31" s="2981">
        <v>572.29</v>
      </c>
      <c r="F31" s="2962" t="s">
        <v>3481</v>
      </c>
      <c r="G31" s="2979"/>
    </row>
    <row r="32" spans="1:7" ht="16.5">
      <c r="A32" s="3076" t="s">
        <v>3494</v>
      </c>
      <c r="B32" s="3076"/>
      <c r="C32" s="3076"/>
      <c r="D32" s="3076"/>
      <c r="E32" s="2964">
        <v>1605</v>
      </c>
      <c r="F32" s="2962" t="s">
        <v>3495</v>
      </c>
      <c r="G32" s="2968"/>
    </row>
    <row r="33" spans="1:7" ht="16.5">
      <c r="A33" s="3076" t="s">
        <v>3496</v>
      </c>
      <c r="B33" s="3076"/>
      <c r="C33" s="3076"/>
      <c r="D33" s="3076"/>
      <c r="E33" s="2983">
        <v>5618</v>
      </c>
      <c r="F33" s="2962" t="s">
        <v>3497</v>
      </c>
      <c r="G33" s="2968" t="s">
        <v>3498</v>
      </c>
    </row>
    <row r="34" spans="1:7" ht="16.5">
      <c r="A34" s="3076" t="s">
        <v>3063</v>
      </c>
      <c r="B34" s="3076"/>
      <c r="C34" s="3076"/>
      <c r="D34" s="3076"/>
      <c r="E34" s="2967">
        <v>2.9985927062933029</v>
      </c>
      <c r="F34" s="2962"/>
      <c r="G34" s="2968" t="s">
        <v>3499</v>
      </c>
    </row>
    <row r="35" spans="1:7" ht="16.5">
      <c r="A35" s="3076" t="s">
        <v>3500</v>
      </c>
      <c r="B35" s="3076"/>
      <c r="C35" s="3076"/>
      <c r="D35" s="3076"/>
      <c r="E35" s="2961">
        <v>13454.11</v>
      </c>
      <c r="F35" s="2962" t="s">
        <v>3481</v>
      </c>
      <c r="G35" s="2968"/>
    </row>
    <row r="36" spans="1:7" ht="16.5">
      <c r="A36" s="3076" t="s">
        <v>3065</v>
      </c>
      <c r="B36" s="3076"/>
      <c r="C36" s="3076"/>
      <c r="D36" s="3076"/>
      <c r="E36" s="2984">
        <v>0.2102363350234088</v>
      </c>
      <c r="F36" s="2962" t="s">
        <v>3501</v>
      </c>
      <c r="G36" s="2968" t="s">
        <v>3502</v>
      </c>
    </row>
    <row r="37" spans="1:7" ht="16.5">
      <c r="A37" s="3076" t="s">
        <v>3503</v>
      </c>
      <c r="B37" s="3076"/>
      <c r="C37" s="3076"/>
      <c r="D37" s="3076"/>
      <c r="E37" s="2961">
        <v>22678.679999999997</v>
      </c>
      <c r="F37" s="2962" t="s">
        <v>3481</v>
      </c>
      <c r="G37" s="2979"/>
    </row>
    <row r="38" spans="1:7" ht="16.5">
      <c r="A38" s="3076" t="s">
        <v>3504</v>
      </c>
      <c r="B38" s="3076"/>
      <c r="C38" s="3076"/>
      <c r="D38" s="3076"/>
      <c r="E38" s="2984">
        <v>0.35438111970012731</v>
      </c>
      <c r="F38" s="2962" t="s">
        <v>3501</v>
      </c>
      <c r="G38" s="2979" t="s">
        <v>3505</v>
      </c>
    </row>
    <row r="39" spans="1:7" ht="16.5">
      <c r="A39" s="3075" t="s">
        <v>3506</v>
      </c>
      <c r="B39" s="3075"/>
      <c r="C39" s="3075"/>
      <c r="D39" s="3075"/>
      <c r="E39" s="2962">
        <v>1624</v>
      </c>
      <c r="F39" s="2962" t="s">
        <v>3507</v>
      </c>
      <c r="G39" s="2979"/>
    </row>
    <row r="40" spans="1:7" ht="16.5">
      <c r="A40" s="3075" t="s">
        <v>3508</v>
      </c>
      <c r="B40" s="3075"/>
      <c r="C40" s="3075"/>
      <c r="D40" s="3075"/>
      <c r="E40" s="2962">
        <v>1925</v>
      </c>
      <c r="F40" s="2962" t="s">
        <v>3507</v>
      </c>
      <c r="G40" s="2979" t="s">
        <v>3509</v>
      </c>
    </row>
  </sheetData>
  <mergeCells count="36">
    <mergeCell ref="A1:G1"/>
    <mergeCell ref="A2:D2"/>
    <mergeCell ref="A3:D3"/>
    <mergeCell ref="A4:A5"/>
    <mergeCell ref="B4:D4"/>
    <mergeCell ref="B5:D5"/>
    <mergeCell ref="A6:D6"/>
    <mergeCell ref="A7:A31"/>
    <mergeCell ref="B7:D7"/>
    <mergeCell ref="C8:D8"/>
    <mergeCell ref="B9:B16"/>
    <mergeCell ref="C9:C13"/>
    <mergeCell ref="D9:D10"/>
    <mergeCell ref="B18:B29"/>
    <mergeCell ref="C18:D18"/>
    <mergeCell ref="C19:D19"/>
    <mergeCell ref="A32:D32"/>
    <mergeCell ref="E9:E10"/>
    <mergeCell ref="F9:F10"/>
    <mergeCell ref="G9:G10"/>
    <mergeCell ref="C14:D14"/>
    <mergeCell ref="C15:C16"/>
    <mergeCell ref="B17:D17"/>
    <mergeCell ref="C20:D20"/>
    <mergeCell ref="C21:D21"/>
    <mergeCell ref="C22:C29"/>
    <mergeCell ref="B30:D30"/>
    <mergeCell ref="C31:D31"/>
    <mergeCell ref="A39:D39"/>
    <mergeCell ref="A40:D40"/>
    <mergeCell ref="A33:D33"/>
    <mergeCell ref="A34:D34"/>
    <mergeCell ref="A35:D35"/>
    <mergeCell ref="A36:D36"/>
    <mergeCell ref="A37:D37"/>
    <mergeCell ref="A38:D3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1" sqref="F3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1927</v>
      </c>
      <c r="B1" s="1391"/>
      <c r="C1" s="1391"/>
      <c r="D1" s="1391"/>
      <c r="E1" s="1391"/>
      <c r="F1" s="1391"/>
      <c r="G1" s="1391"/>
      <c r="H1" s="1391"/>
      <c r="I1" s="1391"/>
      <c r="J1" s="1391"/>
      <c r="K1" s="1391"/>
      <c r="L1" s="1391"/>
      <c r="M1" s="1391"/>
      <c r="N1" s="1391"/>
      <c r="O1" s="1391"/>
      <c r="P1" s="1391"/>
    </row>
    <row r="2" spans="1:16" ht="15">
      <c r="A2" s="3104" t="s">
        <v>1928</v>
      </c>
      <c r="B2" s="3104"/>
      <c r="C2" s="3104"/>
      <c r="D2" s="966" t="s">
        <v>1904</v>
      </c>
      <c r="E2" s="2220" t="s">
        <v>1905</v>
      </c>
      <c r="F2" s="1391"/>
      <c r="G2" s="2221"/>
      <c r="H2" s="2222"/>
      <c r="I2" s="2223" t="s">
        <v>1929</v>
      </c>
      <c r="J2" s="1391"/>
      <c r="K2" s="1391"/>
      <c r="L2" s="1391"/>
      <c r="M2" s="1391"/>
      <c r="N2" s="1426"/>
      <c r="O2" s="1391"/>
      <c r="P2" s="1391"/>
    </row>
    <row r="3" spans="1:16" ht="15.75" thickBot="1">
      <c r="A3" s="3105" t="s">
        <v>1902</v>
      </c>
      <c r="B3" s="3105"/>
      <c r="C3" s="3105"/>
      <c r="D3" s="46">
        <f>'数据-基础表'!AY6</f>
        <v>63995.17</v>
      </c>
      <c r="E3" s="46">
        <f>'数据-基础表'!AZ5</f>
        <v>256595.18999999997</v>
      </c>
      <c r="F3" s="1391"/>
      <c r="G3" s="1398"/>
      <c r="H3" s="1246" t="s">
        <v>1903</v>
      </c>
      <c r="I3" s="55">
        <f>ROUND('数据-基础表'!B3/'数据-基础表'!A3,2)</f>
        <v>4.01</v>
      </c>
      <c r="J3" s="1391"/>
      <c r="K3" s="1391"/>
      <c r="L3" s="1391"/>
      <c r="M3" s="1391"/>
      <c r="N3" s="1426"/>
      <c r="O3" s="1391"/>
      <c r="P3" s="1391"/>
    </row>
    <row r="4" spans="1:16" ht="15">
      <c r="A4" s="3106"/>
      <c r="B4" s="3107"/>
      <c r="C4" s="3108"/>
      <c r="D4" s="2224" t="s">
        <v>1904</v>
      </c>
      <c r="E4" s="2225" t="s">
        <v>1905</v>
      </c>
      <c r="F4" s="1391"/>
      <c r="G4" s="2226" t="s">
        <v>1930</v>
      </c>
      <c r="H4" s="1246" t="s">
        <v>1910</v>
      </c>
      <c r="I4" s="55">
        <f>ROUND(SUMIF('数据-基础表'!I9:AS9,"地上",'数据-基础表'!I5:AS5)/'数据-基础表'!A3,2)</f>
        <v>3.01</v>
      </c>
      <c r="J4" s="1391"/>
      <c r="K4" s="1391"/>
      <c r="L4" s="1391"/>
      <c r="M4" s="1391"/>
      <c r="N4" s="1426"/>
      <c r="O4" s="1391"/>
      <c r="P4" s="1391"/>
    </row>
    <row r="5" spans="1:16">
      <c r="A5" s="47" t="s">
        <v>1906</v>
      </c>
      <c r="B5" s="3109" t="s">
        <v>1907</v>
      </c>
      <c r="C5" s="3109"/>
      <c r="D5" s="48">
        <f>ROUND($D$3*E5/$E$3,2)</f>
        <v>46147.97</v>
      </c>
      <c r="E5" s="49">
        <f>SUMIF('数据-基础表'!$11:$11,"住宅",'数据-基础表'!$5:$5)</f>
        <v>185035</v>
      </c>
      <c r="F5" s="1391"/>
      <c r="G5" s="1398"/>
      <c r="H5" s="1246" t="s">
        <v>1903</v>
      </c>
      <c r="I5" s="55">
        <f>ROUND(E31/D31,2)</f>
        <v>4.01</v>
      </c>
      <c r="J5" s="1391"/>
      <c r="K5" s="1391"/>
      <c r="L5" s="1391"/>
      <c r="M5" s="1391"/>
      <c r="N5" s="1391"/>
      <c r="O5" s="1391"/>
      <c r="P5" s="1391"/>
    </row>
    <row r="6" spans="1:16" ht="15" thickBot="1">
      <c r="A6" s="2227"/>
      <c r="B6" s="3109" t="s">
        <v>1908</v>
      </c>
      <c r="C6" s="3109"/>
      <c r="D6" s="48">
        <f>ROUND($D$3*E6/$E$3,2)</f>
        <v>17847.2</v>
      </c>
      <c r="E6" s="49">
        <f>E3-E5</f>
        <v>71560.189999999973</v>
      </c>
      <c r="F6" s="1391"/>
      <c r="G6" s="2228" t="s">
        <v>1909</v>
      </c>
      <c r="H6" s="1398" t="s">
        <v>1910</v>
      </c>
      <c r="I6" s="938">
        <f>ROUND(F31/D31,2)</f>
        <v>3.01</v>
      </c>
      <c r="J6" s="1391"/>
      <c r="K6" s="1391"/>
      <c r="L6" s="1391"/>
      <c r="M6" s="1391"/>
      <c r="N6" s="1391"/>
      <c r="O6" s="1391"/>
      <c r="P6" s="1391"/>
    </row>
    <row r="7" spans="1:16" ht="15">
      <c r="A7" s="3101"/>
      <c r="B7" s="3102"/>
      <c r="C7" s="3103"/>
      <c r="D7" s="2224" t="s">
        <v>1904</v>
      </c>
      <c r="E7" s="2229" t="s">
        <v>1911</v>
      </c>
      <c r="F7" s="1391"/>
      <c r="G7" s="2221" t="s">
        <v>1912</v>
      </c>
      <c r="H7" s="64"/>
      <c r="I7" s="420">
        <v>3</v>
      </c>
      <c r="J7" s="1391"/>
      <c r="K7" s="1391"/>
      <c r="L7" s="1391"/>
      <c r="M7" s="1391"/>
      <c r="N7" s="1391"/>
      <c r="O7" s="1391"/>
      <c r="P7" s="1391"/>
    </row>
    <row r="8" spans="1:16">
      <c r="A8" s="47" t="s">
        <v>1913</v>
      </c>
      <c r="B8" s="50" t="s">
        <v>1914</v>
      </c>
      <c r="C8" s="48" t="s">
        <v>1915</v>
      </c>
      <c r="D8" s="48">
        <f t="shared" ref="D8:D15" si="0">ROUND($D$3*E8/$E$3,2)</f>
        <v>46510.52</v>
      </c>
      <c r="E8" s="51">
        <f>SUMIF('数据-基础表'!BB10:BK10,"地上",'数据-基础表'!BB5:BK5)</f>
        <v>186488.71</v>
      </c>
      <c r="F8" s="1391"/>
      <c r="G8" s="2230"/>
      <c r="H8" s="2230"/>
      <c r="I8" s="1391"/>
      <c r="J8" s="1391"/>
      <c r="K8" s="1391"/>
      <c r="L8" s="1391"/>
      <c r="M8" s="1391"/>
      <c r="N8" s="1391"/>
      <c r="O8" s="1391"/>
      <c r="P8" s="1391"/>
    </row>
    <row r="9" spans="1:16">
      <c r="A9" s="2231"/>
      <c r="B9" s="2232"/>
      <c r="C9" s="48" t="s">
        <v>1916</v>
      </c>
      <c r="D9" s="48">
        <f t="shared" si="0"/>
        <v>0</v>
      </c>
      <c r="E9" s="52">
        <v>0</v>
      </c>
      <c r="F9" s="1391"/>
      <c r="G9" s="2230"/>
      <c r="H9" s="2230"/>
      <c r="I9" s="1391"/>
      <c r="J9" s="1391"/>
      <c r="K9" s="1391"/>
      <c r="L9" s="1391"/>
      <c r="M9" s="1391"/>
      <c r="N9" s="1391"/>
      <c r="O9" s="1391"/>
      <c r="P9" s="1391"/>
    </row>
    <row r="10" spans="1:16">
      <c r="A10" s="2231"/>
      <c r="B10" s="2232"/>
      <c r="C10" s="48" t="s">
        <v>1925</v>
      </c>
      <c r="D10" s="48">
        <f t="shared" si="0"/>
        <v>0</v>
      </c>
      <c r="E10" s="51">
        <f>SUMPRODUCT(('数据-基础表'!BB10:BK10="地下")*('数据-基础表'!BB11:BK11="商业")*('数据-基础表'!BB5:BK5))</f>
        <v>0</v>
      </c>
      <c r="F10" s="1391"/>
      <c r="G10" s="2230"/>
      <c r="H10" s="2230"/>
      <c r="I10" s="1391"/>
      <c r="J10" s="1391"/>
      <c r="K10" s="1391"/>
      <c r="L10" s="1391"/>
      <c r="M10" s="1391"/>
      <c r="N10" s="1391"/>
      <c r="O10" s="1391"/>
      <c r="P10" s="1391"/>
    </row>
    <row r="11" spans="1:16">
      <c r="A11" s="2231"/>
      <c r="B11" s="2232"/>
      <c r="C11" s="48" t="s">
        <v>1917</v>
      </c>
      <c r="D11" s="48">
        <f t="shared" si="0"/>
        <v>70.099999999999994</v>
      </c>
      <c r="E11" s="51">
        <f>SUMPRODUCT(('数据-基础表'!BB10:BK10="地下")*('数据-基础表'!BB11:BK11="办公")*('数据-基础表'!BB5:BK5))+'数据-基础表'!BP5</f>
        <v>281.08000000000004</v>
      </c>
      <c r="F11" s="1391"/>
      <c r="G11" s="2230"/>
      <c r="H11" s="2230"/>
      <c r="I11" s="1391"/>
      <c r="J11" s="1391"/>
      <c r="K11" s="1391"/>
      <c r="L11" s="1391"/>
      <c r="M11" s="1391"/>
      <c r="N11" s="1391"/>
      <c r="O11" s="1391"/>
      <c r="P11" s="1391"/>
    </row>
    <row r="12" spans="1:16">
      <c r="A12" s="2231"/>
      <c r="B12" s="2232"/>
      <c r="C12" s="48" t="s">
        <v>1918</v>
      </c>
      <c r="D12" s="48">
        <f t="shared" si="0"/>
        <v>0</v>
      </c>
      <c r="E12" s="51">
        <f>SUMPRODUCT(('数据-基础表'!BB10:BK10="地下")*('数据-基础表'!BB11:BK11="仓储")*('数据-基础表'!BB5:BK5))</f>
        <v>0</v>
      </c>
      <c r="F12" s="1391"/>
      <c r="G12" s="2230"/>
      <c r="H12" s="2230"/>
      <c r="I12" s="1391"/>
      <c r="J12" s="1391"/>
      <c r="K12" s="1391"/>
      <c r="L12" s="1391"/>
      <c r="M12" s="1391"/>
      <c r="N12" s="1391"/>
      <c r="O12" s="1391"/>
      <c r="P12" s="1391"/>
    </row>
    <row r="13" spans="1:16">
      <c r="A13" s="2231"/>
      <c r="B13" s="2232"/>
      <c r="C13" s="48" t="s">
        <v>1919</v>
      </c>
      <c r="D13" s="48">
        <f t="shared" si="0"/>
        <v>13578.72</v>
      </c>
      <c r="E13" s="51">
        <f>SUMPRODUCT(('数据-基础表'!BB10:BK10="地下")*('数据-基础表'!BB11:BK11="车库")*('数据-基础表'!BB5:BK5))</f>
        <v>54445.270000000004</v>
      </c>
      <c r="F13" s="1391"/>
      <c r="G13" s="2230"/>
      <c r="H13" s="2230"/>
      <c r="I13" s="1391"/>
      <c r="J13" s="1391"/>
      <c r="K13" s="1391"/>
      <c r="L13" s="1391"/>
      <c r="M13" s="1391"/>
      <c r="N13" s="1391"/>
      <c r="O13" s="1391"/>
      <c r="P13" s="1391"/>
    </row>
    <row r="14" spans="1:16">
      <c r="A14" s="2231"/>
      <c r="B14" s="2232"/>
      <c r="C14" s="48" t="s">
        <v>1931</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1926</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75" thickBot="1">
      <c r="A16" s="2227"/>
      <c r="B16" s="2232"/>
      <c r="C16" s="50" t="s">
        <v>1920</v>
      </c>
      <c r="D16" s="50">
        <f>SUM(D8:D15)</f>
        <v>60159.34</v>
      </c>
      <c r="E16" s="53">
        <f>SUM(E8:E15)</f>
        <v>241215.06</v>
      </c>
      <c r="F16" s="1391"/>
      <c r="G16" s="2230"/>
      <c r="H16" s="2233" t="s">
        <v>1932</v>
      </c>
      <c r="I16" s="2234"/>
      <c r="J16" s="1391"/>
      <c r="K16" s="3098" t="s">
        <v>1932</v>
      </c>
      <c r="L16" s="3099"/>
      <c r="M16" s="3099"/>
      <c r="N16" s="3099"/>
      <c r="O16" s="3099"/>
      <c r="P16" s="3100"/>
    </row>
    <row r="17" spans="1:19" ht="15">
      <c r="A17" s="2235" t="s">
        <v>1933</v>
      </c>
      <c r="B17" s="2236" t="s">
        <v>1934</v>
      </c>
      <c r="C17" s="2237" t="s">
        <v>1935</v>
      </c>
      <c r="D17" s="2238" t="s">
        <v>1923</v>
      </c>
      <c r="E17" s="2239" t="s">
        <v>1924</v>
      </c>
      <c r="F17" s="2240"/>
      <c r="G17" s="2241"/>
      <c r="H17" s="2242" t="s">
        <v>1936</v>
      </c>
      <c r="I17" s="2243" t="s">
        <v>1921</v>
      </c>
      <c r="J17" s="1391"/>
      <c r="K17" s="3095" t="s">
        <v>1937</v>
      </c>
      <c r="L17" s="3096"/>
      <c r="M17" s="3097"/>
      <c r="N17" s="3095" t="s">
        <v>1938</v>
      </c>
      <c r="O17" s="3096"/>
      <c r="P17" s="3097"/>
      <c r="R17" s="2221" t="s">
        <v>1939</v>
      </c>
      <c r="S17" s="64"/>
    </row>
    <row r="18" spans="1:19" ht="15">
      <c r="A18" s="2231"/>
      <c r="B18" s="2244"/>
      <c r="C18" s="2245"/>
      <c r="D18" s="2246"/>
      <c r="E18" s="2247" t="s">
        <v>1940</v>
      </c>
      <c r="F18" s="2248" t="s">
        <v>1941</v>
      </c>
      <c r="G18" s="2249" t="s">
        <v>1942</v>
      </c>
      <c r="H18" s="1261" t="s">
        <v>1943</v>
      </c>
      <c r="I18" s="2250" t="s">
        <v>1944</v>
      </c>
      <c r="J18" s="1391"/>
      <c r="K18" s="1261" t="s">
        <v>1945</v>
      </c>
      <c r="L18" s="2251" t="s">
        <v>1946</v>
      </c>
      <c r="M18" s="1045" t="s">
        <v>1947</v>
      </c>
      <c r="N18" s="1261" t="s">
        <v>1945</v>
      </c>
      <c r="O18" s="2251" t="s">
        <v>1946</v>
      </c>
      <c r="P18" s="1045" t="s">
        <v>1947</v>
      </c>
      <c r="R18" s="1246" t="s">
        <v>1948</v>
      </c>
      <c r="S18" s="1246" t="s">
        <v>1949</v>
      </c>
    </row>
    <row r="19" spans="1:19">
      <c r="A19" s="2252"/>
      <c r="B19" s="50" t="s">
        <v>1922</v>
      </c>
      <c r="C19" s="2942" t="s">
        <v>3515</v>
      </c>
      <c r="D19" s="48">
        <f>ROUND($D$3*E19/$E$3,2)</f>
        <v>42976.32</v>
      </c>
      <c r="E19" s="56">
        <f t="shared" ref="E19:E26" si="1">SUM(F19:G19)</f>
        <v>172317.95</v>
      </c>
      <c r="F19" s="57">
        <f>经济指标!J2</f>
        <v>172317.95</v>
      </c>
      <c r="G19" s="58"/>
      <c r="H19" s="723">
        <f>ROUND($D$3*I19/$E$3,2)</f>
        <v>3108.12</v>
      </c>
      <c r="I19" s="51">
        <f t="shared" ref="I19:I26" si="2">IF($I$17="自定义",P19,M19)</f>
        <v>12462.34</v>
      </c>
      <c r="J19" s="1391"/>
      <c r="K19" s="1390">
        <f t="shared" ref="K19:K26" si="3">ROUND(E$28*E19/E$27,2)</f>
        <v>7025.88</v>
      </c>
      <c r="L19" s="1246">
        <f t="shared" ref="L19:L26" si="4">ROUND(IF(COUNTIF(C19,"*住宅*")&gt;0,E$29*E19/E$32,0),2)</f>
        <v>5436.46</v>
      </c>
      <c r="M19" s="1402">
        <f>K19+L19</f>
        <v>12462.34</v>
      </c>
      <c r="N19" s="2253"/>
      <c r="O19" s="2254"/>
      <c r="P19" s="1402">
        <f>N19+O19</f>
        <v>0</v>
      </c>
      <c r="R19" s="1246">
        <f t="shared" ref="R19:S26" si="5">D19+H19</f>
        <v>46084.44</v>
      </c>
      <c r="S19" s="1247">
        <f t="shared" si="5"/>
        <v>184780.29</v>
      </c>
    </row>
    <row r="20" spans="1:19">
      <c r="A20" s="2255"/>
      <c r="B20" s="50" t="s">
        <v>1950</v>
      </c>
      <c r="C20" s="2942" t="s">
        <v>3050</v>
      </c>
      <c r="D20" s="48">
        <f t="shared" ref="D20:D26" si="6">ROUND($D$3*E20/$E$3,2)</f>
        <v>362.56</v>
      </c>
      <c r="E20" s="56">
        <f t="shared" si="1"/>
        <v>1453.71</v>
      </c>
      <c r="F20" s="57">
        <f>'数据-基础表'!K13</f>
        <v>1453.71</v>
      </c>
      <c r="G20" s="58"/>
      <c r="H20" s="723">
        <f t="shared" ref="H20:H26" si="7">ROUND($D$3*I20/$E$3,2)</f>
        <v>14.78</v>
      </c>
      <c r="I20" s="51">
        <f t="shared" si="2"/>
        <v>59.27</v>
      </c>
      <c r="J20" s="1391"/>
      <c r="K20" s="1390">
        <f t="shared" si="3"/>
        <v>59.27</v>
      </c>
      <c r="L20" s="1246">
        <f t="shared" si="4"/>
        <v>0</v>
      </c>
      <c r="M20" s="1402">
        <f t="shared" ref="M20:M26" si="8">K20+L20</f>
        <v>59.27</v>
      </c>
      <c r="N20" s="2253"/>
      <c r="O20" s="2254"/>
      <c r="P20" s="1402">
        <f t="shared" ref="P20:P26" si="9">N20+O20</f>
        <v>0</v>
      </c>
      <c r="R20" s="1246">
        <f t="shared" si="5"/>
        <v>377.34</v>
      </c>
      <c r="S20" s="1247">
        <f t="shared" si="5"/>
        <v>1512.98</v>
      </c>
    </row>
    <row r="21" spans="1:19">
      <c r="A21" s="2255"/>
      <c r="B21" s="50" t="s">
        <v>1950</v>
      </c>
      <c r="C21" s="2942" t="s">
        <v>3051</v>
      </c>
      <c r="D21" s="48">
        <f t="shared" si="6"/>
        <v>13578.72</v>
      </c>
      <c r="E21" s="56">
        <f t="shared" si="1"/>
        <v>54445.270000000004</v>
      </c>
      <c r="F21" s="57"/>
      <c r="G21" s="58">
        <f>'数据-基础表'!M13</f>
        <v>54445.270000000004</v>
      </c>
      <c r="H21" s="723">
        <f t="shared" si="7"/>
        <v>553.64</v>
      </c>
      <c r="I21" s="51">
        <f t="shared" si="2"/>
        <v>2219.88</v>
      </c>
      <c r="J21" s="1391"/>
      <c r="K21" s="1390">
        <f t="shared" si="3"/>
        <v>2219.88</v>
      </c>
      <c r="L21" s="1246">
        <f t="shared" si="4"/>
        <v>0</v>
      </c>
      <c r="M21" s="1402">
        <f t="shared" si="8"/>
        <v>2219.88</v>
      </c>
      <c r="N21" s="2253"/>
      <c r="O21" s="2254"/>
      <c r="P21" s="1402">
        <f t="shared" si="9"/>
        <v>0</v>
      </c>
      <c r="R21" s="1246">
        <f t="shared" si="5"/>
        <v>14132.359999999999</v>
      </c>
      <c r="S21" s="1247">
        <f t="shared" si="5"/>
        <v>56665.15</v>
      </c>
    </row>
    <row r="22" spans="1:19">
      <c r="A22" s="2255"/>
      <c r="B22" s="50" t="s">
        <v>1950</v>
      </c>
      <c r="C22" s="2987" t="s">
        <v>3517</v>
      </c>
      <c r="D22" s="48">
        <f t="shared" si="6"/>
        <v>3171.65</v>
      </c>
      <c r="E22" s="56">
        <f t="shared" si="1"/>
        <v>12717.05</v>
      </c>
      <c r="F22" s="61">
        <f>经济指标!J1</f>
        <v>12717.05</v>
      </c>
      <c r="G22" s="62"/>
      <c r="H22" s="723">
        <f t="shared" si="7"/>
        <v>229.38</v>
      </c>
      <c r="I22" s="51">
        <f t="shared" si="2"/>
        <v>919.72</v>
      </c>
      <c r="J22" s="1391"/>
      <c r="K22" s="1390">
        <f t="shared" si="3"/>
        <v>518.51</v>
      </c>
      <c r="L22" s="1246">
        <f t="shared" si="4"/>
        <v>401.21</v>
      </c>
      <c r="M22" s="1402">
        <f t="shared" si="8"/>
        <v>919.72</v>
      </c>
      <c r="N22" s="2253"/>
      <c r="O22" s="2254"/>
      <c r="P22" s="1402">
        <f t="shared" si="9"/>
        <v>0</v>
      </c>
      <c r="R22" s="1246">
        <f t="shared" si="5"/>
        <v>3401.03</v>
      </c>
      <c r="S22" s="1247">
        <f t="shared" si="5"/>
        <v>13636.769999999999</v>
      </c>
    </row>
    <row r="23" spans="1:19">
      <c r="A23" s="2255"/>
      <c r="B23" s="50" t="s">
        <v>1950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3"/>
      <c r="O23" s="2254"/>
      <c r="P23" s="1402">
        <f t="shared" si="9"/>
        <v>0</v>
      </c>
      <c r="R23" s="1246">
        <f t="shared" si="5"/>
        <v>0</v>
      </c>
      <c r="S23" s="1247">
        <f t="shared" si="5"/>
        <v>0</v>
      </c>
    </row>
    <row r="24" spans="1:19">
      <c r="A24" s="2255"/>
      <c r="B24" s="50" t="s">
        <v>1950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3"/>
      <c r="O24" s="2254"/>
      <c r="P24" s="1402">
        <f t="shared" si="9"/>
        <v>0</v>
      </c>
      <c r="R24" s="1246">
        <f t="shared" si="5"/>
        <v>0</v>
      </c>
      <c r="S24" s="1247">
        <f t="shared" si="5"/>
        <v>0</v>
      </c>
    </row>
    <row r="25" spans="1:19">
      <c r="A25" s="2255"/>
      <c r="B25" s="50" t="s">
        <v>1950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3"/>
      <c r="O25" s="2254"/>
      <c r="P25" s="1402">
        <f t="shared" si="9"/>
        <v>0</v>
      </c>
      <c r="R25" s="1246">
        <f t="shared" si="5"/>
        <v>0</v>
      </c>
      <c r="S25" s="1247">
        <f t="shared" si="5"/>
        <v>0</v>
      </c>
    </row>
    <row r="26" spans="1:19">
      <c r="A26" s="2255"/>
      <c r="B26" s="50" t="s">
        <v>1950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6"/>
      <c r="O26" s="2257"/>
      <c r="P26" s="67">
        <f t="shared" si="9"/>
        <v>0</v>
      </c>
      <c r="R26" s="1246">
        <f t="shared" si="5"/>
        <v>0</v>
      </c>
      <c r="S26" s="1247">
        <f t="shared" si="5"/>
        <v>0</v>
      </c>
    </row>
    <row r="27" spans="1:19" ht="15.75" thickBot="1">
      <c r="A27" s="2255"/>
      <c r="B27" s="48"/>
      <c r="C27" s="2258" t="s">
        <v>1951</v>
      </c>
      <c r="D27" s="1392">
        <f>SUM(D19:D26)</f>
        <v>60089.25</v>
      </c>
      <c r="E27" s="1393">
        <f>IF(SUM(E19:E26)='数据-基础表'!BA5,SUM(E19:E26),IF(F27="地上面积有误","面积有误","地下面积有误"))</f>
        <v>240933.97999999998</v>
      </c>
      <c r="F27" s="1392">
        <f>IF(SUM(F19:F26)=E8,SUM(F19:F26),"地上面积有误")</f>
        <v>186488.71</v>
      </c>
      <c r="G27" s="1394">
        <f>SUM(G19:G26)</f>
        <v>54445.270000000004</v>
      </c>
      <c r="H27" s="1395">
        <f>SUM(H19:H26)</f>
        <v>3905.92</v>
      </c>
      <c r="I27" s="1396">
        <f>SUM(I19:I26)</f>
        <v>15661.210000000001</v>
      </c>
      <c r="J27" s="1391"/>
      <c r="K27" s="1399">
        <f>SUM(K19:K26)</f>
        <v>9823.5400000000009</v>
      </c>
      <c r="L27" s="1400">
        <f>SUM(L19:L26)</f>
        <v>5837.67</v>
      </c>
      <c r="M27" s="1403">
        <f>SUM(M19:M26)</f>
        <v>15661.210000000001</v>
      </c>
      <c r="N27" s="1399">
        <f t="shared" ref="N27:O27" si="10">SUM(N19:N26)</f>
        <v>0</v>
      </c>
      <c r="O27" s="1400">
        <f t="shared" si="10"/>
        <v>0</v>
      </c>
      <c r="P27" s="1401">
        <f>SUM(P19:P26)</f>
        <v>0</v>
      </c>
      <c r="R27" s="1248">
        <f>IF(SUM(R19:R26)=$D$3,SUM(R19:R26),SUM(R19:R26)&amp;"误差"&amp;ROUND(SUM(R19:R26)-$D$3,2))</f>
        <v>63995.17</v>
      </c>
      <c r="S27" s="1246">
        <f>IF(SUM(S19:S26)=$E$3,SUM(S19:S26),SUM(S19:S26)&amp;"误差"&amp;ROUND(SUM(S19:S26)-E3,2))</f>
        <v>256595.19</v>
      </c>
    </row>
    <row r="28" spans="1:19">
      <c r="A28" s="2255"/>
      <c r="B28" s="50" t="s">
        <v>1952</v>
      </c>
      <c r="C28" s="1258" t="s">
        <v>1953</v>
      </c>
      <c r="D28" s="48">
        <f>ROUND($D$3*E28/$E$3,2)</f>
        <v>2450</v>
      </c>
      <c r="E28" s="56">
        <f>SUM(F28:G28)</f>
        <v>9823.5400000000009</v>
      </c>
      <c r="F28" s="64">
        <f>'数据-基础表'!BQ5+'数据-基础表'!BS5</f>
        <v>890.32999999999993</v>
      </c>
      <c r="G28" s="65">
        <f>'数据-基础表'!BR5+'数据-基础表'!BT5</f>
        <v>8933.2100000000009</v>
      </c>
      <c r="H28" s="1391"/>
      <c r="I28" s="1391"/>
      <c r="J28" s="1391"/>
      <c r="K28" s="1391"/>
      <c r="L28" s="1391"/>
      <c r="M28" s="1391"/>
      <c r="N28" s="1391"/>
      <c r="O28" s="1391"/>
      <c r="P28" s="1391"/>
    </row>
    <row r="29" spans="1:19">
      <c r="A29" s="2255"/>
      <c r="B29" s="50" t="s">
        <v>1952</v>
      </c>
      <c r="C29" s="2259" t="s">
        <v>1954</v>
      </c>
      <c r="D29" s="48">
        <f>ROUND($D$3*E29/$E$3,2)</f>
        <v>1455.92</v>
      </c>
      <c r="E29" s="56">
        <f>SUM(F29:G29)</f>
        <v>5837.670000000001</v>
      </c>
      <c r="F29" s="66">
        <f>'数据-基础表'!BM5+'数据-基础表'!BO5</f>
        <v>5088.7000000000007</v>
      </c>
      <c r="G29" s="67">
        <f>'数据-基础表'!BN5+'数据-基础表'!BP5</f>
        <v>748.97</v>
      </c>
      <c r="H29" s="1391"/>
      <c r="I29" s="1391"/>
      <c r="J29" s="1391"/>
      <c r="K29" s="1391"/>
      <c r="L29" s="1391"/>
      <c r="M29" s="1391"/>
      <c r="N29" s="1391"/>
      <c r="O29" s="1391"/>
      <c r="P29" s="1391"/>
    </row>
    <row r="30" spans="1:19" ht="15">
      <c r="A30" s="2255"/>
      <c r="B30" s="50"/>
      <c r="C30" s="2260" t="s">
        <v>1951</v>
      </c>
      <c r="D30" s="1392">
        <f>SUM(D28:D29)</f>
        <v>3905.92</v>
      </c>
      <c r="E30" s="1392">
        <f>SUM(E28:E29)</f>
        <v>15661.210000000003</v>
      </c>
      <c r="F30" s="1392">
        <f>SUM(F28:F29)</f>
        <v>5979.0300000000007</v>
      </c>
      <c r="G30" s="1394">
        <f>SUM(G28:G29)</f>
        <v>9682.18</v>
      </c>
      <c r="H30" s="1391"/>
      <c r="I30" s="1391"/>
      <c r="J30" s="1391"/>
      <c r="K30" s="1391"/>
      <c r="L30" s="1391"/>
      <c r="M30" s="1391"/>
      <c r="N30" s="1391"/>
      <c r="O30" s="1391"/>
      <c r="P30" s="1391"/>
    </row>
    <row r="31" spans="1:19" ht="15.75" thickBot="1">
      <c r="A31" s="2261"/>
      <c r="B31" s="2262"/>
      <c r="C31" s="1006" t="s">
        <v>1955</v>
      </c>
      <c r="D31" s="728">
        <f>D27+D30</f>
        <v>63995.17</v>
      </c>
      <c r="E31" s="728">
        <f>E27+E30</f>
        <v>256595.18999999997</v>
      </c>
      <c r="F31" s="729">
        <f>F27+F30</f>
        <v>192467.74</v>
      </c>
      <c r="G31" s="730">
        <f>G27+G30</f>
        <v>64127.450000000004</v>
      </c>
      <c r="H31" s="1391"/>
      <c r="I31" s="1391"/>
      <c r="J31" s="1391"/>
      <c r="K31" s="1391"/>
      <c r="L31" s="1391"/>
      <c r="M31" s="1391"/>
      <c r="N31" s="1391"/>
      <c r="O31" s="1391"/>
      <c r="P31" s="1391"/>
    </row>
    <row r="32" spans="1:19">
      <c r="A32" s="2226"/>
      <c r="B32" s="2226" t="s">
        <v>1956</v>
      </c>
      <c r="C32" s="2226"/>
      <c r="D32" s="2226"/>
      <c r="E32" s="1273">
        <f>SUMIF(C19:C26,"*住宅*",E19:E26)</f>
        <v>185035</v>
      </c>
      <c r="F32" s="2226"/>
      <c r="G32" s="2226"/>
      <c r="H32" s="1391"/>
      <c r="I32" s="1391"/>
      <c r="J32" s="1391"/>
      <c r="K32" s="1391"/>
      <c r="L32" s="1391"/>
      <c r="M32" s="1391"/>
      <c r="N32" s="1391"/>
      <c r="O32" s="1391"/>
      <c r="P32" s="1391"/>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1957</v>
      </c>
      <c r="B1" s="731"/>
      <c r="C1" s="1579"/>
      <c r="D1" s="2265"/>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8" t="s">
        <v>1958</v>
      </c>
      <c r="B2" s="1265">
        <f>项目基本情况!D3</f>
        <v>43621</v>
      </c>
      <c r="C2" s="2269"/>
      <c r="D2" s="2270"/>
      <c r="E2" s="2269"/>
      <c r="F2" s="2269"/>
      <c r="G2" s="2269"/>
      <c r="H2" s="2269"/>
      <c r="I2" s="2269"/>
      <c r="J2" s="2269"/>
      <c r="K2" s="1426"/>
      <c r="L2" s="142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9" customFormat="1" ht="15" thickBot="1">
      <c r="A3" s="2027"/>
      <c r="B3" s="2272"/>
      <c r="C3" s="2269"/>
      <c r="D3" s="2270"/>
      <c r="E3" s="2269"/>
      <c r="F3" s="2269"/>
      <c r="G3" s="2269"/>
      <c r="H3" s="2269"/>
      <c r="I3" s="2269"/>
      <c r="J3" s="2269"/>
      <c r="K3" s="1426"/>
      <c r="L3" s="142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9" customFormat="1" ht="15" thickBot="1">
      <c r="A4" s="68" t="s">
        <v>1959</v>
      </c>
      <c r="B4" s="2273"/>
      <c r="C4" s="2274"/>
      <c r="D4" s="2275"/>
      <c r="E4" s="2274" t="s">
        <v>1960</v>
      </c>
      <c r="F4" s="2274"/>
      <c r="G4" s="2274"/>
      <c r="H4" s="2274"/>
      <c r="I4" s="2274"/>
      <c r="J4" s="2276"/>
      <c r="K4" s="2277"/>
      <c r="L4" s="2278"/>
      <c r="M4" s="2274"/>
      <c r="N4" s="2274" t="s">
        <v>1961</v>
      </c>
      <c r="O4" s="2274"/>
      <c r="P4" s="2274"/>
      <c r="Q4" s="2274"/>
      <c r="R4" s="2274"/>
      <c r="S4" s="2276"/>
      <c r="T4" s="2279" t="str">
        <f>'数据-汇总表'!I17</f>
        <v>按面积比例</v>
      </c>
      <c r="U4" s="2273" t="s">
        <v>1962</v>
      </c>
      <c r="V4" s="2274"/>
      <c r="W4" s="2274"/>
      <c r="X4" s="2274"/>
      <c r="Y4" s="2276"/>
      <c r="Z4" s="2237" t="s">
        <v>1963</v>
      </c>
      <c r="AA4" s="2237"/>
      <c r="AB4" s="2237"/>
      <c r="AC4" s="2237"/>
      <c r="AD4" s="2237"/>
      <c r="AE4" s="2235" t="s">
        <v>1964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30" customFormat="1" ht="42">
      <c r="A5" s="2281" t="s">
        <v>1965</v>
      </c>
      <c r="B5" s="2282" t="s">
        <v>1966</v>
      </c>
      <c r="C5" s="2283" t="s">
        <v>1967</v>
      </c>
      <c r="D5" s="2284" t="s">
        <v>1968</v>
      </c>
      <c r="E5" s="1267" t="s">
        <v>1969</v>
      </c>
      <c r="F5" s="2285" t="s">
        <v>1970</v>
      </c>
      <c r="G5" s="1267" t="s">
        <v>1971</v>
      </c>
      <c r="H5" s="1267" t="s">
        <v>1972</v>
      </c>
      <c r="I5" s="1267" t="s">
        <v>1973</v>
      </c>
      <c r="J5" s="2286" t="s">
        <v>1974</v>
      </c>
      <c r="K5" s="2287" t="s">
        <v>1975</v>
      </c>
      <c r="L5" s="2288" t="s">
        <v>1976</v>
      </c>
      <c r="M5" s="2289" t="s">
        <v>1977</v>
      </c>
      <c r="N5" s="2290" t="s">
        <v>1978</v>
      </c>
      <c r="O5" s="2288" t="s">
        <v>1979</v>
      </c>
      <c r="P5" s="2291" t="s">
        <v>1980</v>
      </c>
      <c r="Q5" s="69" t="s">
        <v>1981</v>
      </c>
      <c r="R5" s="2292" t="s">
        <v>1982</v>
      </c>
      <c r="S5" s="2293" t="s">
        <v>1983</v>
      </c>
      <c r="T5" s="2294" t="s">
        <v>1984</v>
      </c>
      <c r="U5" s="1266" t="s">
        <v>1985</v>
      </c>
      <c r="V5" s="1267" t="s">
        <v>1986</v>
      </c>
      <c r="W5" s="1267" t="s">
        <v>1987</v>
      </c>
      <c r="X5" s="71"/>
      <c r="Y5" s="70" t="s">
        <v>1988</v>
      </c>
      <c r="Z5" s="2295" t="s">
        <v>1985</v>
      </c>
      <c r="AA5" s="1267" t="s">
        <v>1986</v>
      </c>
      <c r="AB5" s="1267" t="s">
        <v>1987</v>
      </c>
      <c r="AC5" s="71"/>
      <c r="AD5" s="71" t="s">
        <v>1988</v>
      </c>
      <c r="AE5" s="1266" t="s">
        <v>1989</v>
      </c>
      <c r="AF5" s="1267" t="s">
        <v>1990</v>
      </c>
      <c r="AG5" s="70" t="s">
        <v>1991</v>
      </c>
      <c r="AH5" s="1266" t="s">
        <v>1992</v>
      </c>
      <c r="AI5" s="2295" t="s">
        <v>1993</v>
      </c>
      <c r="AJ5" s="2295" t="s">
        <v>1994</v>
      </c>
      <c r="AK5" s="1267" t="s">
        <v>1995</v>
      </c>
      <c r="AL5" s="1267" t="s">
        <v>1996</v>
      </c>
      <c r="AM5" s="70" t="s">
        <v>1997</v>
      </c>
      <c r="AN5" s="2296" t="s">
        <v>1998</v>
      </c>
      <c r="AO5" s="2067" t="s">
        <v>1999</v>
      </c>
      <c r="AP5" s="1248" t="s">
        <v>2000</v>
      </c>
      <c r="AQ5" s="2297" t="s">
        <v>2001</v>
      </c>
      <c r="AR5" s="2297" t="s">
        <v>2002</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4.25">
      <c r="A6" s="2298" t="str">
        <f>'数据-汇总表'!C19</f>
        <v>住宅毛坯</v>
      </c>
      <c r="B6" s="2299" t="str">
        <f>IF(A6=0,"","经营性")</f>
        <v>经营性</v>
      </c>
      <c r="C6" s="2300" t="s">
        <v>3047</v>
      </c>
      <c r="D6" s="1050">
        <f>SUMIF(项目基本情况!D$12:I$12,C6,项目基本情况!D$14:I$14)</f>
        <v>70</v>
      </c>
      <c r="E6" s="1047">
        <f>IF(B6="","",SUMIF(项目基本情况!D$12:I$12,C6,项目基本情况!D$13:I$13))</f>
        <v>68882</v>
      </c>
      <c r="F6" s="72">
        <f>SUMIF(项目基本情况!D$12:I$12,C6,项目基本情况!D$15:I$15)</f>
        <v>69.2</v>
      </c>
      <c r="G6" s="73">
        <f>IF(ISERROR(ROUND(POWER(1+H6,D6-F6)*(POWER(1+H6,F6)-1)/(POWER(1+H6,D6)-1),3)),0,ROUND(POWER(1+H6,D6-F6)*(POWER(1+H6,F6)-1)/(POWER(1+H6,D6)-1),3))</f>
        <v>0.999</v>
      </c>
      <c r="H6" s="801">
        <v>0.05</v>
      </c>
      <c r="I6" s="801">
        <v>5.5E-2</v>
      </c>
      <c r="J6" s="74">
        <v>8.5000000000000006E-2</v>
      </c>
      <c r="K6" s="1250">
        <f>SUMIF('数据-汇总表'!C$19:C$33,A6,'数据-汇总表'!E$19:E$33)</f>
        <v>172317.95</v>
      </c>
      <c r="L6" s="802">
        <v>2500</v>
      </c>
      <c r="M6" s="75">
        <f t="shared" ref="M6:M14" si="0">ROUND(K6*L6/10000,0)</f>
        <v>43079</v>
      </c>
      <c r="N6" s="800">
        <v>0.15</v>
      </c>
      <c r="O6" s="75">
        <f>IF($N$5="成新度","——",ROUND(M6*N6,0))</f>
        <v>6462</v>
      </c>
      <c r="P6" s="76">
        <f>IF($N$5="成新度","——",M6-O6)</f>
        <v>36617</v>
      </c>
      <c r="Q6" s="803">
        <v>0.1</v>
      </c>
      <c r="R6" s="77">
        <f ca="1">SUMIF('数据-汇总表'!C$19:C$33,A6,'数据-汇总表'!R$19:R$27)</f>
        <v>46084.44</v>
      </c>
      <c r="S6" s="54">
        <f>IF('数据-汇总表'!$I$17="按面积比例",SUMIF('数据-汇总表'!C$19:C$33,A6,'数据-汇总表'!K$19:K$33),SUMIF('数据-汇总表'!C$19:C$33,A6,'数据-汇总表'!N$19:N$33))</f>
        <v>7025.88</v>
      </c>
      <c r="T6" s="1442">
        <f>ROUND($L$14*S6/10000,0)</f>
        <v>1405</v>
      </c>
      <c r="U6" s="78"/>
      <c r="V6" s="79"/>
      <c r="W6" s="79"/>
      <c r="X6" s="1260"/>
      <c r="Y6" s="80"/>
      <c r="Z6" s="81"/>
      <c r="AA6" s="74"/>
      <c r="AB6" s="74"/>
      <c r="AC6" s="1260"/>
      <c r="AD6" s="82"/>
      <c r="AE6" s="1261">
        <f ca="1">IF(AN6="",0,SUMIF(INDIRECT("'"&amp;AN6&amp;"'"&amp;"!E:E"),$AE$5,INDIRECT("'"&amp;AN6&amp;"'"&amp;"!F:F")))</f>
        <v>0</v>
      </c>
      <c r="AF6" s="1802"/>
      <c r="AG6" s="147">
        <f>IF(AF6="",0,AE6-AF6)</f>
        <v>0</v>
      </c>
      <c r="AH6" s="83"/>
      <c r="AI6" s="85"/>
      <c r="AJ6" s="86"/>
      <c r="AK6" s="87"/>
      <c r="AL6" s="88"/>
      <c r="AM6" s="89"/>
      <c r="AN6" s="2301"/>
      <c r="AO6" s="55" t="e">
        <f ca="1">SUMIF(INDIRECT("'"&amp;AN6&amp;"'"&amp;"!A:A"),"总价",INDIRECT("'"&amp;AN6&amp;"'"&amp;"!B:B"))</f>
        <v>#REF!</v>
      </c>
      <c r="AP6" s="2302">
        <f>IF(C6="住宅",K6*L6,0)</f>
        <v>430794875</v>
      </c>
      <c r="AQ6" s="55">
        <f>ROUND($L$14*$N$14*S6/10000,0)</f>
        <v>211</v>
      </c>
      <c r="AR6" s="55">
        <f>ROUND($L$14*(1-$N$14)*S6/10000,0)</f>
        <v>1194</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9" customFormat="1" ht="14.25">
      <c r="A7" s="2298" t="str">
        <f>'数据-汇总表'!C20</f>
        <v>商业</v>
      </c>
      <c r="B7" s="2299" t="str">
        <f t="shared" ref="B7:B13" si="1">IF(A7=0,"","经营性")</f>
        <v>经营性</v>
      </c>
      <c r="C7" s="2300" t="s">
        <v>1373</v>
      </c>
      <c r="D7" s="1050">
        <f>SUMIF(项目基本情况!D$12:I$12,C7,项目基本情况!D$14:I$14)</f>
        <v>40</v>
      </c>
      <c r="E7" s="1047">
        <f>IF(B7="","",SUMIF(项目基本情况!D$12:I$12,C7,项目基本情况!D$13:I$13))</f>
        <v>57924</v>
      </c>
      <c r="F7" s="72">
        <f>SUMIF(项目基本情况!D$12:I$12,C7,项目基本情况!D$15:I$15)</f>
        <v>39.18</v>
      </c>
      <c r="G7" s="73">
        <f t="shared" ref="G7:G11" si="2">IF(ISERROR(ROUND(POWER(1+H7,D7-F7)*(POWER(1+H7,F7)-1)/(POWER(1+H7,D7)-1),3)),0,ROUND(POWER(1+H7,D7-F7)*(POWER(1+H7,F7)-1)/(POWER(1+H7,D7)-1),3))</f>
        <v>0.99399999999999999</v>
      </c>
      <c r="H7" s="801">
        <v>5.5E-2</v>
      </c>
      <c r="I7" s="801">
        <v>0.06</v>
      </c>
      <c r="J7" s="74">
        <v>8.5000000000000006E-2</v>
      </c>
      <c r="K7" s="1250">
        <f>SUMIF('数据-汇总表'!C$19:C$33,A7,'数据-汇总表'!E$19:E$33)</f>
        <v>1453.71</v>
      </c>
      <c r="L7" s="2989">
        <v>2000</v>
      </c>
      <c r="M7" s="75">
        <f t="shared" si="0"/>
        <v>291</v>
      </c>
      <c r="N7" s="800">
        <f>N6</f>
        <v>0.15</v>
      </c>
      <c r="O7" s="75">
        <f t="shared" ref="O7:O14" si="3">IF($N$5="成新度","——",ROUND(M7*N7,0))</f>
        <v>44</v>
      </c>
      <c r="P7" s="76">
        <f t="shared" ref="P7:P14" si="4">IF($N$5="成新度","——",M7-O7)</f>
        <v>247</v>
      </c>
      <c r="Q7" s="803">
        <v>0.15</v>
      </c>
      <c r="R7" s="77">
        <f ca="1">SUMIF('数据-汇总表'!C$19:C$33,A7,'数据-汇总表'!R$19:R$27)</f>
        <v>377.34</v>
      </c>
      <c r="S7" s="54">
        <f>IF('数据-汇总表'!$I$17="按面积比例",SUMIF('数据-汇总表'!C$19:C$33,A7,'数据-汇总表'!K$19:K$33),SUMIF('数据-汇总表'!C$19:C$33,A7,'数据-汇总表'!N$19:N$33))</f>
        <v>59.27</v>
      </c>
      <c r="T7" s="1442">
        <f t="shared" ref="T7:T13" si="5">ROUND($L$14*S7/10000,0)</f>
        <v>12</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2</v>
      </c>
      <c r="AR7" s="55">
        <f t="shared" ref="AR7:AR13" si="11">ROUND($L$14*(1-$N$14)*S7/10000,0)</f>
        <v>10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9" customFormat="1" ht="14.25">
      <c r="A8" s="2298" t="str">
        <f>'数据-汇总表'!C21</f>
        <v>车库</v>
      </c>
      <c r="B8" s="2299" t="str">
        <f t="shared" si="1"/>
        <v>经营性</v>
      </c>
      <c r="C8" s="2300" t="s">
        <v>3049</v>
      </c>
      <c r="D8" s="1050">
        <f>SUMIF(项目基本情况!D$12:I$12,C8,项目基本情况!D$14:I$14)</f>
        <v>50</v>
      </c>
      <c r="E8" s="1047">
        <f>IF(B8="","",SUMIF(项目基本情况!D$12:I$12,C8,项目基本情况!D$13:I$13))</f>
        <v>61577</v>
      </c>
      <c r="F8" s="72">
        <f>SUMIF(项目基本情况!D$12:I$12,C8,项目基本情况!D$15:I$15)</f>
        <v>49.19</v>
      </c>
      <c r="G8" s="73">
        <f t="shared" si="2"/>
        <v>0.995</v>
      </c>
      <c r="H8" s="801">
        <v>0.04</v>
      </c>
      <c r="I8" s="801">
        <v>4.4999999999999998E-2</v>
      </c>
      <c r="J8" s="74">
        <v>8.5000000000000006E-2</v>
      </c>
      <c r="K8" s="1250">
        <f>SUMIF('数据-汇总表'!C$19:C$33,A8,'数据-汇总表'!E$19:E$33)</f>
        <v>54445.270000000004</v>
      </c>
      <c r="L8" s="802">
        <v>2000</v>
      </c>
      <c r="M8" s="75">
        <f>ROUND(K8*L8/10000,0)</f>
        <v>10889</v>
      </c>
      <c r="N8" s="800">
        <f>N6</f>
        <v>0.15</v>
      </c>
      <c r="O8" s="75">
        <f t="shared" si="3"/>
        <v>1633</v>
      </c>
      <c r="P8" s="76">
        <f t="shared" si="4"/>
        <v>9256</v>
      </c>
      <c r="Q8" s="2990">
        <v>0.02</v>
      </c>
      <c r="R8" s="77">
        <f ca="1">SUMIF('数据-汇总表'!C$19:C$33,A8,'数据-汇总表'!R$19:R$27)</f>
        <v>14132.359999999999</v>
      </c>
      <c r="S8" s="54">
        <f>IF('数据-汇总表'!$I$17="按面积比例",SUMIF('数据-汇总表'!C$19:C$33,A8,'数据-汇总表'!K$19:K$33),SUMIF('数据-汇总表'!C$19:C$33,A8,'数据-汇总表'!N$19:N$33))</f>
        <v>2219.88</v>
      </c>
      <c r="T8" s="1442">
        <f t="shared" si="5"/>
        <v>444</v>
      </c>
      <c r="U8" s="804">
        <v>0.6</v>
      </c>
      <c r="V8" s="805">
        <v>1.4999999999999999E-2</v>
      </c>
      <c r="W8" s="805">
        <v>0.1</v>
      </c>
      <c r="X8" s="1260"/>
      <c r="Y8" s="806">
        <v>1</v>
      </c>
      <c r="Z8" s="81"/>
      <c r="AA8" s="74"/>
      <c r="AB8" s="74"/>
      <c r="AC8" s="1260"/>
      <c r="AD8" s="82"/>
      <c r="AE8" s="1261">
        <f t="shared" ca="1" si="6"/>
        <v>47.489999999999995</v>
      </c>
      <c r="AF8" s="1802"/>
      <c r="AG8" s="147">
        <f t="shared" si="7"/>
        <v>0</v>
      </c>
      <c r="AH8" s="807"/>
      <c r="AI8" s="85">
        <v>365</v>
      </c>
      <c r="AJ8" s="86"/>
      <c r="AK8" s="808">
        <v>1.4999999999999999E-2</v>
      </c>
      <c r="AL8" s="809">
        <v>1.5E-3</v>
      </c>
      <c r="AM8" s="810">
        <v>0.01</v>
      </c>
      <c r="AN8" s="2301" t="s">
        <v>3235</v>
      </c>
      <c r="AO8" s="55">
        <f t="shared" ca="1" si="8"/>
        <v>15360</v>
      </c>
      <c r="AP8" s="2302">
        <f t="shared" si="9"/>
        <v>0</v>
      </c>
      <c r="AQ8" s="55">
        <f t="shared" si="10"/>
        <v>67</v>
      </c>
      <c r="AR8" s="55">
        <f t="shared" si="11"/>
        <v>377</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9" customFormat="1" ht="14.25">
      <c r="A9" s="2298" t="str">
        <f>'数据-汇总表'!C22</f>
        <v>住宅精装</v>
      </c>
      <c r="B9" s="2299" t="str">
        <f t="shared" si="1"/>
        <v>经营性</v>
      </c>
      <c r="C9" s="2300" t="s">
        <v>3047</v>
      </c>
      <c r="D9" s="1050">
        <f>SUMIF(项目基本情况!D$12:I$12,C9,项目基本情况!D$14:I$14)</f>
        <v>70</v>
      </c>
      <c r="E9" s="1047">
        <f>IF(B9="","",SUMIF(项目基本情况!D$12:I$12,C9,项目基本情况!D$13:I$13))</f>
        <v>68882</v>
      </c>
      <c r="F9" s="72">
        <f>SUMIF(项目基本情况!D$12:I$12,C9,项目基本情况!D$15:I$15)</f>
        <v>69.2</v>
      </c>
      <c r="G9" s="73">
        <f t="shared" si="2"/>
        <v>0.999</v>
      </c>
      <c r="H9" s="74">
        <v>0.05</v>
      </c>
      <c r="I9" s="74">
        <v>5.5E-2</v>
      </c>
      <c r="J9" s="74">
        <v>8.5000000000000006E-2</v>
      </c>
      <c r="K9" s="1250">
        <f>SUMIF('数据-汇总表'!C$19:C$33,A9,'数据-汇总表'!E$19:E$33)</f>
        <v>12717.05</v>
      </c>
      <c r="L9" s="802">
        <v>2800</v>
      </c>
      <c r="M9" s="75">
        <f t="shared" si="0"/>
        <v>3561</v>
      </c>
      <c r="N9" s="800">
        <v>0.15</v>
      </c>
      <c r="O9" s="75">
        <f t="shared" si="3"/>
        <v>534</v>
      </c>
      <c r="P9" s="76">
        <f t="shared" si="4"/>
        <v>3027</v>
      </c>
      <c r="Q9" s="90">
        <v>0.1</v>
      </c>
      <c r="R9" s="77">
        <f ca="1">SUMIF('数据-汇总表'!C$19:C$33,A9,'数据-汇总表'!R$19:R$27)</f>
        <v>3401.03</v>
      </c>
      <c r="S9" s="54">
        <f>IF('数据-汇总表'!$I$17="按面积比例",SUMIF('数据-汇总表'!C$19:C$33,A9,'数据-汇总表'!K$19:K$33),SUMIF('数据-汇总表'!C$19:C$33,A9,'数据-汇总表'!N$19:N$33))</f>
        <v>518.51</v>
      </c>
      <c r="T9" s="1442">
        <f t="shared" si="5"/>
        <v>104</v>
      </c>
      <c r="U9" s="78"/>
      <c r="V9" s="79"/>
      <c r="W9" s="79"/>
      <c r="X9" s="1260"/>
      <c r="Y9" s="80"/>
      <c r="Z9" s="81"/>
      <c r="AA9" s="74"/>
      <c r="AB9" s="74"/>
      <c r="AC9" s="1260"/>
      <c r="AD9" s="82"/>
      <c r="AE9" s="1261">
        <f t="shared" ca="1" si="6"/>
        <v>0</v>
      </c>
      <c r="AF9" s="1802"/>
      <c r="AG9" s="147">
        <f t="shared" si="7"/>
        <v>0</v>
      </c>
      <c r="AH9" s="83"/>
      <c r="AI9" s="85"/>
      <c r="AJ9" s="86"/>
      <c r="AK9" s="87"/>
      <c r="AL9" s="88"/>
      <c r="AM9" s="89"/>
      <c r="AN9" s="2301"/>
      <c r="AO9" s="55" t="e">
        <f t="shared" ca="1" si="8"/>
        <v>#REF!</v>
      </c>
      <c r="AP9" s="2302">
        <f t="shared" si="9"/>
        <v>35607740</v>
      </c>
      <c r="AQ9" s="55">
        <f t="shared" si="10"/>
        <v>16</v>
      </c>
      <c r="AR9" s="55">
        <f t="shared" si="11"/>
        <v>88</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9" customFormat="1" ht="14.25">
      <c r="A10" s="2298">
        <f>'数据-汇总表'!C23</f>
        <v>0</v>
      </c>
      <c r="B10" s="2299" t="str">
        <f t="shared" si="1"/>
        <v/>
      </c>
      <c r="C10" s="2300"/>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9" customFormat="1" ht="14.25">
      <c r="A11" s="2298">
        <f>'数据-汇总表'!C24</f>
        <v>0</v>
      </c>
      <c r="B11" s="2299" t="str">
        <f t="shared" si="1"/>
        <v/>
      </c>
      <c r="C11" s="2300"/>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9" customFormat="1" ht="14.25">
      <c r="A12" s="2298">
        <f>'数据-汇总表'!C25</f>
        <v>0</v>
      </c>
      <c r="B12" s="2299" t="str">
        <f t="shared" si="1"/>
        <v/>
      </c>
      <c r="C12" s="2300"/>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9" customFormat="1" ht="14.25">
      <c r="A13" s="2298">
        <f>'数据-汇总表'!C26</f>
        <v>0</v>
      </c>
      <c r="B13" s="2299" t="str">
        <f t="shared" si="1"/>
        <v/>
      </c>
      <c r="C13" s="2300"/>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9" customFormat="1" ht="14.25">
      <c r="A14" s="2303" t="s">
        <v>2003</v>
      </c>
      <c r="B14" s="2299" t="s">
        <v>2004</v>
      </c>
      <c r="C14" s="2304" t="s">
        <v>2003</v>
      </c>
      <c r="D14" s="1050"/>
      <c r="E14" s="1047"/>
      <c r="F14" s="72"/>
      <c r="G14" s="73"/>
      <c r="H14" s="1249"/>
      <c r="I14" s="1249"/>
      <c r="J14" s="1249"/>
      <c r="K14" s="1250">
        <f>SUMIF('数据-汇总表'!C$19:C$33,A14,'数据-汇总表'!E$19:E$33)</f>
        <v>9823.5400000000009</v>
      </c>
      <c r="L14" s="91">
        <v>2000</v>
      </c>
      <c r="M14" s="75">
        <f t="shared" si="0"/>
        <v>1965</v>
      </c>
      <c r="N14" s="92">
        <f>N6</f>
        <v>0.15</v>
      </c>
      <c r="O14" s="75">
        <f t="shared" si="3"/>
        <v>295</v>
      </c>
      <c r="P14" s="76">
        <f t="shared" si="4"/>
        <v>1670</v>
      </c>
      <c r="Q14" s="1253"/>
      <c r="R14" s="77"/>
      <c r="S14" s="54"/>
      <c r="T14" s="1442"/>
      <c r="U14" s="723"/>
      <c r="V14" s="1255"/>
      <c r="W14" s="1255"/>
      <c r="X14" s="1256"/>
      <c r="Y14" s="1257"/>
      <c r="Z14" s="1258"/>
      <c r="AA14" s="1259"/>
      <c r="AB14" s="1259"/>
      <c r="AC14" s="1260"/>
      <c r="AD14" s="1256"/>
      <c r="AE14" s="1261"/>
      <c r="AF14" s="55"/>
      <c r="AG14" s="147"/>
      <c r="AH14" s="1261"/>
      <c r="AI14" s="1813"/>
      <c r="AJ14" s="772"/>
      <c r="AK14" s="1262"/>
      <c r="AL14" s="1263"/>
      <c r="AM14" s="1264"/>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9" customFormat="1" ht="27">
      <c r="A15" s="2303" t="s">
        <v>2005</v>
      </c>
      <c r="B15" s="2299" t="s">
        <v>2004</v>
      </c>
      <c r="C15" s="2304" t="s">
        <v>2006</v>
      </c>
      <c r="D15" s="1050"/>
      <c r="E15" s="1047"/>
      <c r="F15" s="72"/>
      <c r="G15" s="73"/>
      <c r="H15" s="1249"/>
      <c r="I15" s="1249"/>
      <c r="J15" s="1249"/>
      <c r="K15" s="1250">
        <f>SUMIF('数据-汇总表'!C$19:C$33,A15,'数据-汇总表'!E$19:E$33)</f>
        <v>5837.670000000001</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2"/>
      <c r="AK15" s="1262"/>
      <c r="AL15" s="1263"/>
      <c r="AM15" s="1264"/>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9" customFormat="1" ht="15.75" thickBot="1">
      <c r="A16" s="2305" t="s">
        <v>2007</v>
      </c>
      <c r="B16" s="97"/>
      <c r="C16" s="1004"/>
      <c r="D16" s="2306"/>
      <c r="E16" s="97"/>
      <c r="F16" s="97"/>
      <c r="G16" s="98">
        <f>ROUND(SUMPRODUCT(G6:G13,K6:K13)/SUMPRODUCT((G6:G13&gt;0)*(K6:K13)),3)</f>
        <v>0.998</v>
      </c>
      <c r="H16" s="99">
        <f>ROUND(SUMPRODUCT(H6:H13,K6:K13)/SUMPRODUCT((H6:H13&gt;0)*(K6:K13)),3)</f>
        <v>4.8000000000000001E-2</v>
      </c>
      <c r="I16" s="100"/>
      <c r="J16" s="100"/>
      <c r="K16" s="101">
        <f>SUM(K6:K15)</f>
        <v>256595.19</v>
      </c>
      <c r="L16" s="102">
        <f>ROUND(M16*10000/SUM(K6:K14),0)</f>
        <v>2384</v>
      </c>
      <c r="M16" s="102">
        <f>SUM(M6:M14)</f>
        <v>59785</v>
      </c>
      <c r="N16" s="103">
        <f>ROUND(SUMPRODUCT(M6:M14,N6:N14)/M16,3)</f>
        <v>0.15</v>
      </c>
      <c r="O16" s="102">
        <f>SUM(O6:O14)</f>
        <v>8968</v>
      </c>
      <c r="P16" s="102">
        <f>SUM(P6:P14)</f>
        <v>50817</v>
      </c>
      <c r="Q16" s="104">
        <f>ROUND(SUMPRODUCT(Q6:Q13,K6:K13)/SUMPRODUCT((Q6:Q13&gt;0)*(K6:K13)),2)</f>
        <v>0.08</v>
      </c>
      <c r="R16" s="1254">
        <f ca="1">SUM(R6:R13)</f>
        <v>63995.17</v>
      </c>
      <c r="S16" s="105">
        <f>SUM(S6:S13)</f>
        <v>9823.5400000000009</v>
      </c>
      <c r="T16" s="106">
        <f>IF(SUMIF(T6:T13,"&lt;9E307")=M14,SUMIF(T6:T13,"&lt;9E307"),"有误，请检查")</f>
        <v>1965</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9"/>
      <c r="D17" s="2265"/>
      <c r="E17" s="2265"/>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2008</v>
      </c>
      <c r="B18" s="2272"/>
      <c r="C18" s="2269"/>
      <c r="D18" s="2270"/>
      <c r="E18" s="2269"/>
      <c r="F18" s="2269"/>
      <c r="G18" s="2269"/>
      <c r="H18" s="2269"/>
      <c r="I18" s="2269"/>
      <c r="J18" s="2269"/>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8" t="s">
        <v>2009</v>
      </c>
      <c r="B19" s="112">
        <v>0</v>
      </c>
      <c r="C19" s="2269" t="s">
        <v>2010</v>
      </c>
      <c r="D19" s="2270"/>
      <c r="E19" s="2269"/>
      <c r="F19" s="2269"/>
      <c r="G19" s="2269"/>
      <c r="H19" s="2269"/>
      <c r="I19" s="2269"/>
      <c r="J19" s="2269"/>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9" t="s">
        <v>2011</v>
      </c>
      <c r="B20" s="113">
        <v>2</v>
      </c>
      <c r="C20" s="2269" t="s">
        <v>2012</v>
      </c>
      <c r="D20" s="2270"/>
      <c r="E20" s="2269"/>
      <c r="F20" s="2269"/>
      <c r="G20" s="2269"/>
      <c r="H20" s="2269"/>
      <c r="I20" s="2269"/>
      <c r="J20" s="2269"/>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0" t="s">
        <v>2013</v>
      </c>
      <c r="B21" s="113">
        <v>0.3</v>
      </c>
      <c r="C21" s="2269"/>
      <c r="D21" s="2270"/>
      <c r="E21" s="2269"/>
      <c r="F21" s="2269"/>
      <c r="G21" s="2269"/>
      <c r="H21" s="2269"/>
      <c r="I21" s="2269"/>
      <c r="J21" s="2269"/>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9" t="s">
        <v>2014</v>
      </c>
      <c r="B22" s="114">
        <f>B19+B20</f>
        <v>2</v>
      </c>
      <c r="C22" s="2269"/>
      <c r="D22" s="2270"/>
      <c r="E22" s="2269"/>
      <c r="F22" s="2269"/>
      <c r="G22" s="2269"/>
      <c r="H22" s="2269"/>
      <c r="I22" s="2269"/>
      <c r="J22" s="2269"/>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0" t="s">
        <v>2015</v>
      </c>
      <c r="B23" s="114">
        <f>B19+B21</f>
        <v>0.3</v>
      </c>
      <c r="C23" s="2269"/>
      <c r="D23" s="2270"/>
      <c r="E23" s="2269"/>
      <c r="F23" s="2269"/>
      <c r="G23" s="2269"/>
      <c r="H23" s="2269"/>
      <c r="I23" s="2269"/>
      <c r="J23" s="2269"/>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1" t="s">
        <v>2016</v>
      </c>
      <c r="B24" s="115">
        <f>B20-B21</f>
        <v>1.7</v>
      </c>
      <c r="C24" s="2269"/>
      <c r="D24" s="2270"/>
      <c r="E24" s="2269"/>
      <c r="F24" s="2269"/>
      <c r="G24" s="2269"/>
      <c r="H24" s="2269"/>
      <c r="I24" s="2269"/>
      <c r="J24" s="2269"/>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2"/>
      <c r="C25" s="2269"/>
      <c r="D25" s="2270"/>
      <c r="E25" s="2269"/>
      <c r="F25" s="2269"/>
      <c r="G25" s="2269"/>
      <c r="H25" s="2269"/>
      <c r="I25" s="2269"/>
      <c r="J25" s="2269"/>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8" t="s">
        <v>2017</v>
      </c>
      <c r="B26" s="2312" t="s">
        <v>2018</v>
      </c>
      <c r="C26" s="2313" t="s">
        <v>2019</v>
      </c>
      <c r="D26" s="2270"/>
      <c r="E26" s="2269"/>
      <c r="F26" s="2269"/>
      <c r="G26" s="2269"/>
      <c r="H26" s="2269"/>
      <c r="I26" s="2269"/>
      <c r="J26" s="2269"/>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6" customFormat="1" ht="27.75">
      <c r="A27" s="2314" t="s">
        <v>2020</v>
      </c>
      <c r="B27" s="116">
        <v>80</v>
      </c>
      <c r="C27" s="1762" t="s">
        <v>2021</v>
      </c>
      <c r="D27" s="2315"/>
      <c r="E27" s="1426"/>
      <c r="F27" s="1426"/>
      <c r="G27" s="2269"/>
      <c r="H27" s="2269"/>
      <c r="I27" s="2269"/>
      <c r="J27" s="2269"/>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7.75">
      <c r="A28" s="2317" t="s">
        <v>2022</v>
      </c>
      <c r="B28" s="119">
        <v>160</v>
      </c>
      <c r="C28" s="2318"/>
      <c r="D28" s="2315"/>
      <c r="E28" s="1426"/>
      <c r="F28" s="1426"/>
      <c r="G28" s="2269"/>
      <c r="H28" s="2269"/>
      <c r="I28" s="2269"/>
      <c r="J28" s="2269"/>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8.5" thickBot="1">
      <c r="A29" s="2319" t="s">
        <v>2023</v>
      </c>
      <c r="B29" s="121"/>
      <c r="C29" s="1762" t="s">
        <v>2024</v>
      </c>
      <c r="D29" s="2315"/>
      <c r="E29" s="1426"/>
      <c r="F29" s="1426"/>
      <c r="G29" s="2269"/>
      <c r="H29" s="2269"/>
      <c r="I29" s="2269"/>
      <c r="J29" s="2269"/>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7">
      <c r="A30" s="2320" t="s">
        <v>2025</v>
      </c>
      <c r="B30" s="724">
        <v>200</v>
      </c>
      <c r="C30" s="2318"/>
      <c r="D30" s="2315"/>
      <c r="E30" s="1426"/>
      <c r="F30" s="1426"/>
      <c r="G30" s="2269"/>
      <c r="H30" s="2269"/>
      <c r="I30" s="2269"/>
      <c r="J30" s="2269"/>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7">
      <c r="A31" s="2317" t="s">
        <v>2026</v>
      </c>
      <c r="B31" s="120">
        <f>B30-B32</f>
        <v>200</v>
      </c>
      <c r="C31" s="1762"/>
      <c r="D31" s="2315"/>
      <c r="E31" s="1426"/>
      <c r="F31" s="1426"/>
      <c r="G31" s="2269"/>
      <c r="H31" s="2269"/>
      <c r="I31" s="2269"/>
      <c r="J31" s="2269"/>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7.75" thickBot="1">
      <c r="A32" s="2321" t="s">
        <v>2027</v>
      </c>
      <c r="B32" s="2992">
        <v>0</v>
      </c>
      <c r="C32" s="2318"/>
      <c r="D32" s="2270"/>
      <c r="E32" s="2269"/>
      <c r="F32" s="2269"/>
      <c r="G32" s="2269"/>
      <c r="H32" s="2269"/>
      <c r="I32" s="2269"/>
      <c r="J32" s="2269"/>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25">
      <c r="A33" s="2314" t="s">
        <v>2028</v>
      </c>
      <c r="B33" s="725">
        <v>0.04</v>
      </c>
      <c r="C33" s="1761" t="s">
        <v>2029</v>
      </c>
      <c r="D33" s="2270"/>
      <c r="E33" s="2269"/>
      <c r="F33" s="2269"/>
      <c r="G33" s="2269"/>
      <c r="H33" s="2269"/>
      <c r="I33" s="2269"/>
      <c r="J33" s="2269"/>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25">
      <c r="A34" s="2317" t="s">
        <v>2030</v>
      </c>
      <c r="B34" s="122">
        <v>0.05</v>
      </c>
      <c r="C34" s="1761" t="s">
        <v>2031</v>
      </c>
      <c r="D34" s="2270" t="s">
        <v>2032</v>
      </c>
      <c r="E34" s="731"/>
      <c r="F34" s="2269"/>
      <c r="G34" s="2269"/>
      <c r="H34" s="2269"/>
      <c r="I34" s="2269"/>
      <c r="J34" s="2269"/>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25">
      <c r="A35" s="2317" t="s">
        <v>2033</v>
      </c>
      <c r="B35" s="119">
        <v>200</v>
      </c>
      <c r="C35" s="1761" t="s">
        <v>2034</v>
      </c>
      <c r="D35" s="2315"/>
      <c r="E35" s="1426"/>
      <c r="F35" s="1426"/>
      <c r="G35" s="2269"/>
      <c r="H35" s="2269"/>
      <c r="I35" s="2269"/>
      <c r="J35" s="2269"/>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9" t="s">
        <v>2035</v>
      </c>
      <c r="B36" s="123">
        <v>1.4999999999999999E-2</v>
      </c>
      <c r="C36" s="1761" t="s">
        <v>2036</v>
      </c>
      <c r="D36" s="2270"/>
      <c r="E36" s="2269"/>
      <c r="F36" s="2269"/>
      <c r="G36" s="2269"/>
      <c r="H36" s="2269"/>
      <c r="I36" s="2269"/>
      <c r="J36" s="2269"/>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0" t="s">
        <v>2037</v>
      </c>
      <c r="B37" s="124">
        <v>0.02</v>
      </c>
      <c r="C37" s="1761" t="s">
        <v>2038</v>
      </c>
      <c r="D37" s="2270"/>
      <c r="E37" s="2269"/>
      <c r="F37" s="2269"/>
      <c r="G37" s="2269"/>
      <c r="H37" s="2269"/>
      <c r="I37" s="2269"/>
      <c r="J37" s="2269"/>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7" t="s">
        <v>2039</v>
      </c>
      <c r="B38" s="122">
        <v>0.02</v>
      </c>
      <c r="C38" s="1761" t="s">
        <v>2038</v>
      </c>
      <c r="D38" s="2270"/>
      <c r="E38" s="2269"/>
      <c r="F38" s="2269"/>
      <c r="G38" s="2269"/>
      <c r="H38" s="2269"/>
      <c r="I38" s="2269"/>
      <c r="J38" s="2269"/>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1" t="s">
        <v>2040</v>
      </c>
      <c r="B39" s="362">
        <f ca="1">存贷款利率!I1</f>
        <v>1.4999999999999999E-2</v>
      </c>
      <c r="C39" s="1761"/>
      <c r="D39" s="2270"/>
      <c r="E39" s="2269"/>
      <c r="F39" s="2269"/>
      <c r="G39" s="2269"/>
      <c r="H39" s="2269"/>
      <c r="I39" s="2269"/>
      <c r="J39" s="2269"/>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1" t="s">
        <v>2041</v>
      </c>
      <c r="B40" s="1299">
        <f ca="1">存贷款利率!G1</f>
        <v>4.7500000000000001E-2</v>
      </c>
      <c r="C40" s="1761" t="s">
        <v>2042</v>
      </c>
      <c r="D40" s="1579"/>
      <c r="E40" s="2270"/>
      <c r="F40" s="2269"/>
      <c r="G40" s="2269"/>
      <c r="H40" s="2269"/>
      <c r="I40" s="2269"/>
      <c r="J40" s="2269"/>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4" t="s">
        <v>2043</v>
      </c>
      <c r="B41" s="125">
        <f>B42+B43</f>
        <v>5.6000000000000001E-2</v>
      </c>
      <c r="C41" s="1762"/>
      <c r="D41" s="1579"/>
      <c r="E41" s="2270"/>
      <c r="F41" s="2269"/>
      <c r="G41" s="2269"/>
      <c r="H41" s="2269"/>
      <c r="I41" s="2269"/>
      <c r="J41" s="2269"/>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2" t="s">
        <v>2044</v>
      </c>
      <c r="B42" s="126">
        <v>0.05</v>
      </c>
      <c r="C42" s="2323">
        <f>IF(B2&lt;DATE(2016,5,1),0,B42)</f>
        <v>0.05</v>
      </c>
      <c r="D42" s="2270"/>
      <c r="E42" s="2269"/>
      <c r="F42" s="2269"/>
      <c r="G42" s="2269"/>
      <c r="H42" s="2269"/>
      <c r="I42" s="2269"/>
      <c r="J42" s="2269"/>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2" t="s">
        <v>2045</v>
      </c>
      <c r="B43" s="127">
        <f>B42*(B44+B45+B46)+B47</f>
        <v>6.000000000000001E-3</v>
      </c>
      <c r="C43" s="1762"/>
      <c r="D43" s="2270"/>
      <c r="E43" s="2269"/>
      <c r="F43" s="2269"/>
      <c r="G43" s="2269"/>
      <c r="H43" s="2269"/>
      <c r="I43" s="2269"/>
      <c r="J43" s="2269"/>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4" t="s">
        <v>2046</v>
      </c>
      <c r="B44" s="128">
        <v>7.0000000000000007E-2</v>
      </c>
      <c r="C44" s="1761" t="s">
        <v>2047</v>
      </c>
      <c r="D44" s="2270"/>
      <c r="E44" s="2269"/>
      <c r="F44" s="2269"/>
      <c r="G44" s="2269"/>
      <c r="H44" s="2269"/>
      <c r="I44" s="2269"/>
      <c r="J44" s="2269"/>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4" t="s">
        <v>2048</v>
      </c>
      <c r="B45" s="126">
        <v>0.03</v>
      </c>
      <c r="C45" s="1762" t="s">
        <v>2049</v>
      </c>
      <c r="D45" s="2270"/>
      <c r="E45" s="2269"/>
      <c r="F45" s="2269"/>
      <c r="G45" s="2269"/>
      <c r="H45" s="2269"/>
      <c r="I45" s="2269"/>
      <c r="J45" s="2269"/>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4" t="s">
        <v>2050</v>
      </c>
      <c r="B46" s="126">
        <v>0.02</v>
      </c>
      <c r="C46" s="1762" t="s">
        <v>2051</v>
      </c>
      <c r="D46" s="2270"/>
      <c r="E46" s="2269"/>
      <c r="F46" s="2269"/>
      <c r="G46" s="2269"/>
      <c r="H46" s="2269"/>
      <c r="I46" s="2269"/>
      <c r="J46" s="2269"/>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5" t="s">
        <v>2052</v>
      </c>
      <c r="B47" s="129">
        <v>0</v>
      </c>
      <c r="C47" s="1762" t="s">
        <v>2053</v>
      </c>
      <c r="D47" s="2270"/>
      <c r="E47" s="2269"/>
      <c r="F47" s="2269"/>
      <c r="G47" s="2269"/>
      <c r="H47" s="2269"/>
      <c r="I47" s="2269"/>
      <c r="J47" s="2269"/>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6" t="s">
        <v>2054</v>
      </c>
      <c r="B48" s="130">
        <v>0.03</v>
      </c>
      <c r="C48" s="1769" t="s">
        <v>2055</v>
      </c>
      <c r="D48" s="2270"/>
      <c r="E48" s="2269"/>
      <c r="F48" s="2269"/>
      <c r="G48" s="2269"/>
      <c r="H48" s="2269"/>
      <c r="I48" s="2269"/>
      <c r="J48" s="2269"/>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1" t="s">
        <v>2056</v>
      </c>
      <c r="B49" s="126">
        <v>5.0000000000000001E-4</v>
      </c>
      <c r="C49" s="1769" t="s">
        <v>2057</v>
      </c>
      <c r="D49" s="2270"/>
      <c r="E49" s="2269"/>
      <c r="F49" s="2269"/>
      <c r="G49" s="2269"/>
      <c r="H49" s="2269"/>
      <c r="I49" s="2269"/>
      <c r="J49" s="2269"/>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7" t="s">
        <v>2058</v>
      </c>
      <c r="B50" s="131">
        <v>1.2E-2</v>
      </c>
      <c r="C50" s="1426"/>
      <c r="D50" s="2270"/>
      <c r="E50" s="2269"/>
      <c r="F50" s="2269"/>
      <c r="G50" s="2269"/>
      <c r="H50" s="2269"/>
      <c r="I50" s="2269"/>
      <c r="J50" s="2269"/>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9" t="s">
        <v>2059</v>
      </c>
      <c r="B51" s="132">
        <v>0.12</v>
      </c>
      <c r="C51" s="1426"/>
      <c r="D51" s="2270"/>
      <c r="E51" s="2269"/>
      <c r="F51" s="2269"/>
      <c r="G51" s="2269"/>
      <c r="H51" s="2269"/>
      <c r="I51" s="2269"/>
      <c r="J51" s="2269"/>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7" t="s">
        <v>2060</v>
      </c>
      <c r="B52" s="133">
        <f>SUMIF(A54:A63,B53,B54:B63)</f>
        <v>5</v>
      </c>
      <c r="C52" s="1426"/>
      <c r="D52" s="2270"/>
      <c r="E52" s="2269"/>
      <c r="F52" s="2269"/>
      <c r="G52" s="2269"/>
      <c r="H52" s="2269"/>
      <c r="I52" s="2269"/>
      <c r="J52" s="2269"/>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7" t="s">
        <v>2061</v>
      </c>
      <c r="B53" s="2328" t="s">
        <v>56</v>
      </c>
      <c r="C53" s="1426" t="s">
        <v>2062</v>
      </c>
      <c r="D53" s="2329" t="s">
        <v>2063</v>
      </c>
      <c r="E53" s="2269"/>
      <c r="F53" s="2269"/>
      <c r="G53" s="2269"/>
      <c r="H53" s="2269"/>
      <c r="I53" s="2269"/>
      <c r="J53" s="2269"/>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0" t="s">
        <v>2064</v>
      </c>
      <c r="B54" s="84"/>
      <c r="C54" s="1426">
        <v>30</v>
      </c>
      <c r="D54" s="2270"/>
      <c r="E54" s="2269"/>
      <c r="F54" s="2269"/>
      <c r="G54" s="2269"/>
      <c r="H54" s="2269"/>
      <c r="I54" s="2269"/>
      <c r="J54" s="2269"/>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0" t="s">
        <v>2065</v>
      </c>
      <c r="B55" s="84"/>
      <c r="C55" s="1426">
        <v>24</v>
      </c>
      <c r="D55" s="2270"/>
      <c r="E55" s="2269"/>
      <c r="F55" s="2269"/>
      <c r="G55" s="2269"/>
      <c r="H55" s="2269"/>
      <c r="I55" s="2331"/>
      <c r="J55" s="2269"/>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0" t="s">
        <v>2066</v>
      </c>
      <c r="B56" s="84"/>
      <c r="C56" s="1426">
        <v>18</v>
      </c>
      <c r="D56" s="2270"/>
      <c r="E56" s="2269"/>
      <c r="F56" s="2269"/>
      <c r="G56" s="2269"/>
      <c r="H56" s="2269"/>
      <c r="I56" s="2269"/>
      <c r="J56" s="2269"/>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0" t="s">
        <v>2067</v>
      </c>
      <c r="B57" s="84"/>
      <c r="C57" s="1426">
        <v>12</v>
      </c>
      <c r="D57" s="2270"/>
      <c r="E57" s="2269"/>
      <c r="F57" s="2269"/>
      <c r="G57" s="2269"/>
      <c r="H57" s="2269"/>
      <c r="I57" s="2269"/>
      <c r="J57" s="2269"/>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0" t="s">
        <v>2068</v>
      </c>
      <c r="B58" s="84"/>
      <c r="C58" s="1426">
        <v>3</v>
      </c>
      <c r="D58" s="2270"/>
      <c r="E58" s="2269"/>
      <c r="F58" s="2269"/>
      <c r="G58" s="2269"/>
      <c r="H58" s="2269"/>
      <c r="I58" s="2269"/>
      <c r="J58" s="2269"/>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0" t="s">
        <v>2069</v>
      </c>
      <c r="B59" s="84">
        <v>5</v>
      </c>
      <c r="C59" s="1426">
        <v>1.5</v>
      </c>
      <c r="D59" s="2270"/>
      <c r="E59" s="2269"/>
      <c r="F59" s="2269"/>
      <c r="G59" s="2269"/>
      <c r="H59" s="2269"/>
      <c r="I59" s="2269"/>
      <c r="J59" s="2269"/>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0" t="s">
        <v>2070</v>
      </c>
      <c r="B60" s="84"/>
      <c r="C60" s="2269"/>
      <c r="D60" s="2270"/>
      <c r="E60" s="2269"/>
      <c r="F60" s="2269"/>
      <c r="G60" s="2269"/>
      <c r="H60" s="2269"/>
      <c r="I60" s="2269"/>
      <c r="J60" s="2269"/>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0" t="s">
        <v>2071</v>
      </c>
      <c r="B61" s="84"/>
      <c r="C61" s="2269"/>
      <c r="D61" s="2270"/>
      <c r="E61" s="2269"/>
      <c r="F61" s="2269"/>
      <c r="G61" s="2269"/>
      <c r="H61" s="2269"/>
      <c r="I61" s="2269"/>
      <c r="J61" s="2269"/>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0" t="s">
        <v>2072</v>
      </c>
      <c r="B62" s="84"/>
      <c r="C62" s="2269"/>
      <c r="D62" s="2270"/>
      <c r="E62" s="2269"/>
      <c r="F62" s="2269"/>
      <c r="G62" s="2269"/>
      <c r="H62" s="2269"/>
      <c r="I62" s="2269"/>
      <c r="J62" s="2269"/>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2" t="s">
        <v>2073</v>
      </c>
      <c r="B63" s="134"/>
      <c r="C63" s="2269"/>
      <c r="D63" s="2270"/>
      <c r="E63" s="2269"/>
      <c r="F63" s="2269"/>
      <c r="G63" s="2269"/>
      <c r="H63" s="2269"/>
      <c r="I63" s="2269"/>
      <c r="J63" s="2269"/>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3"/>
      <c r="D64" s="2334"/>
      <c r="K64" s="797"/>
      <c r="L64" s="797"/>
    </row>
    <row r="65" spans="1:12" s="963" customFormat="1">
      <c r="A65" s="2333"/>
      <c r="D65" s="2334"/>
      <c r="K65" s="797"/>
      <c r="L65" s="797"/>
    </row>
    <row r="66" spans="1:12" s="963" customFormat="1">
      <c r="A66" s="2333"/>
      <c r="D66" s="2334"/>
      <c r="K66" s="797"/>
      <c r="L66" s="797"/>
    </row>
    <row r="67" spans="1:12" s="963" customFormat="1">
      <c r="A67" s="2333"/>
      <c r="D67" s="2334"/>
      <c r="K67" s="797"/>
      <c r="L67" s="797"/>
    </row>
    <row r="68" spans="1:12" s="963" customFormat="1">
      <c r="A68" s="2333"/>
      <c r="D68" s="2334"/>
      <c r="K68" s="797"/>
      <c r="L68" s="797"/>
    </row>
    <row r="69" spans="1:12" s="963" customFormat="1">
      <c r="A69" s="2333"/>
      <c r="D69" s="2334"/>
      <c r="K69" s="797"/>
      <c r="L69" s="797"/>
    </row>
    <row r="70" spans="1:12" s="963" customFormat="1">
      <c r="A70" s="2333"/>
      <c r="D70" s="2334"/>
      <c r="K70" s="797"/>
      <c r="L70" s="797"/>
    </row>
    <row r="71" spans="1:12" s="963" customFormat="1">
      <c r="A71" s="2333"/>
      <c r="D71" s="2334"/>
      <c r="K71" s="797"/>
      <c r="L71" s="797"/>
    </row>
    <row r="72" spans="1:12" s="963" customFormat="1">
      <c r="A72" s="2333"/>
      <c r="D72" s="2334"/>
      <c r="K72" s="797"/>
      <c r="L72" s="797"/>
    </row>
    <row r="73" spans="1:12" s="963" customFormat="1">
      <c r="A73" s="2333"/>
      <c r="D73" s="2334"/>
      <c r="K73" s="797"/>
      <c r="L73" s="797"/>
    </row>
    <row r="74" spans="1:12" s="963" customFormat="1">
      <c r="A74" s="2333"/>
      <c r="D74" s="2334"/>
      <c r="K74" s="797"/>
      <c r="L74" s="797"/>
    </row>
    <row r="75" spans="1:12" s="963" customFormat="1">
      <c r="A75" s="2333"/>
      <c r="D75" s="2334"/>
      <c r="K75" s="797"/>
      <c r="L75" s="797"/>
    </row>
    <row r="76" spans="1:12" s="963" customFormat="1">
      <c r="A76" s="2333"/>
      <c r="D76" s="2334"/>
      <c r="K76" s="797"/>
      <c r="L76" s="797"/>
    </row>
    <row r="77" spans="1:12" s="963" customFormat="1">
      <c r="A77" s="2333"/>
      <c r="D77" s="2334"/>
      <c r="K77" s="797"/>
      <c r="L77" s="797"/>
    </row>
    <row r="78" spans="1:12" s="963" customFormat="1">
      <c r="A78" s="2333"/>
      <c r="D78" s="2334"/>
      <c r="K78" s="797"/>
      <c r="L78" s="797"/>
    </row>
    <row r="79" spans="1:12" s="963" customFormat="1">
      <c r="A79" s="2333"/>
      <c r="D79" s="2334"/>
      <c r="K79" s="797"/>
      <c r="L79" s="797"/>
    </row>
    <row r="80" spans="1:12" s="963" customFormat="1">
      <c r="A80" s="2333"/>
      <c r="D80" s="2334"/>
      <c r="K80" s="797"/>
      <c r="L80" s="797"/>
    </row>
    <row r="81" spans="1:12" s="963" customFormat="1">
      <c r="A81" s="2333"/>
      <c r="D81" s="2334"/>
      <c r="K81" s="797"/>
      <c r="L81" s="797"/>
    </row>
    <row r="82" spans="1:12" s="963" customFormat="1">
      <c r="A82" s="2333"/>
      <c r="D82" s="2334"/>
      <c r="K82" s="797"/>
      <c r="L82" s="797"/>
    </row>
    <row r="83" spans="1:12" s="963" customFormat="1">
      <c r="A83" s="2333"/>
      <c r="D83" s="2334"/>
      <c r="K83" s="797"/>
      <c r="L83" s="797"/>
    </row>
    <row r="84" spans="1:12" s="963" customFormat="1">
      <c r="A84" s="2333"/>
      <c r="D84" s="2334"/>
      <c r="K84" s="797"/>
      <c r="L84" s="797"/>
    </row>
    <row r="85" spans="1:12" s="963" customFormat="1">
      <c r="A85" s="2333"/>
      <c r="D85" s="2334"/>
      <c r="K85" s="797"/>
      <c r="L85" s="797"/>
    </row>
    <row r="86" spans="1:12" s="963" customFormat="1">
      <c r="A86" s="2333"/>
      <c r="D86" s="2334"/>
      <c r="K86" s="797"/>
      <c r="L86" s="797"/>
    </row>
    <row r="87" spans="1:12" s="963" customFormat="1">
      <c r="A87" s="2333"/>
      <c r="D87" s="2334"/>
      <c r="K87" s="797"/>
      <c r="L87" s="797"/>
    </row>
    <row r="88" spans="1:12" s="963" customFormat="1">
      <c r="A88" s="2333"/>
      <c r="D88" s="2334"/>
      <c r="K88" s="797"/>
      <c r="L88" s="797"/>
    </row>
    <row r="89" spans="1:12" s="963" customFormat="1">
      <c r="A89" s="2333"/>
      <c r="D89" s="2334"/>
      <c r="K89" s="797"/>
      <c r="L89" s="797"/>
    </row>
    <row r="90" spans="1:12" s="963" customFormat="1">
      <c r="A90" s="2333"/>
      <c r="D90" s="2334"/>
      <c r="K90" s="797"/>
      <c r="L90" s="797"/>
    </row>
    <row r="91" spans="1:12" s="963" customFormat="1">
      <c r="A91" s="2333"/>
      <c r="D91" s="2334"/>
      <c r="K91" s="797"/>
      <c r="L91" s="797"/>
    </row>
    <row r="92" spans="1:12" s="963" customFormat="1">
      <c r="A92" s="2333"/>
      <c r="D92" s="2334"/>
      <c r="K92" s="797"/>
      <c r="L92" s="797"/>
    </row>
    <row r="93" spans="1:12" s="963" customFormat="1">
      <c r="A93" s="2333"/>
      <c r="D93" s="2334"/>
      <c r="K93" s="797"/>
      <c r="L93" s="797"/>
    </row>
    <row r="94" spans="1:12" s="963" customFormat="1">
      <c r="A94" s="2333"/>
      <c r="D94" s="2334"/>
      <c r="K94" s="797"/>
      <c r="L94" s="797"/>
    </row>
    <row r="95" spans="1:12" s="963" customFormat="1">
      <c r="A95" s="2333"/>
      <c r="D95" s="2334"/>
      <c r="K95" s="797"/>
      <c r="L95" s="797"/>
    </row>
    <row r="96" spans="1:12" s="963" customFormat="1">
      <c r="A96" s="2333"/>
      <c r="D96" s="2334"/>
      <c r="K96" s="797"/>
      <c r="L96" s="797"/>
    </row>
    <row r="97" spans="1:12" s="963" customFormat="1">
      <c r="A97" s="2333"/>
      <c r="D97" s="2334"/>
      <c r="K97" s="797"/>
      <c r="L97" s="797"/>
    </row>
    <row r="98" spans="1:12" s="963" customFormat="1">
      <c r="A98" s="2333"/>
      <c r="D98" s="2334"/>
      <c r="K98" s="797"/>
      <c r="L98" s="797"/>
    </row>
    <row r="99" spans="1:12" s="963" customFormat="1">
      <c r="A99" s="2333"/>
      <c r="D99" s="2334"/>
      <c r="K99" s="797"/>
      <c r="L99" s="797"/>
    </row>
    <row r="100" spans="1:12" s="963" customFormat="1">
      <c r="A100" s="2333"/>
      <c r="D100" s="2334"/>
      <c r="K100" s="797"/>
      <c r="L100" s="797"/>
    </row>
    <row r="101" spans="1:12" s="963" customFormat="1">
      <c r="A101" s="2333"/>
      <c r="D101" s="2334"/>
      <c r="K101" s="797"/>
      <c r="L101" s="797"/>
    </row>
    <row r="102" spans="1:12" s="963" customFormat="1">
      <c r="A102" s="2333"/>
      <c r="D102" s="2334"/>
      <c r="K102" s="797"/>
      <c r="L102" s="797"/>
    </row>
    <row r="103" spans="1:12" s="963" customFormat="1">
      <c r="A103" s="2333"/>
      <c r="D103" s="2334"/>
      <c r="K103" s="797"/>
      <c r="L103" s="797"/>
    </row>
    <row r="104" spans="1:12" s="963" customFormat="1">
      <c r="A104" s="2333"/>
      <c r="D104" s="2334"/>
      <c r="K104" s="797"/>
      <c r="L104" s="797"/>
    </row>
    <row r="105" spans="1:12" s="963" customFormat="1">
      <c r="A105" s="2333"/>
      <c r="D105" s="2334"/>
      <c r="K105" s="797"/>
      <c r="L105" s="797"/>
    </row>
    <row r="106" spans="1:12" s="963" customFormat="1">
      <c r="A106" s="2333"/>
      <c r="D106" s="2334"/>
      <c r="K106" s="797"/>
      <c r="L106" s="797"/>
    </row>
    <row r="107" spans="1:12" s="963" customFormat="1">
      <c r="A107" s="2333"/>
      <c r="D107" s="2334"/>
      <c r="K107" s="797"/>
      <c r="L107" s="797"/>
    </row>
    <row r="108" spans="1:12" s="963" customFormat="1">
      <c r="A108" s="2333"/>
      <c r="D108" s="2334"/>
      <c r="K108" s="797"/>
      <c r="L108" s="797"/>
    </row>
    <row r="109" spans="1:12" s="963" customFormat="1">
      <c r="A109" s="2333"/>
      <c r="D109" s="2334"/>
      <c r="K109" s="797"/>
      <c r="L109" s="797"/>
    </row>
    <row r="110" spans="1:12" s="963" customFormat="1">
      <c r="A110" s="2333"/>
      <c r="D110" s="2334"/>
      <c r="K110" s="797"/>
      <c r="L110" s="797"/>
    </row>
    <row r="111" spans="1:12" s="963" customFormat="1">
      <c r="A111" s="2333"/>
      <c r="D111" s="2334"/>
      <c r="K111" s="797"/>
      <c r="L111" s="797"/>
    </row>
    <row r="112" spans="1:12" s="963" customFormat="1">
      <c r="A112" s="2333"/>
      <c r="D112" s="2334"/>
      <c r="K112" s="797"/>
      <c r="L112" s="797"/>
    </row>
    <row r="113" spans="1:12" s="963" customFormat="1">
      <c r="A113" s="2333"/>
      <c r="D113" s="2334"/>
      <c r="K113" s="797"/>
      <c r="L113" s="797"/>
    </row>
    <row r="114" spans="1:12" s="963" customFormat="1">
      <c r="A114" s="2333"/>
      <c r="D114" s="2334"/>
      <c r="K114" s="797"/>
      <c r="L114" s="797"/>
    </row>
    <row r="115" spans="1:12" s="963" customFormat="1">
      <c r="A115" s="2333"/>
      <c r="D115" s="2334"/>
      <c r="K115" s="797"/>
      <c r="L115" s="797"/>
    </row>
    <row r="116" spans="1:12" s="963" customFormat="1">
      <c r="A116" s="2333"/>
      <c r="D116" s="2334"/>
      <c r="K116" s="797"/>
      <c r="L116" s="797"/>
    </row>
    <row r="117" spans="1:12" s="963" customFormat="1">
      <c r="A117" s="2333"/>
      <c r="D117" s="2334"/>
      <c r="K117" s="797"/>
      <c r="L117" s="797"/>
    </row>
    <row r="118" spans="1:12" s="963" customFormat="1">
      <c r="A118" s="2333"/>
      <c r="D118" s="2334"/>
      <c r="K118" s="797"/>
      <c r="L118" s="797"/>
    </row>
    <row r="119" spans="1:12" s="963" customFormat="1">
      <c r="A119" s="2333"/>
      <c r="D119" s="2334"/>
      <c r="K119" s="797"/>
      <c r="L119" s="797"/>
    </row>
    <row r="120" spans="1:12" s="963" customFormat="1">
      <c r="A120" s="2333"/>
      <c r="D120" s="2334"/>
      <c r="K120" s="797"/>
      <c r="L120" s="797"/>
    </row>
    <row r="121" spans="1:12" s="963" customFormat="1">
      <c r="A121" s="2333"/>
      <c r="D121" s="2334"/>
      <c r="K121" s="797"/>
      <c r="L121" s="797"/>
    </row>
    <row r="122" spans="1:12" s="963" customFormat="1">
      <c r="A122" s="2333"/>
      <c r="D122" s="2334"/>
      <c r="K122" s="797"/>
      <c r="L122" s="797"/>
    </row>
    <row r="123" spans="1:12" s="963" customFormat="1">
      <c r="A123" s="2333"/>
      <c r="D123" s="2334"/>
      <c r="K123" s="797"/>
      <c r="L123" s="797"/>
    </row>
    <row r="124" spans="1:12" s="963" customFormat="1">
      <c r="A124" s="2333"/>
      <c r="D124" s="2334"/>
      <c r="K124" s="797"/>
      <c r="L124" s="797"/>
    </row>
    <row r="125" spans="1:12" s="963" customFormat="1">
      <c r="A125" s="2333"/>
      <c r="D125" s="2334"/>
      <c r="K125" s="797"/>
      <c r="L125" s="797"/>
    </row>
    <row r="126" spans="1:12" s="963" customFormat="1">
      <c r="A126" s="2333"/>
      <c r="D126" s="2334"/>
      <c r="K126" s="797"/>
      <c r="L126" s="797"/>
    </row>
    <row r="127" spans="1:12" s="963" customFormat="1">
      <c r="A127" s="2333"/>
      <c r="D127" s="2334"/>
      <c r="K127" s="797"/>
      <c r="L127" s="797"/>
    </row>
    <row r="128" spans="1:12" s="963" customFormat="1">
      <c r="A128" s="2333"/>
      <c r="D128" s="2334"/>
      <c r="K128" s="797"/>
      <c r="L128" s="797"/>
    </row>
    <row r="129" spans="1:12" s="963" customFormat="1">
      <c r="A129" s="2333"/>
      <c r="D129" s="2334"/>
      <c r="K129" s="797"/>
      <c r="L129" s="797"/>
    </row>
    <row r="130" spans="1:12" s="963" customFormat="1">
      <c r="A130" s="2333"/>
      <c r="D130" s="2334"/>
      <c r="K130" s="797"/>
      <c r="L130" s="797"/>
    </row>
    <row r="131" spans="1:12" s="963" customFormat="1">
      <c r="A131" s="2333"/>
      <c r="D131" s="2334"/>
      <c r="K131" s="797"/>
      <c r="L131" s="797"/>
    </row>
    <row r="132" spans="1:12" s="963" customFormat="1">
      <c r="A132" s="2333"/>
      <c r="D132" s="2334"/>
      <c r="K132" s="797"/>
      <c r="L132" s="797"/>
    </row>
    <row r="133" spans="1:12" s="963"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ColWidth="9" defaultRowHeight="14.25"/>
  <cols>
    <col min="1" max="1" width="9.5" style="2361"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60"/>
    <col min="30" max="16384" width="9" style="2361"/>
  </cols>
  <sheetData>
    <row r="1" spans="1:29" s="2354" customFormat="1" ht="19.5" thickBot="1">
      <c r="A1" s="3110" t="s">
        <v>2074</v>
      </c>
      <c r="B1" s="3111"/>
      <c r="C1" s="3111"/>
      <c r="D1" s="3111"/>
      <c r="E1" s="3111"/>
      <c r="F1" s="3111"/>
      <c r="G1" s="3111"/>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2075</v>
      </c>
      <c r="D2" s="2358"/>
      <c r="E2" s="2359"/>
      <c r="F2" s="2278"/>
      <c r="G2" s="2357" t="s">
        <v>2076</v>
      </c>
      <c r="H2" s="2360"/>
      <c r="I2" s="2360"/>
      <c r="J2" s="2360"/>
      <c r="K2" s="2360"/>
      <c r="L2" s="2360"/>
      <c r="M2" s="2360"/>
      <c r="N2" s="2360"/>
      <c r="O2" s="2360"/>
      <c r="P2" s="2360"/>
      <c r="Q2" s="2360"/>
      <c r="R2" s="2360"/>
    </row>
    <row r="3" spans="1:29" ht="54">
      <c r="A3" s="415" t="s">
        <v>2077</v>
      </c>
      <c r="B3" s="1267" t="s">
        <v>2078</v>
      </c>
      <c r="C3" s="2953" t="s">
        <v>3523</v>
      </c>
      <c r="D3" s="2362"/>
      <c r="E3" s="431" t="s">
        <v>2077</v>
      </c>
      <c r="F3" s="2363" t="s">
        <v>2079</v>
      </c>
      <c r="G3" s="2364" t="s">
        <v>2080</v>
      </c>
      <c r="H3" s="2360"/>
      <c r="I3" s="2360"/>
      <c r="J3" s="2360"/>
      <c r="K3" s="2360"/>
      <c r="L3" s="2360"/>
      <c r="M3" s="2360"/>
      <c r="N3" s="2360"/>
      <c r="O3" s="2360"/>
      <c r="P3" s="2360"/>
      <c r="Q3" s="2360"/>
      <c r="R3" s="2360"/>
    </row>
    <row r="4" spans="1:29" ht="40.5">
      <c r="A4" s="431"/>
      <c r="B4" s="1793" t="s">
        <v>2081</v>
      </c>
      <c r="C4" s="2954" t="s">
        <v>3524</v>
      </c>
      <c r="D4" s="2362"/>
      <c r="E4" s="2365"/>
      <c r="F4" s="42" t="s">
        <v>2082</v>
      </c>
      <c r="G4" s="2366" t="s">
        <v>2083</v>
      </c>
      <c r="H4" s="2360"/>
      <c r="I4" s="2360"/>
      <c r="J4" s="2360"/>
      <c r="K4" s="2360"/>
      <c r="L4" s="2360"/>
      <c r="M4" s="2360"/>
      <c r="N4" s="2360"/>
      <c r="O4" s="2360"/>
      <c r="P4" s="2360"/>
      <c r="Q4" s="2360"/>
      <c r="R4" s="2360"/>
    </row>
    <row r="5" spans="1:29" ht="27">
      <c r="A5" s="431"/>
      <c r="B5" s="1793" t="s">
        <v>2084</v>
      </c>
      <c r="C5" s="2954" t="s">
        <v>3299</v>
      </c>
      <c r="D5" s="2362"/>
      <c r="E5" s="2365"/>
      <c r="F5" s="1793" t="s">
        <v>2085</v>
      </c>
      <c r="G5" s="2366" t="s">
        <v>2086</v>
      </c>
      <c r="H5" s="2360"/>
      <c r="I5" s="2360"/>
      <c r="J5" s="2360"/>
      <c r="K5" s="2360"/>
      <c r="L5" s="2360"/>
      <c r="M5" s="2360"/>
      <c r="N5" s="2360"/>
      <c r="O5" s="2360"/>
      <c r="P5" s="2360"/>
      <c r="Q5" s="2360"/>
      <c r="R5" s="2360"/>
    </row>
    <row r="6" spans="1:29" ht="67.5">
      <c r="A6" s="431"/>
      <c r="B6" s="1793" t="s">
        <v>2087</v>
      </c>
      <c r="C6" s="2955" t="s">
        <v>3525</v>
      </c>
      <c r="D6" s="2362"/>
      <c r="E6" s="2365"/>
      <c r="F6" s="1793" t="s">
        <v>2088</v>
      </c>
      <c r="G6" s="2366" t="s">
        <v>2089</v>
      </c>
      <c r="H6" s="2360"/>
      <c r="I6" s="2360"/>
      <c r="J6" s="2360"/>
      <c r="K6" s="2360"/>
      <c r="L6" s="2360"/>
      <c r="M6" s="2360"/>
      <c r="N6" s="2360"/>
      <c r="O6" s="2360"/>
      <c r="P6" s="2360"/>
      <c r="Q6" s="2360"/>
      <c r="R6" s="2360"/>
    </row>
    <row r="7" spans="1:29" ht="41.25" thickBot="1">
      <c r="A7" s="431"/>
      <c r="B7" s="1793" t="s">
        <v>2085</v>
      </c>
      <c r="C7" s="2955" t="s">
        <v>3301</v>
      </c>
      <c r="D7" s="2367"/>
      <c r="E7" s="2368"/>
      <c r="F7" s="2369" t="s">
        <v>2090</v>
      </c>
      <c r="G7" s="2370" t="s">
        <v>2091</v>
      </c>
      <c r="H7" s="2360"/>
      <c r="I7" s="2360"/>
      <c r="J7" s="2360"/>
      <c r="K7" s="2360"/>
      <c r="L7" s="2360"/>
      <c r="M7" s="2360"/>
      <c r="N7" s="2360"/>
      <c r="O7" s="2360"/>
      <c r="P7" s="2360"/>
      <c r="Q7" s="2360"/>
      <c r="R7" s="2360"/>
    </row>
    <row r="8" spans="1:29" ht="27">
      <c r="A8" s="431"/>
      <c r="B8" s="1793" t="s">
        <v>2088</v>
      </c>
      <c r="C8" s="2955" t="s">
        <v>3302</v>
      </c>
      <c r="D8" s="2367"/>
      <c r="E8" s="2367"/>
      <c r="F8" s="1132"/>
      <c r="G8" s="1132"/>
      <c r="H8" s="2360"/>
      <c r="I8" s="2360"/>
      <c r="J8" s="2360"/>
      <c r="K8" s="2360"/>
      <c r="L8" s="2360"/>
      <c r="M8" s="2360"/>
      <c r="N8" s="2360"/>
      <c r="O8" s="2360"/>
      <c r="P8" s="2360"/>
      <c r="Q8" s="2360"/>
      <c r="R8" s="2360"/>
    </row>
    <row r="9" spans="1:29" ht="81">
      <c r="A9" s="431"/>
      <c r="B9" s="1793" t="s">
        <v>2092</v>
      </c>
      <c r="C9" s="2954" t="s">
        <v>3526</v>
      </c>
      <c r="D9" s="2362"/>
      <c r="E9" s="2367"/>
      <c r="F9" s="1132"/>
      <c r="G9" s="1132"/>
      <c r="H9" s="2360"/>
      <c r="I9" s="2360"/>
      <c r="J9" s="2360"/>
      <c r="K9" s="2360"/>
      <c r="L9" s="2360"/>
      <c r="M9" s="2360"/>
      <c r="N9" s="2360"/>
      <c r="O9" s="2360"/>
      <c r="P9" s="2360"/>
      <c r="Q9" s="2360"/>
      <c r="R9" s="2360"/>
    </row>
    <row r="10" spans="1:29" s="117" customFormat="1" ht="15.75" thickBot="1">
      <c r="A10" s="2371"/>
      <c r="B10" s="2372" t="s">
        <v>2093</v>
      </c>
      <c r="C10" s="3350" t="s">
        <v>3527</v>
      </c>
      <c r="D10" s="2362"/>
      <c r="E10" s="2362"/>
      <c r="F10" s="1132"/>
      <c r="G10" s="1132"/>
      <c r="H10" s="2373"/>
      <c r="I10" s="2374"/>
      <c r="J10" s="2375"/>
      <c r="K10" s="2373"/>
      <c r="L10" s="2374"/>
      <c r="M10" s="2375"/>
      <c r="N10" s="2373"/>
      <c r="O10" s="2374"/>
      <c r="P10" s="2375"/>
      <c r="Q10" s="2373"/>
      <c r="R10" s="2374"/>
      <c r="S10" s="2360"/>
      <c r="T10" s="2360"/>
      <c r="U10" s="2360"/>
      <c r="V10" s="2360"/>
      <c r="W10" s="2360"/>
      <c r="X10" s="2360"/>
      <c r="Y10" s="2360"/>
      <c r="Z10" s="2360"/>
      <c r="AA10" s="2360"/>
      <c r="AB10" s="2360"/>
      <c r="AC10" s="2360"/>
    </row>
    <row r="11" spans="1:29" s="117" customFormat="1" ht="15">
      <c r="A11" s="2376"/>
      <c r="B11" s="2367"/>
      <c r="C11" s="2362"/>
      <c r="D11" s="2362"/>
      <c r="E11" s="2362"/>
      <c r="F11" s="2367"/>
      <c r="G11" s="1150"/>
      <c r="H11" s="2373"/>
      <c r="I11" s="2374"/>
      <c r="J11" s="2375"/>
      <c r="K11" s="2373"/>
      <c r="L11" s="2374"/>
      <c r="M11" s="2375"/>
      <c r="N11" s="2373"/>
      <c r="O11" s="2374"/>
      <c r="P11" s="2375"/>
      <c r="Q11" s="2373"/>
      <c r="R11" s="2374"/>
      <c r="S11" s="2360"/>
      <c r="T11" s="2360"/>
      <c r="U11" s="2360"/>
      <c r="V11" s="2360"/>
      <c r="W11" s="2360"/>
      <c r="X11" s="2360"/>
      <c r="Y11" s="2360"/>
      <c r="Z11" s="2360"/>
      <c r="AA11" s="2360"/>
      <c r="AB11" s="2360"/>
      <c r="AC11" s="2360"/>
    </row>
    <row r="12" spans="1:29" s="2354" customFormat="1" ht="18">
      <c r="A12" s="2376"/>
      <c r="B12" s="2367"/>
      <c r="C12" s="2362"/>
      <c r="D12" s="2377"/>
      <c r="E12" s="2362"/>
      <c r="F12" s="2367"/>
      <c r="G12" s="1150"/>
      <c r="H12" s="2378"/>
      <c r="I12" s="2379"/>
      <c r="J12" s="2378"/>
      <c r="K12" s="2378"/>
      <c r="L12" s="2380"/>
      <c r="M12" s="2378"/>
      <c r="N12" s="2381"/>
      <c r="O12" s="2382"/>
      <c r="P12" s="2381"/>
      <c r="Q12" s="2381"/>
      <c r="R12" s="2352"/>
      <c r="S12" s="2353"/>
      <c r="T12" s="2353"/>
      <c r="U12" s="2353"/>
      <c r="V12" s="2353"/>
      <c r="W12" s="2353"/>
      <c r="X12" s="2353"/>
      <c r="Y12" s="2353"/>
      <c r="Z12" s="2353"/>
      <c r="AA12" s="2353"/>
      <c r="AB12" s="2353"/>
      <c r="AC12" s="2353"/>
    </row>
    <row r="13" spans="1:29" ht="19.5" thickBot="1">
      <c r="A13" s="2383" t="s">
        <v>2094</v>
      </c>
      <c r="B13" s="2377"/>
      <c r="C13" s="2377"/>
      <c r="D13" s="2384"/>
      <c r="E13" s="2377"/>
      <c r="F13" s="2377"/>
      <c r="G13" s="2377"/>
    </row>
    <row r="14" spans="1:29" ht="15.75" thickBot="1">
      <c r="A14" s="2388"/>
      <c r="B14" s="2389"/>
      <c r="C14" s="2390" t="s">
        <v>2095</v>
      </c>
      <c r="D14" s="2362"/>
      <c r="E14" s="2391"/>
      <c r="F14" s="2391"/>
      <c r="G14" s="2357" t="s">
        <v>2096</v>
      </c>
    </row>
    <row r="15" spans="1:29" ht="42.75">
      <c r="A15" s="68" t="s">
        <v>2097</v>
      </c>
      <c r="B15" s="1266" t="s">
        <v>2078</v>
      </c>
      <c r="C15" s="2392" t="str">
        <f>C3</f>
        <v>估价对象所在区域住宅社区较少，分布密度较差，入住率较低，综合评价居住社区成熟度较差。</v>
      </c>
      <c r="D15" s="2362"/>
      <c r="E15" s="2393" t="s">
        <v>2098</v>
      </c>
      <c r="F15" s="1266" t="s">
        <v>2099</v>
      </c>
      <c r="G15" s="135" t="str">
        <f>G3</f>
        <v>估价对象位于XX开发区，园区建设成熟度XX，产业集聚程度XX</v>
      </c>
    </row>
    <row r="16" spans="1:29" ht="42.75">
      <c r="A16" s="645"/>
      <c r="B16" s="2394" t="s">
        <v>2081</v>
      </c>
      <c r="C16" s="2395" t="str">
        <f>C4</f>
        <v>估价对象所在区域商业中心较少，商业氛围较差，综合评价商业繁华度较差。</v>
      </c>
      <c r="D16" s="2362"/>
      <c r="E16" s="2396"/>
      <c r="F16" s="2397" t="s">
        <v>2082</v>
      </c>
      <c r="G16" s="136" t="str">
        <f>G4</f>
        <v>估价对象周边道路状况、公共交通通达情况、停车便捷程度，综合评价交通便捷度较好</v>
      </c>
    </row>
    <row r="17" spans="1:18" ht="15">
      <c r="A17" s="645"/>
      <c r="B17" s="2394" t="s">
        <v>2084</v>
      </c>
      <c r="C17" s="2395" t="str">
        <f>C5</f>
        <v>——</v>
      </c>
      <c r="D17" s="2367"/>
      <c r="E17" s="2396"/>
      <c r="F17" s="2397" t="s">
        <v>2100</v>
      </c>
      <c r="G17" s="1567"/>
    </row>
    <row r="18" spans="1:18" ht="42.75">
      <c r="A18" s="645"/>
      <c r="B18" s="2397" t="s">
        <v>2087</v>
      </c>
      <c r="C18" s="136" t="str">
        <f>C6</f>
        <v>估价对象邻近昆磨高速，公共交通线路较少，路网密集度一般，停车便捷程度较好，综合评价交通便捷度一般。</v>
      </c>
      <c r="D18" s="2367"/>
      <c r="E18" s="2396"/>
      <c r="F18" s="2397" t="s">
        <v>2090</v>
      </c>
      <c r="G18" s="136" t="str">
        <f>G7</f>
        <v>该园区内是否有污染型企业，绿化情况，卫生条件，整体环境状况判断</v>
      </c>
    </row>
    <row r="19" spans="1:18" ht="28.5">
      <c r="A19" s="645"/>
      <c r="B19" s="2397" t="s">
        <v>2101</v>
      </c>
      <c r="C19" s="3351" t="s">
        <v>3529</v>
      </c>
      <c r="D19" s="2362"/>
      <c r="E19" s="2396"/>
      <c r="F19" s="1793" t="s">
        <v>2085</v>
      </c>
      <c r="G19" s="136" t="str">
        <f>G5</f>
        <v>估价对象所在区域公共配套设施齐备情况</v>
      </c>
    </row>
    <row r="20" spans="1:18" ht="42.75">
      <c r="A20" s="645"/>
      <c r="B20" s="2397" t="s">
        <v>2102</v>
      </c>
      <c r="C20" s="2395" t="str">
        <f>C9</f>
        <v>估价对象所在区域无公园等自然环境设施，自然环境较差；所在区域无博物馆等人文设施，人文设施较差，综合评价自然及人文环境状况较差。</v>
      </c>
      <c r="D20" s="2367"/>
      <c r="E20" s="2396"/>
      <c r="F20" s="1793" t="s">
        <v>2103</v>
      </c>
      <c r="G20" s="136" t="str">
        <f>G6</f>
        <v>估价对象所在区域基础设施水平</v>
      </c>
    </row>
    <row r="21" spans="1:18" ht="28.5">
      <c r="A21" s="645"/>
      <c r="B21" s="1793" t="s">
        <v>2085</v>
      </c>
      <c r="C21" s="136" t="str">
        <f>C7</f>
        <v>估价对象所在区域公共配套设施齐备情况较差。</v>
      </c>
      <c r="D21" s="2362"/>
      <c r="E21" s="2396"/>
      <c r="F21" s="2397" t="s">
        <v>2104</v>
      </c>
      <c r="G21" s="2398"/>
    </row>
    <row r="22" spans="1:18" ht="13.5" customHeight="1">
      <c r="A22" s="645"/>
      <c r="B22" s="1793" t="s">
        <v>2088</v>
      </c>
      <c r="C22" s="136" t="str">
        <f>C8</f>
        <v>估价对象所在区域基础设施水平达“六通”。</v>
      </c>
      <c r="D22" s="2362"/>
      <c r="E22" s="2396"/>
      <c r="F22" s="2397" t="s">
        <v>2093</v>
      </c>
      <c r="G22" s="1567"/>
    </row>
    <row r="23" spans="1:18" s="2360" customFormat="1" ht="15.75" thickBot="1">
      <c r="A23" s="645"/>
      <c r="B23" s="2397" t="s">
        <v>2104</v>
      </c>
      <c r="C23" s="2398"/>
      <c r="D23" s="2385"/>
      <c r="E23" s="2399"/>
      <c r="F23" s="2400" t="s">
        <v>2105</v>
      </c>
      <c r="G23" s="2401"/>
      <c r="H23" s="2385"/>
      <c r="I23" s="2386"/>
      <c r="J23" s="2385"/>
      <c r="K23" s="2385"/>
      <c r="L23" s="2386"/>
      <c r="M23" s="2385"/>
      <c r="N23" s="2385"/>
      <c r="O23" s="2386"/>
      <c r="P23" s="2385"/>
      <c r="Q23" s="2385"/>
      <c r="R23" s="2387"/>
    </row>
    <row r="24" spans="1:18" s="2360" customFormat="1" ht="15.75" thickBot="1">
      <c r="A24" s="2402"/>
      <c r="B24" s="2400" t="s">
        <v>2106</v>
      </c>
      <c r="C24" s="137" t="str">
        <f>C10</f>
        <v>城市支路—未命名道路</v>
      </c>
      <c r="D24" s="2385"/>
      <c r="E24" s="2403"/>
      <c r="F24" s="2403"/>
      <c r="G24" s="2404"/>
      <c r="H24" s="2385"/>
      <c r="I24" s="2386"/>
      <c r="J24" s="2385"/>
      <c r="K24" s="2385"/>
      <c r="L24" s="2386"/>
      <c r="M24" s="2385"/>
      <c r="N24" s="2385"/>
      <c r="O24" s="2386"/>
      <c r="P24" s="2385"/>
      <c r="Q24" s="2385"/>
      <c r="R24" s="2387"/>
    </row>
    <row r="25" spans="1:18" s="2360" customFormat="1">
      <c r="B25" s="2385"/>
      <c r="C25" s="2385"/>
      <c r="D25" s="2385"/>
      <c r="H25" s="2385"/>
      <c r="I25" s="2386"/>
      <c r="J25" s="2385"/>
      <c r="K25" s="2385"/>
      <c r="L25" s="2386"/>
      <c r="M25" s="2385"/>
      <c r="N25" s="2385"/>
      <c r="O25" s="2386"/>
      <c r="P25" s="2385"/>
      <c r="Q25" s="2385"/>
      <c r="R25" s="2387"/>
    </row>
    <row r="26" spans="1:18" s="2360" customFormat="1">
      <c r="B26" s="2385"/>
      <c r="C26" s="2385"/>
      <c r="D26" s="2385"/>
      <c r="H26" s="2385"/>
      <c r="I26" s="2386"/>
      <c r="J26" s="2385"/>
      <c r="K26" s="2385"/>
      <c r="L26" s="2386"/>
      <c r="M26" s="2385"/>
      <c r="N26" s="2385"/>
      <c r="O26" s="2386"/>
      <c r="P26" s="2385"/>
      <c r="Q26" s="2385"/>
      <c r="R26" s="2387"/>
    </row>
    <row r="27" spans="1:18" s="2360" customFormat="1">
      <c r="B27" s="2385"/>
      <c r="C27" s="2385"/>
      <c r="D27" s="2385"/>
      <c r="H27" s="2385"/>
      <c r="I27" s="2386"/>
      <c r="J27" s="2385"/>
      <c r="K27" s="2385"/>
      <c r="L27" s="2386"/>
      <c r="M27" s="2385"/>
      <c r="N27" s="2385"/>
      <c r="O27" s="2386"/>
      <c r="P27" s="2385"/>
      <c r="Q27" s="2385"/>
      <c r="R27" s="2387"/>
    </row>
    <row r="28" spans="1:18" s="2360" customFormat="1">
      <c r="B28" s="2385"/>
      <c r="C28" s="2385"/>
      <c r="D28" s="2385"/>
      <c r="H28" s="2385"/>
      <c r="I28" s="2386"/>
      <c r="J28" s="2385"/>
      <c r="K28" s="2385"/>
      <c r="L28" s="2386"/>
      <c r="M28" s="2385"/>
      <c r="N28" s="2385"/>
      <c r="O28" s="2386"/>
      <c r="P28" s="2385"/>
      <c r="Q28" s="2385"/>
      <c r="R28" s="2387"/>
    </row>
    <row r="29" spans="1:18" s="2360" customFormat="1">
      <c r="B29" s="2385"/>
      <c r="C29" s="2385"/>
      <c r="D29" s="2385"/>
      <c r="H29" s="2385"/>
      <c r="I29" s="2386"/>
      <c r="J29" s="2385"/>
      <c r="K29" s="2385"/>
      <c r="L29" s="2386"/>
      <c r="M29" s="2385"/>
      <c r="N29" s="2385"/>
      <c r="O29" s="2386"/>
      <c r="P29" s="2385"/>
      <c r="Q29" s="2385"/>
      <c r="R29" s="2387"/>
    </row>
    <row r="30" spans="1:18" s="2360" customFormat="1">
      <c r="B30" s="2385"/>
      <c r="C30" s="2385"/>
      <c r="D30" s="2385"/>
      <c r="H30" s="2385"/>
      <c r="I30" s="2386"/>
      <c r="J30" s="2385"/>
      <c r="K30" s="2385"/>
      <c r="L30" s="2386"/>
      <c r="M30" s="2385"/>
      <c r="N30" s="2385"/>
      <c r="O30" s="2386"/>
      <c r="P30" s="2385"/>
      <c r="Q30" s="2385"/>
      <c r="R30" s="2387"/>
    </row>
    <row r="31" spans="1:18" s="2360" customFormat="1">
      <c r="B31" s="2385"/>
      <c r="C31" s="2385"/>
      <c r="D31" s="2385"/>
      <c r="H31" s="2385"/>
      <c r="I31" s="2386"/>
      <c r="J31" s="2385"/>
      <c r="K31" s="2385"/>
      <c r="L31" s="2386"/>
      <c r="M31" s="2385"/>
      <c r="N31" s="2385"/>
      <c r="O31" s="2386"/>
      <c r="P31" s="2385"/>
      <c r="Q31" s="2385"/>
      <c r="R31" s="2387"/>
    </row>
    <row r="32" spans="1:18" s="2360" customFormat="1">
      <c r="B32" s="2385"/>
      <c r="C32" s="2385"/>
      <c r="D32" s="2385"/>
      <c r="H32" s="2385"/>
      <c r="I32" s="2386"/>
      <c r="J32" s="2385"/>
      <c r="K32" s="2385"/>
      <c r="L32" s="2386"/>
      <c r="M32" s="2385"/>
      <c r="N32" s="2385"/>
      <c r="O32" s="2386"/>
      <c r="P32" s="2385"/>
      <c r="Q32" s="2385"/>
      <c r="R32" s="2387"/>
    </row>
    <row r="33" spans="2:18" s="2360" customFormat="1">
      <c r="B33" s="2385"/>
      <c r="C33" s="2385"/>
      <c r="D33" s="2385"/>
      <c r="H33" s="2385"/>
      <c r="I33" s="2386"/>
      <c r="J33" s="2385"/>
      <c r="K33" s="2385"/>
      <c r="L33" s="2386"/>
      <c r="M33" s="2385"/>
      <c r="N33" s="2385"/>
      <c r="O33" s="2386"/>
      <c r="P33" s="2385"/>
      <c r="Q33" s="2385"/>
      <c r="R33" s="2387"/>
    </row>
    <row r="34" spans="2:18" s="2360" customFormat="1">
      <c r="B34" s="2385"/>
      <c r="C34" s="2385"/>
      <c r="D34" s="2385"/>
      <c r="H34" s="2385"/>
      <c r="I34" s="2386"/>
      <c r="J34" s="2385"/>
      <c r="K34" s="2385"/>
      <c r="L34" s="2386"/>
      <c r="M34" s="2385"/>
      <c r="N34" s="2385"/>
      <c r="O34" s="2386"/>
      <c r="P34" s="2385"/>
      <c r="Q34" s="2385"/>
      <c r="R34" s="2387"/>
    </row>
    <row r="35" spans="2:18" s="2360" customFormat="1">
      <c r="B35" s="2385"/>
      <c r="C35" s="2385"/>
      <c r="D35" s="2385"/>
      <c r="H35" s="2385"/>
      <c r="I35" s="2386"/>
      <c r="J35" s="2385"/>
      <c r="K35" s="2385"/>
      <c r="L35" s="2386"/>
      <c r="M35" s="2385"/>
      <c r="N35" s="2385"/>
      <c r="O35" s="2386"/>
      <c r="P35" s="2385"/>
      <c r="Q35" s="2385"/>
      <c r="R35" s="2387"/>
    </row>
    <row r="36" spans="2:18" s="2360" customFormat="1">
      <c r="B36" s="2385"/>
      <c r="C36" s="2385"/>
      <c r="D36" s="2385"/>
      <c r="H36" s="2385"/>
      <c r="I36" s="2386"/>
      <c r="J36" s="2385"/>
      <c r="K36" s="2385"/>
      <c r="L36" s="2386"/>
      <c r="M36" s="2385"/>
      <c r="N36" s="2385"/>
      <c r="O36" s="2386"/>
      <c r="P36" s="2385"/>
      <c r="Q36" s="2385"/>
      <c r="R36" s="2387"/>
    </row>
    <row r="37" spans="2:18" s="2360" customFormat="1">
      <c r="B37" s="2385"/>
      <c r="C37" s="2385"/>
      <c r="D37" s="2385"/>
      <c r="H37" s="2385"/>
      <c r="I37" s="2386"/>
      <c r="J37" s="2385"/>
      <c r="K37" s="2385"/>
      <c r="L37" s="2386"/>
      <c r="M37" s="2385"/>
      <c r="N37" s="2385"/>
      <c r="O37" s="2386"/>
      <c r="P37" s="2385"/>
      <c r="Q37" s="2385"/>
      <c r="R37" s="2387"/>
    </row>
    <row r="38" spans="2:18" s="2360" customFormat="1">
      <c r="B38" s="2385"/>
      <c r="C38" s="2385"/>
      <c r="D38" s="2385"/>
      <c r="E38" s="2385"/>
      <c r="F38" s="2385"/>
      <c r="G38" s="2386"/>
      <c r="H38" s="2385"/>
      <c r="I38" s="2386"/>
      <c r="J38" s="2385"/>
      <c r="K38" s="2385"/>
      <c r="L38" s="2386"/>
      <c r="M38" s="2385"/>
      <c r="N38" s="2385"/>
      <c r="O38" s="2386"/>
      <c r="P38" s="2385"/>
      <c r="Q38" s="2385"/>
      <c r="R38" s="2387"/>
    </row>
    <row r="39" spans="2:18" s="2360" customFormat="1">
      <c r="B39" s="2385"/>
      <c r="C39" s="2385"/>
      <c r="D39" s="2385"/>
      <c r="E39" s="2385"/>
      <c r="F39" s="2385"/>
      <c r="G39" s="2386"/>
      <c r="H39" s="2385"/>
      <c r="I39" s="2386"/>
      <c r="J39" s="2385"/>
      <c r="K39" s="2385"/>
      <c r="L39" s="2386"/>
      <c r="M39" s="2385"/>
      <c r="N39" s="2385"/>
      <c r="O39" s="2386"/>
      <c r="P39" s="2385"/>
      <c r="Q39" s="2385"/>
      <c r="R39" s="2387"/>
    </row>
    <row r="40" spans="2:18" s="2360" customFormat="1">
      <c r="B40" s="2385"/>
      <c r="C40" s="2385"/>
      <c r="D40" s="2385"/>
      <c r="E40" s="2385"/>
      <c r="F40" s="2385"/>
      <c r="G40" s="2386"/>
      <c r="H40" s="2385"/>
      <c r="I40" s="2386"/>
      <c r="J40" s="2385"/>
      <c r="K40" s="2385"/>
      <c r="L40" s="2386"/>
      <c r="M40" s="2385"/>
      <c r="N40" s="2385"/>
      <c r="O40" s="2386"/>
      <c r="P40" s="2385"/>
      <c r="Q40" s="2385"/>
      <c r="R40" s="2387"/>
    </row>
    <row r="41" spans="2:18" s="2360" customFormat="1">
      <c r="B41" s="2385"/>
      <c r="C41" s="2385"/>
      <c r="D41" s="2385"/>
      <c r="E41" s="2385"/>
      <c r="F41" s="2385"/>
      <c r="G41" s="2386"/>
      <c r="H41" s="2385"/>
      <c r="I41" s="2386"/>
      <c r="J41" s="2385"/>
      <c r="K41" s="2385"/>
      <c r="L41" s="2386"/>
      <c r="M41" s="2385"/>
      <c r="N41" s="2385"/>
      <c r="O41" s="2386"/>
      <c r="P41" s="2385"/>
      <c r="Q41" s="2385"/>
      <c r="R41" s="2387"/>
    </row>
    <row r="42" spans="2:18" s="2360" customFormat="1">
      <c r="B42" s="2385"/>
      <c r="C42" s="2385"/>
      <c r="D42" s="2385"/>
      <c r="E42" s="2385"/>
      <c r="F42" s="2385"/>
      <c r="G42" s="2386"/>
      <c r="H42" s="2385"/>
      <c r="I42" s="2386"/>
      <c r="J42" s="2385"/>
      <c r="K42" s="2385"/>
      <c r="L42" s="2386"/>
      <c r="M42" s="2385"/>
      <c r="N42" s="2385"/>
      <c r="O42" s="2386"/>
      <c r="P42" s="2385"/>
      <c r="Q42" s="2385"/>
      <c r="R42" s="2387"/>
    </row>
    <row r="43" spans="2:18" s="2360" customFormat="1">
      <c r="B43" s="2385"/>
      <c r="C43" s="2385"/>
      <c r="D43" s="2385"/>
      <c r="E43" s="2385"/>
      <c r="F43" s="2385"/>
      <c r="G43" s="2386"/>
      <c r="H43" s="2385"/>
      <c r="I43" s="2386"/>
      <c r="J43" s="2385"/>
      <c r="K43" s="2385"/>
      <c r="L43" s="2386"/>
      <c r="M43" s="2385"/>
      <c r="N43" s="2385"/>
      <c r="O43" s="2386"/>
      <c r="P43" s="2385"/>
      <c r="Q43" s="2385"/>
      <c r="R43" s="2387"/>
    </row>
    <row r="44" spans="2:18" s="2360" customFormat="1">
      <c r="B44" s="2385"/>
      <c r="C44" s="2385"/>
      <c r="D44" s="2385"/>
      <c r="E44" s="2385"/>
      <c r="F44" s="2385"/>
      <c r="G44" s="2386"/>
      <c r="H44" s="2385"/>
      <c r="I44" s="2386"/>
      <c r="J44" s="2385"/>
      <c r="K44" s="2385"/>
      <c r="L44" s="2386"/>
      <c r="M44" s="2385"/>
      <c r="N44" s="2385"/>
      <c r="O44" s="2386"/>
      <c r="P44" s="2385"/>
      <c r="Q44" s="2385"/>
      <c r="R44" s="2387"/>
    </row>
    <row r="45" spans="2:18" s="2360" customFormat="1">
      <c r="B45" s="2385"/>
      <c r="C45" s="2385"/>
      <c r="D45" s="2385"/>
      <c r="E45" s="2385"/>
      <c r="F45" s="2385"/>
      <c r="G45" s="2386"/>
      <c r="H45" s="2385"/>
      <c r="I45" s="2386"/>
      <c r="J45" s="2385"/>
      <c r="K45" s="2385"/>
      <c r="L45" s="2386"/>
      <c r="M45" s="2385"/>
      <c r="N45" s="2385"/>
      <c r="O45" s="2386"/>
      <c r="P45" s="2385"/>
      <c r="Q45" s="2385"/>
      <c r="R45" s="2387"/>
    </row>
    <row r="46" spans="2:18" s="2360" customFormat="1">
      <c r="B46" s="2385"/>
      <c r="C46" s="2385"/>
      <c r="D46" s="2385"/>
      <c r="E46" s="2385"/>
      <c r="F46" s="2385"/>
      <c r="G46" s="2386"/>
      <c r="H46" s="2385"/>
      <c r="I46" s="2386"/>
      <c r="J46" s="2385"/>
      <c r="K46" s="2385"/>
      <c r="L46" s="2386"/>
      <c r="M46" s="2385"/>
      <c r="N46" s="2385"/>
      <c r="O46" s="2386"/>
      <c r="P46" s="2385"/>
      <c r="Q46" s="2385"/>
      <c r="R46" s="2387"/>
    </row>
    <row r="47" spans="2:18" s="2360" customFormat="1">
      <c r="B47" s="2385"/>
      <c r="C47" s="2385"/>
      <c r="D47" s="2385"/>
      <c r="E47" s="2385"/>
      <c r="F47" s="2385"/>
      <c r="G47" s="2386"/>
      <c r="H47" s="2385"/>
      <c r="I47" s="2386"/>
      <c r="J47" s="2385"/>
      <c r="K47" s="2385"/>
      <c r="L47" s="2386"/>
      <c r="M47" s="2385"/>
      <c r="N47" s="2385"/>
      <c r="O47" s="2386"/>
      <c r="P47" s="2385"/>
      <c r="Q47" s="2385"/>
      <c r="R47" s="2387"/>
    </row>
    <row r="48" spans="2:18" s="2360" customFormat="1">
      <c r="B48" s="2385"/>
      <c r="C48" s="2385"/>
      <c r="D48" s="2385"/>
      <c r="E48" s="2385"/>
      <c r="F48" s="2385"/>
      <c r="G48" s="2386"/>
      <c r="H48" s="2385"/>
      <c r="I48" s="2386"/>
      <c r="J48" s="2385"/>
      <c r="K48" s="2385"/>
      <c r="L48" s="2386"/>
      <c r="M48" s="2385"/>
      <c r="N48" s="2385"/>
      <c r="O48" s="2386"/>
      <c r="P48" s="2385"/>
      <c r="Q48" s="2385"/>
      <c r="R48" s="2387"/>
    </row>
    <row r="49" spans="2:18" s="2360" customFormat="1">
      <c r="B49" s="2385"/>
      <c r="C49" s="2385"/>
      <c r="D49" s="2385"/>
      <c r="E49" s="2385"/>
      <c r="F49" s="2385"/>
      <c r="G49" s="2386"/>
      <c r="H49" s="2385"/>
      <c r="I49" s="2386"/>
      <c r="J49" s="2385"/>
      <c r="K49" s="2385"/>
      <c r="L49" s="2386"/>
      <c r="M49" s="2385"/>
      <c r="N49" s="2385"/>
      <c r="O49" s="2386"/>
      <c r="P49" s="2385"/>
      <c r="Q49" s="2385"/>
      <c r="R49" s="2387"/>
    </row>
    <row r="50" spans="2:18" s="2360" customFormat="1">
      <c r="B50" s="2385"/>
      <c r="C50" s="2385"/>
      <c r="D50" s="2385"/>
      <c r="E50" s="2385"/>
      <c r="F50" s="2385"/>
      <c r="G50" s="2386"/>
      <c r="H50" s="2385"/>
      <c r="I50" s="2386"/>
      <c r="J50" s="2385"/>
      <c r="K50" s="2385"/>
      <c r="L50" s="2386"/>
      <c r="M50" s="2385"/>
      <c r="N50" s="2385"/>
      <c r="O50" s="2386"/>
      <c r="P50" s="2385"/>
      <c r="Q50" s="2385"/>
      <c r="R50" s="2387"/>
    </row>
    <row r="51" spans="2:18" s="2360" customFormat="1">
      <c r="B51" s="2385"/>
      <c r="C51" s="2385"/>
      <c r="D51" s="2385"/>
      <c r="E51" s="2385"/>
      <c r="F51" s="2385"/>
      <c r="G51" s="2386"/>
      <c r="H51" s="2385"/>
      <c r="I51" s="2386"/>
      <c r="J51" s="2385"/>
      <c r="K51" s="2385"/>
      <c r="L51" s="2386"/>
      <c r="M51" s="2385"/>
      <c r="N51" s="2385"/>
      <c r="O51" s="2386"/>
      <c r="P51" s="2385"/>
      <c r="Q51" s="2385"/>
      <c r="R51" s="2387"/>
    </row>
    <row r="52" spans="2:18" s="2360" customFormat="1">
      <c r="B52" s="2385"/>
      <c r="C52" s="2385"/>
      <c r="D52" s="2385"/>
      <c r="E52" s="2385"/>
      <c r="F52" s="2385"/>
      <c r="G52" s="2386"/>
      <c r="H52" s="2385"/>
      <c r="I52" s="2386"/>
      <c r="J52" s="2385"/>
      <c r="K52" s="2385"/>
      <c r="L52" s="2386"/>
      <c r="M52" s="2385"/>
      <c r="N52" s="2385"/>
      <c r="O52" s="2386"/>
      <c r="P52" s="2385"/>
      <c r="Q52" s="2385"/>
      <c r="R52" s="2387"/>
    </row>
    <row r="53" spans="2:18" s="2360" customFormat="1">
      <c r="B53" s="2385"/>
      <c r="C53" s="2385"/>
      <c r="D53" s="2385"/>
      <c r="E53" s="2385"/>
      <c r="F53" s="2385"/>
      <c r="G53" s="2386"/>
      <c r="H53" s="2385"/>
      <c r="I53" s="2386"/>
      <c r="J53" s="2385"/>
      <c r="K53" s="2385"/>
      <c r="L53" s="2386"/>
      <c r="M53" s="2385"/>
      <c r="N53" s="2385"/>
      <c r="O53" s="2386"/>
      <c r="P53" s="2385"/>
      <c r="Q53" s="2385"/>
      <c r="R53" s="2387"/>
    </row>
    <row r="54" spans="2:18" s="2360" customFormat="1">
      <c r="B54" s="2385"/>
      <c r="C54" s="2385"/>
      <c r="D54" s="2385"/>
      <c r="E54" s="2385"/>
      <c r="F54" s="2385"/>
      <c r="G54" s="2386"/>
      <c r="H54" s="2385"/>
      <c r="I54" s="2386"/>
      <c r="J54" s="2385"/>
      <c r="K54" s="2385"/>
      <c r="L54" s="2386"/>
      <c r="M54" s="2385"/>
      <c r="N54" s="2385"/>
      <c r="O54" s="2386"/>
      <c r="P54" s="2385"/>
      <c r="Q54" s="2385"/>
      <c r="R54" s="2387"/>
    </row>
    <row r="55" spans="2:18" s="2360" customFormat="1">
      <c r="B55" s="2385"/>
      <c r="C55" s="2385"/>
      <c r="D55" s="2385"/>
      <c r="E55" s="2385"/>
      <c r="F55" s="2385"/>
      <c r="G55" s="2386"/>
      <c r="H55" s="2385"/>
      <c r="I55" s="2386"/>
      <c r="J55" s="2385"/>
      <c r="K55" s="2385"/>
      <c r="L55" s="2386"/>
      <c r="M55" s="2385"/>
      <c r="N55" s="2385"/>
      <c r="O55" s="2386"/>
      <c r="P55" s="2385"/>
      <c r="Q55" s="2385"/>
      <c r="R55" s="2387"/>
    </row>
    <row r="56" spans="2:18" s="2360" customFormat="1">
      <c r="B56" s="2385"/>
      <c r="C56" s="2385"/>
      <c r="D56" s="2385"/>
      <c r="E56" s="2385"/>
      <c r="F56" s="2385"/>
      <c r="G56" s="2386"/>
      <c r="H56" s="2385"/>
      <c r="I56" s="2386"/>
      <c r="J56" s="2385"/>
      <c r="K56" s="2385"/>
      <c r="L56" s="2386"/>
      <c r="M56" s="2385"/>
      <c r="N56" s="2385"/>
      <c r="O56" s="2386"/>
      <c r="P56" s="2385"/>
      <c r="Q56" s="2385"/>
      <c r="R56" s="2387"/>
    </row>
    <row r="57" spans="2:18" s="2360" customFormat="1">
      <c r="B57" s="2385"/>
      <c r="C57" s="2385"/>
      <c r="D57" s="2385"/>
      <c r="E57" s="2385"/>
      <c r="F57" s="2385"/>
      <c r="G57" s="2386"/>
      <c r="H57" s="2385"/>
      <c r="I57" s="2386"/>
      <c r="J57" s="2385"/>
      <c r="K57" s="2385"/>
      <c r="L57" s="2386"/>
      <c r="M57" s="2385"/>
      <c r="N57" s="2385"/>
      <c r="O57" s="2386"/>
      <c r="P57" s="2385"/>
      <c r="Q57" s="2385"/>
      <c r="R57" s="2387"/>
    </row>
    <row r="58" spans="2:18" s="2360" customFormat="1">
      <c r="B58" s="2385"/>
      <c r="C58" s="2385"/>
      <c r="D58" s="2385"/>
      <c r="E58" s="2385"/>
      <c r="F58" s="2385"/>
      <c r="G58" s="2386"/>
      <c r="H58" s="2385"/>
      <c r="I58" s="2386"/>
      <c r="J58" s="2385"/>
      <c r="K58" s="2385"/>
      <c r="L58" s="2386"/>
      <c r="M58" s="2385"/>
      <c r="N58" s="2385"/>
      <c r="O58" s="2386"/>
      <c r="P58" s="2385"/>
      <c r="Q58" s="2385"/>
      <c r="R58" s="2387"/>
    </row>
    <row r="59" spans="2:18" s="2360" customFormat="1">
      <c r="B59" s="2385"/>
      <c r="C59" s="2385"/>
      <c r="D59" s="2385"/>
      <c r="E59" s="2385"/>
      <c r="F59" s="2385"/>
      <c r="G59" s="2386"/>
      <c r="H59" s="2385"/>
      <c r="I59" s="2386"/>
      <c r="J59" s="2385"/>
      <c r="K59" s="2385"/>
      <c r="L59" s="2386"/>
      <c r="M59" s="2385"/>
      <c r="N59" s="2385"/>
      <c r="O59" s="2386"/>
      <c r="P59" s="2385"/>
      <c r="Q59" s="2385"/>
      <c r="R59" s="2387"/>
    </row>
    <row r="60" spans="2:18" s="2360" customFormat="1">
      <c r="B60" s="2385"/>
      <c r="C60" s="2385"/>
      <c r="D60" s="2385"/>
      <c r="E60" s="2385"/>
      <c r="F60" s="2385"/>
      <c r="G60" s="2386"/>
      <c r="H60" s="2385"/>
      <c r="I60" s="2386"/>
      <c r="J60" s="2385"/>
      <c r="K60" s="2385"/>
      <c r="L60" s="2386"/>
      <c r="M60" s="2385"/>
      <c r="N60" s="2385"/>
      <c r="O60" s="2386"/>
      <c r="P60" s="2385"/>
      <c r="Q60" s="2385"/>
      <c r="R60" s="2387"/>
    </row>
    <row r="61" spans="2:18" s="2360" customFormat="1">
      <c r="B61" s="2385"/>
      <c r="C61" s="2385"/>
      <c r="D61" s="2385"/>
      <c r="E61" s="2385"/>
      <c r="F61" s="2385"/>
      <c r="G61" s="2386"/>
      <c r="H61" s="2385"/>
      <c r="I61" s="2386"/>
      <c r="J61" s="2385"/>
      <c r="K61" s="2385"/>
      <c r="L61" s="2386"/>
      <c r="M61" s="2385"/>
      <c r="N61" s="2385"/>
      <c r="O61" s="2386"/>
      <c r="P61" s="2385"/>
      <c r="Q61" s="2385"/>
      <c r="R61" s="2387"/>
    </row>
    <row r="62" spans="2:18" s="2360" customFormat="1">
      <c r="B62" s="2385"/>
      <c r="C62" s="2385"/>
      <c r="D62" s="2385"/>
      <c r="E62" s="2385"/>
      <c r="F62" s="2385"/>
      <c r="G62" s="2386"/>
      <c r="H62" s="2385"/>
      <c r="I62" s="2386"/>
      <c r="J62" s="2385"/>
      <c r="K62" s="2385"/>
      <c r="L62" s="2386"/>
      <c r="M62" s="2385"/>
      <c r="N62" s="2385"/>
      <c r="O62" s="2386"/>
      <c r="P62" s="2385"/>
      <c r="Q62" s="2385"/>
      <c r="R62" s="2387"/>
    </row>
    <row r="63" spans="2:18" s="2360" customFormat="1">
      <c r="B63" s="2385"/>
      <c r="C63" s="2385"/>
      <c r="D63" s="2385"/>
      <c r="E63" s="2385"/>
      <c r="F63" s="2385"/>
      <c r="G63" s="2386"/>
      <c r="H63" s="2385"/>
      <c r="I63" s="2386"/>
      <c r="J63" s="2385"/>
      <c r="K63" s="2385"/>
      <c r="L63" s="2386"/>
      <c r="M63" s="2385"/>
      <c r="N63" s="2385"/>
      <c r="O63" s="2386"/>
      <c r="P63" s="2385"/>
      <c r="Q63" s="2385"/>
      <c r="R63" s="2387"/>
    </row>
    <row r="64" spans="2:18" s="2360" customFormat="1">
      <c r="B64" s="2385"/>
      <c r="C64" s="2385"/>
      <c r="D64" s="2385"/>
      <c r="E64" s="2385"/>
      <c r="F64" s="2385"/>
      <c r="G64" s="2386"/>
      <c r="H64" s="2385"/>
      <c r="I64" s="2386"/>
      <c r="J64" s="2385"/>
      <c r="K64" s="2385"/>
      <c r="L64" s="2386"/>
      <c r="M64" s="2385"/>
      <c r="N64" s="2385"/>
      <c r="O64" s="2386"/>
      <c r="P64" s="2385"/>
      <c r="Q64" s="2385"/>
      <c r="R64" s="2387"/>
    </row>
    <row r="65" spans="2:18" s="2360" customFormat="1">
      <c r="B65" s="2385"/>
      <c r="C65" s="2385"/>
      <c r="D65" s="2385"/>
      <c r="E65" s="2385"/>
      <c r="F65" s="2385"/>
      <c r="G65" s="2386"/>
      <c r="H65" s="2385"/>
      <c r="I65" s="2386"/>
      <c r="J65" s="2385"/>
      <c r="K65" s="2385"/>
      <c r="L65" s="2386"/>
      <c r="M65" s="2385"/>
      <c r="N65" s="2385"/>
      <c r="O65" s="2386"/>
      <c r="P65" s="2385"/>
      <c r="Q65" s="2385"/>
      <c r="R65" s="2387"/>
    </row>
    <row r="66" spans="2:18" s="2360" customFormat="1">
      <c r="B66" s="2385"/>
      <c r="C66" s="2385"/>
      <c r="D66" s="2385"/>
      <c r="E66" s="2385"/>
      <c r="F66" s="2385"/>
      <c r="G66" s="2386"/>
      <c r="H66" s="2385"/>
      <c r="I66" s="2386"/>
      <c r="J66" s="2385"/>
      <c r="K66" s="2385"/>
      <c r="L66" s="2386"/>
      <c r="M66" s="2385"/>
      <c r="N66" s="2385"/>
      <c r="O66" s="2386"/>
      <c r="P66" s="2385"/>
      <c r="Q66" s="2385"/>
      <c r="R66" s="2387"/>
    </row>
    <row r="67" spans="2:18" s="2360" customFormat="1">
      <c r="B67" s="2385"/>
      <c r="C67" s="2385"/>
      <c r="D67" s="2385"/>
      <c r="E67" s="2385"/>
      <c r="F67" s="2385"/>
      <c r="G67" s="2386"/>
      <c r="H67" s="2385"/>
      <c r="I67" s="2386"/>
      <c r="J67" s="2385"/>
      <c r="K67" s="2385"/>
      <c r="L67" s="2386"/>
      <c r="M67" s="2385"/>
      <c r="N67" s="2385"/>
      <c r="O67" s="2386"/>
      <c r="P67" s="2385"/>
      <c r="Q67" s="2385"/>
      <c r="R67" s="2387"/>
    </row>
    <row r="68" spans="2:18" s="2360" customFormat="1">
      <c r="B68" s="2385"/>
      <c r="C68" s="2385"/>
      <c r="D68" s="2385"/>
      <c r="E68" s="2385"/>
      <c r="F68" s="2385"/>
      <c r="G68" s="2386"/>
      <c r="H68" s="2385"/>
      <c r="I68" s="2386"/>
      <c r="J68" s="2385"/>
      <c r="K68" s="2385"/>
      <c r="L68" s="2386"/>
      <c r="M68" s="2385"/>
      <c r="N68" s="2385"/>
      <c r="O68" s="2386"/>
      <c r="P68" s="2385"/>
      <c r="Q68" s="2385"/>
      <c r="R68" s="2387"/>
    </row>
    <row r="69" spans="2:18" s="2360" customFormat="1">
      <c r="B69" s="2385"/>
      <c r="C69" s="2385"/>
      <c r="D69" s="2385"/>
      <c r="E69" s="2385"/>
      <c r="F69" s="2385"/>
      <c r="G69" s="2386"/>
      <c r="H69" s="2385"/>
      <c r="I69" s="2386"/>
      <c r="J69" s="2385"/>
      <c r="K69" s="2385"/>
      <c r="L69" s="2386"/>
      <c r="M69" s="2385"/>
      <c r="N69" s="2385"/>
      <c r="O69" s="2386"/>
      <c r="P69" s="2385"/>
      <c r="Q69" s="2385"/>
      <c r="R69" s="2387"/>
    </row>
    <row r="70" spans="2:18" s="2360" customFormat="1">
      <c r="B70" s="2385"/>
      <c r="C70" s="2385"/>
      <c r="D70" s="2385"/>
      <c r="E70" s="2385"/>
      <c r="F70" s="2385"/>
      <c r="G70" s="2386"/>
      <c r="H70" s="2385"/>
      <c r="I70" s="2386"/>
      <c r="J70" s="2385"/>
      <c r="K70" s="2385"/>
      <c r="L70" s="2386"/>
      <c r="M70" s="2385"/>
      <c r="N70" s="2385"/>
      <c r="O70" s="2386"/>
      <c r="P70" s="2385"/>
      <c r="Q70" s="2385"/>
      <c r="R70" s="2387"/>
    </row>
    <row r="71" spans="2:18" s="2360" customFormat="1">
      <c r="B71" s="2385"/>
      <c r="C71" s="2385"/>
      <c r="D71" s="2385"/>
      <c r="E71" s="2385"/>
      <c r="F71" s="2385"/>
      <c r="G71" s="2386"/>
      <c r="H71" s="2385"/>
      <c r="I71" s="2386"/>
      <c r="J71" s="2385"/>
      <c r="K71" s="2385"/>
      <c r="L71" s="2386"/>
      <c r="M71" s="2385"/>
      <c r="N71" s="2385"/>
      <c r="O71" s="2386"/>
      <c r="P71" s="2385"/>
      <c r="Q71" s="2385"/>
      <c r="R71" s="2387"/>
    </row>
    <row r="72" spans="2:18" s="2360" customFormat="1">
      <c r="B72" s="2385"/>
      <c r="C72" s="2385"/>
      <c r="D72" s="2385"/>
      <c r="E72" s="2385"/>
      <c r="F72" s="2385"/>
      <c r="G72" s="2386"/>
      <c r="H72" s="2385"/>
      <c r="I72" s="2386"/>
      <c r="J72" s="2385"/>
      <c r="K72" s="2385"/>
      <c r="L72" s="2386"/>
      <c r="M72" s="2385"/>
      <c r="N72" s="2385"/>
      <c r="O72" s="2386"/>
      <c r="P72" s="2385"/>
      <c r="Q72" s="2385"/>
      <c r="R72" s="2387"/>
    </row>
    <row r="73" spans="2:18" s="2360" customFormat="1">
      <c r="B73" s="2385"/>
      <c r="C73" s="2385"/>
      <c r="D73" s="2385"/>
      <c r="E73" s="2385"/>
      <c r="F73" s="2385"/>
      <c r="G73" s="2386"/>
      <c r="H73" s="2385"/>
      <c r="I73" s="2386"/>
      <c r="J73" s="2385"/>
      <c r="K73" s="2385"/>
      <c r="L73" s="2386"/>
      <c r="M73" s="2385"/>
      <c r="N73" s="2385"/>
      <c r="O73" s="2386"/>
      <c r="P73" s="2385"/>
      <c r="Q73" s="2385"/>
      <c r="R73" s="2387"/>
    </row>
    <row r="74" spans="2:18" s="2360" customFormat="1">
      <c r="B74" s="2385"/>
      <c r="C74" s="2385"/>
      <c r="D74" s="2385"/>
      <c r="E74" s="2385"/>
      <c r="F74" s="2385"/>
      <c r="G74" s="2386"/>
      <c r="H74" s="2385"/>
      <c r="I74" s="2386"/>
      <c r="J74" s="2385"/>
      <c r="K74" s="2385"/>
      <c r="L74" s="2386"/>
      <c r="M74" s="2385"/>
      <c r="N74" s="2385"/>
      <c r="O74" s="2386"/>
      <c r="P74" s="2385"/>
      <c r="Q74" s="2385"/>
      <c r="R74" s="2387"/>
    </row>
    <row r="75" spans="2:18" s="2360" customFormat="1">
      <c r="B75" s="2385"/>
      <c r="C75" s="2385"/>
      <c r="D75" s="2385"/>
      <c r="E75" s="2385"/>
      <c r="F75" s="2385"/>
      <c r="G75" s="2386"/>
      <c r="H75" s="2385"/>
      <c r="I75" s="2386"/>
      <c r="J75" s="2385"/>
      <c r="K75" s="2385"/>
      <c r="L75" s="2386"/>
      <c r="M75" s="2385"/>
      <c r="N75" s="2385"/>
      <c r="O75" s="2386"/>
      <c r="P75" s="2385"/>
      <c r="Q75" s="2385"/>
      <c r="R75" s="2387"/>
    </row>
    <row r="76" spans="2:18" s="2360" customFormat="1">
      <c r="B76" s="2385"/>
      <c r="C76" s="2385"/>
      <c r="D76" s="2385"/>
      <c r="E76" s="2385"/>
      <c r="F76" s="2385"/>
      <c r="G76" s="2386"/>
      <c r="H76" s="2385"/>
      <c r="I76" s="2386"/>
      <c r="J76" s="2385"/>
      <c r="K76" s="2385"/>
      <c r="L76" s="2386"/>
      <c r="M76" s="2385"/>
      <c r="N76" s="2385"/>
      <c r="O76" s="2386"/>
      <c r="P76" s="2385"/>
      <c r="Q76" s="2385"/>
      <c r="R76" s="2387"/>
    </row>
    <row r="77" spans="2:18" s="2360" customFormat="1">
      <c r="B77" s="2385"/>
      <c r="C77" s="2385"/>
      <c r="D77" s="2385"/>
      <c r="E77" s="2385"/>
      <c r="F77" s="2385"/>
      <c r="G77" s="2386"/>
      <c r="H77" s="2385"/>
      <c r="I77" s="2386"/>
      <c r="J77" s="2385"/>
      <c r="K77" s="2385"/>
      <c r="L77" s="2386"/>
      <c r="M77" s="2385"/>
      <c r="N77" s="2385"/>
      <c r="O77" s="2386"/>
      <c r="P77" s="2385"/>
      <c r="Q77" s="2385"/>
      <c r="R77" s="2387"/>
    </row>
    <row r="78" spans="2:18" s="2360" customFormat="1">
      <c r="B78" s="2385"/>
      <c r="C78" s="2385"/>
      <c r="D78" s="2385"/>
      <c r="E78" s="2385"/>
      <c r="F78" s="2385"/>
      <c r="G78" s="2386"/>
      <c r="H78" s="2385"/>
      <c r="I78" s="2386"/>
      <c r="J78" s="2385"/>
      <c r="K78" s="2385"/>
      <c r="L78" s="2386"/>
      <c r="M78" s="2385"/>
      <c r="N78" s="2385"/>
      <c r="O78" s="2386"/>
      <c r="P78" s="2385"/>
      <c r="Q78" s="2385"/>
      <c r="R78" s="2387"/>
    </row>
    <row r="79" spans="2:18" s="2360" customFormat="1">
      <c r="B79" s="2385"/>
      <c r="C79" s="2385"/>
      <c r="D79" s="2385"/>
      <c r="E79" s="2385"/>
      <c r="F79" s="2385"/>
      <c r="G79" s="2386"/>
      <c r="H79" s="2385"/>
      <c r="I79" s="2386"/>
      <c r="J79" s="2385"/>
      <c r="K79" s="2385"/>
      <c r="L79" s="2386"/>
      <c r="M79" s="2385"/>
      <c r="N79" s="2385"/>
      <c r="O79" s="2386"/>
      <c r="P79" s="2385"/>
      <c r="Q79" s="2385"/>
      <c r="R79" s="2387"/>
    </row>
    <row r="80" spans="2:18" s="2360" customFormat="1">
      <c r="B80" s="2385"/>
      <c r="C80" s="2385"/>
      <c r="D80" s="2385"/>
      <c r="E80" s="2385"/>
      <c r="F80" s="2385"/>
      <c r="G80" s="2386"/>
      <c r="H80" s="2385"/>
      <c r="I80" s="2386"/>
      <c r="J80" s="2385"/>
      <c r="K80" s="2385"/>
      <c r="L80" s="2386"/>
      <c r="M80" s="2385"/>
      <c r="N80" s="2385"/>
      <c r="O80" s="2386"/>
      <c r="P80" s="2385"/>
      <c r="Q80" s="2385"/>
      <c r="R80" s="2387"/>
    </row>
    <row r="81" spans="2:18" s="2360" customFormat="1">
      <c r="B81" s="2385"/>
      <c r="C81" s="2385"/>
      <c r="D81" s="2385"/>
      <c r="E81" s="2385"/>
      <c r="F81" s="2385"/>
      <c r="G81" s="2386"/>
      <c r="H81" s="2385"/>
      <c r="I81" s="2386"/>
      <c r="J81" s="2385"/>
      <c r="K81" s="2385"/>
      <c r="L81" s="2386"/>
      <c r="M81" s="2385"/>
      <c r="N81" s="2385"/>
      <c r="O81" s="2386"/>
      <c r="P81" s="2385"/>
      <c r="Q81" s="2385"/>
      <c r="R81" s="2387"/>
    </row>
    <row r="82" spans="2:18" s="2360" customFormat="1">
      <c r="B82" s="2385"/>
      <c r="C82" s="2385"/>
      <c r="D82" s="2385"/>
      <c r="E82" s="2385"/>
      <c r="F82" s="2385"/>
      <c r="G82" s="2386"/>
      <c r="H82" s="2385"/>
      <c r="I82" s="2386"/>
      <c r="J82" s="2385"/>
      <c r="K82" s="2385"/>
      <c r="L82" s="2386"/>
      <c r="M82" s="2385"/>
      <c r="N82" s="2385"/>
      <c r="O82" s="2386"/>
      <c r="P82" s="2385"/>
      <c r="Q82" s="2385"/>
      <c r="R82" s="2387"/>
    </row>
    <row r="83" spans="2:18" s="2360" customFormat="1">
      <c r="B83" s="2385"/>
      <c r="C83" s="2385"/>
      <c r="D83" s="2385"/>
      <c r="E83" s="2385"/>
      <c r="F83" s="2385"/>
      <c r="G83" s="2386"/>
      <c r="H83" s="2385"/>
      <c r="I83" s="2386"/>
      <c r="J83" s="2385"/>
      <c r="K83" s="2385"/>
      <c r="L83" s="2386"/>
      <c r="M83" s="2385"/>
      <c r="N83" s="2385"/>
      <c r="O83" s="2386"/>
      <c r="P83" s="2385"/>
      <c r="Q83" s="2385"/>
      <c r="R83" s="2387"/>
    </row>
    <row r="84" spans="2:18" s="2360" customFormat="1">
      <c r="B84" s="2385"/>
      <c r="C84" s="2385"/>
      <c r="D84" s="2385"/>
      <c r="E84" s="2385"/>
      <c r="F84" s="2385"/>
      <c r="G84" s="2386"/>
      <c r="H84" s="2385"/>
      <c r="I84" s="2386"/>
      <c r="J84" s="2385"/>
      <c r="K84" s="2385"/>
      <c r="L84" s="2386"/>
      <c r="M84" s="2385"/>
      <c r="N84" s="2385"/>
      <c r="O84" s="2386"/>
      <c r="P84" s="2385"/>
      <c r="Q84" s="2385"/>
      <c r="R84" s="2387"/>
    </row>
    <row r="85" spans="2:18" s="2360" customFormat="1">
      <c r="B85" s="2385"/>
      <c r="C85" s="2385"/>
      <c r="D85" s="2385"/>
      <c r="E85" s="2385"/>
      <c r="F85" s="2385"/>
      <c r="G85" s="2386"/>
      <c r="H85" s="2385"/>
      <c r="I85" s="2386"/>
      <c r="J85" s="2385"/>
      <c r="K85" s="2385"/>
      <c r="L85" s="2386"/>
      <c r="M85" s="2385"/>
      <c r="N85" s="2385"/>
      <c r="O85" s="2386"/>
      <c r="P85" s="2385"/>
      <c r="Q85" s="2385"/>
      <c r="R85" s="2387"/>
    </row>
    <row r="86" spans="2:18" s="2360" customFormat="1">
      <c r="B86" s="2385"/>
      <c r="C86" s="2385"/>
      <c r="D86" s="2385"/>
      <c r="E86" s="2385"/>
      <c r="F86" s="2385"/>
      <c r="G86" s="2386"/>
      <c r="H86" s="2385"/>
      <c r="I86" s="2386"/>
      <c r="J86" s="2385"/>
      <c r="K86" s="2385"/>
      <c r="L86" s="2386"/>
      <c r="M86" s="2385"/>
      <c r="N86" s="2385"/>
      <c r="O86" s="2386"/>
      <c r="P86" s="2385"/>
      <c r="Q86" s="2385"/>
      <c r="R86" s="2387"/>
    </row>
    <row r="87" spans="2:18" s="2360" customFormat="1">
      <c r="B87" s="2385"/>
      <c r="C87" s="2385"/>
      <c r="D87" s="2385"/>
      <c r="E87" s="2385"/>
      <c r="F87" s="2385"/>
      <c r="G87" s="2386"/>
      <c r="H87" s="2385"/>
      <c r="I87" s="2386"/>
      <c r="J87" s="2385"/>
      <c r="K87" s="2385"/>
      <c r="L87" s="2386"/>
      <c r="M87" s="2385"/>
      <c r="N87" s="2385"/>
      <c r="O87" s="2386"/>
      <c r="P87" s="2385"/>
      <c r="Q87" s="2385"/>
      <c r="R87" s="2387"/>
    </row>
    <row r="88" spans="2:18" s="2360" customFormat="1">
      <c r="B88" s="2385"/>
      <c r="C88" s="2385"/>
      <c r="D88" s="2385"/>
      <c r="E88" s="2385"/>
      <c r="F88" s="2385"/>
      <c r="G88" s="2386"/>
      <c r="H88" s="2385"/>
      <c r="I88" s="2386"/>
      <c r="J88" s="2385"/>
      <c r="K88" s="2385"/>
      <c r="L88" s="2386"/>
      <c r="M88" s="2385"/>
      <c r="N88" s="2385"/>
      <c r="O88" s="2386"/>
      <c r="P88" s="2385"/>
      <c r="Q88" s="2385"/>
      <c r="R88" s="2387"/>
    </row>
    <row r="89" spans="2:18" s="2360" customFormat="1">
      <c r="B89" s="2385"/>
      <c r="C89" s="2385"/>
      <c r="D89" s="2385"/>
      <c r="E89" s="2385"/>
      <c r="F89" s="2385"/>
      <c r="G89" s="2386"/>
      <c r="H89" s="2385"/>
      <c r="I89" s="2386"/>
      <c r="J89" s="2385"/>
      <c r="K89" s="2385"/>
      <c r="L89" s="2386"/>
      <c r="M89" s="2385"/>
      <c r="N89" s="2385"/>
      <c r="O89" s="2386"/>
      <c r="P89" s="2385"/>
      <c r="Q89" s="2385"/>
      <c r="R89" s="2387"/>
    </row>
    <row r="90" spans="2:18" s="2360" customFormat="1">
      <c r="B90" s="2385"/>
      <c r="C90" s="2385"/>
      <c r="D90" s="2385"/>
      <c r="E90" s="2385"/>
      <c r="F90" s="2385"/>
      <c r="G90" s="2386"/>
      <c r="H90" s="2385"/>
      <c r="I90" s="2386"/>
      <c r="J90" s="2385"/>
      <c r="K90" s="2385"/>
      <c r="L90" s="2386"/>
      <c r="M90" s="2385"/>
      <c r="N90" s="2385"/>
      <c r="O90" s="2386"/>
      <c r="P90" s="2385"/>
      <c r="Q90" s="2385"/>
      <c r="R90" s="2387"/>
    </row>
    <row r="91" spans="2:18" s="2360" customFormat="1">
      <c r="B91" s="2385"/>
      <c r="C91" s="2385"/>
      <c r="D91" s="2385"/>
      <c r="E91" s="2385"/>
      <c r="F91" s="2385"/>
      <c r="G91" s="2386"/>
      <c r="H91" s="2385"/>
      <c r="I91" s="2386"/>
      <c r="J91" s="2385"/>
      <c r="K91" s="2385"/>
      <c r="L91" s="2386"/>
      <c r="M91" s="2385"/>
      <c r="N91" s="2385"/>
      <c r="O91" s="2386"/>
      <c r="P91" s="2385"/>
      <c r="Q91" s="2385"/>
      <c r="R91" s="2387"/>
    </row>
    <row r="92" spans="2:18" s="2360" customFormat="1">
      <c r="B92" s="2385"/>
      <c r="C92" s="2385"/>
      <c r="D92" s="2385"/>
      <c r="E92" s="2385"/>
      <c r="F92" s="2385"/>
      <c r="G92" s="2386"/>
      <c r="H92" s="2385"/>
      <c r="I92" s="2386"/>
      <c r="J92" s="2385"/>
      <c r="K92" s="2385"/>
      <c r="L92" s="2386"/>
      <c r="M92" s="2385"/>
      <c r="N92" s="2385"/>
      <c r="O92" s="2386"/>
      <c r="P92" s="2385"/>
      <c r="Q92" s="2385"/>
      <c r="R92" s="2387"/>
    </row>
    <row r="93" spans="2:18" s="2360" customFormat="1">
      <c r="B93" s="2385"/>
      <c r="C93" s="2385"/>
      <c r="D93" s="2385"/>
      <c r="E93" s="2385"/>
      <c r="F93" s="2385"/>
      <c r="G93" s="2386"/>
      <c r="H93" s="2385"/>
      <c r="I93" s="2386"/>
      <c r="J93" s="2385"/>
      <c r="K93" s="2385"/>
      <c r="L93" s="2386"/>
      <c r="M93" s="2385"/>
      <c r="N93" s="2385"/>
      <c r="O93" s="2386"/>
      <c r="P93" s="2385"/>
      <c r="Q93" s="2385"/>
      <c r="R93" s="2387"/>
    </row>
    <row r="94" spans="2:18" s="2360" customFormat="1">
      <c r="B94" s="2385"/>
      <c r="C94" s="2385"/>
      <c r="D94" s="2385"/>
      <c r="E94" s="2385"/>
      <c r="F94" s="2385"/>
      <c r="G94" s="2386"/>
      <c r="H94" s="2385"/>
      <c r="I94" s="2386"/>
      <c r="J94" s="2385"/>
      <c r="K94" s="2385"/>
      <c r="L94" s="2386"/>
      <c r="M94" s="2385"/>
      <c r="N94" s="2385"/>
      <c r="O94" s="2386"/>
      <c r="P94" s="2385"/>
      <c r="Q94" s="2385"/>
      <c r="R94" s="2387"/>
    </row>
    <row r="95" spans="2:18" s="2360" customFormat="1">
      <c r="B95" s="2385"/>
      <c r="C95" s="2385"/>
      <c r="D95" s="2385"/>
      <c r="E95" s="2385"/>
      <c r="F95" s="2385"/>
      <c r="G95" s="2386"/>
      <c r="H95" s="2385"/>
      <c r="I95" s="2386"/>
      <c r="J95" s="2385"/>
      <c r="K95" s="2385"/>
      <c r="L95" s="2386"/>
      <c r="M95" s="2385"/>
      <c r="N95" s="2385"/>
      <c r="O95" s="2386"/>
      <c r="P95" s="2385"/>
      <c r="Q95" s="2385"/>
      <c r="R95" s="2387"/>
    </row>
    <row r="96" spans="2:18" s="2360" customFormat="1">
      <c r="B96" s="2385"/>
      <c r="C96" s="2385"/>
      <c r="D96" s="2385"/>
      <c r="E96" s="2385"/>
      <c r="F96" s="2385"/>
      <c r="G96" s="2386"/>
      <c r="H96" s="2385"/>
      <c r="I96" s="2386"/>
      <c r="J96" s="2385"/>
      <c r="K96" s="2385"/>
      <c r="L96" s="2386"/>
      <c r="M96" s="2385"/>
      <c r="N96" s="2385"/>
      <c r="O96" s="2386"/>
      <c r="P96" s="2385"/>
      <c r="Q96" s="2385"/>
      <c r="R96" s="2387"/>
    </row>
    <row r="97" spans="2:18" s="2360" customFormat="1">
      <c r="B97" s="2385"/>
      <c r="C97" s="2385"/>
      <c r="D97" s="2385"/>
      <c r="E97" s="2385"/>
      <c r="F97" s="2385"/>
      <c r="G97" s="2386"/>
      <c r="H97" s="2385"/>
      <c r="I97" s="2386"/>
      <c r="J97" s="2385"/>
      <c r="K97" s="2385"/>
      <c r="L97" s="2386"/>
      <c r="M97" s="2385"/>
      <c r="N97" s="2385"/>
      <c r="O97" s="2386"/>
      <c r="P97" s="2385"/>
      <c r="Q97" s="2385"/>
      <c r="R97" s="2387"/>
    </row>
    <row r="98" spans="2:18" s="2360" customFormat="1">
      <c r="B98" s="2385"/>
      <c r="C98" s="2385"/>
      <c r="D98" s="2385"/>
      <c r="E98" s="2385"/>
      <c r="F98" s="2385"/>
      <c r="G98" s="2386"/>
      <c r="H98" s="2385"/>
      <c r="I98" s="2386"/>
      <c r="J98" s="2385"/>
      <c r="K98" s="2385"/>
      <c r="L98" s="2386"/>
      <c r="M98" s="2385"/>
      <c r="N98" s="2385"/>
      <c r="O98" s="2386"/>
      <c r="P98" s="2385"/>
      <c r="Q98" s="2385"/>
      <c r="R98" s="2387"/>
    </row>
    <row r="99" spans="2:18" s="2360" customFormat="1">
      <c r="B99" s="2385"/>
      <c r="C99" s="2385"/>
      <c r="D99" s="2385"/>
      <c r="E99" s="2385"/>
      <c r="F99" s="2385"/>
      <c r="G99" s="2386"/>
      <c r="H99" s="2385"/>
      <c r="I99" s="2386"/>
      <c r="J99" s="2385"/>
      <c r="K99" s="2385"/>
      <c r="L99" s="2386"/>
      <c r="M99" s="2385"/>
      <c r="N99" s="2385"/>
      <c r="O99" s="2386"/>
      <c r="P99" s="2385"/>
      <c r="Q99" s="2385"/>
      <c r="R99" s="2387"/>
    </row>
    <row r="100" spans="2:18" s="2360" customFormat="1">
      <c r="B100" s="2385"/>
      <c r="C100" s="2385"/>
      <c r="D100" s="2385"/>
      <c r="E100" s="2385"/>
      <c r="F100" s="2385"/>
      <c r="G100" s="2386"/>
      <c r="H100" s="2385"/>
      <c r="I100" s="2386"/>
      <c r="J100" s="2385"/>
      <c r="K100" s="2385"/>
      <c r="L100" s="2386"/>
      <c r="M100" s="2385"/>
      <c r="N100" s="2385"/>
      <c r="O100" s="2386"/>
      <c r="P100" s="2385"/>
      <c r="Q100" s="2385"/>
      <c r="R100" s="2387"/>
    </row>
    <row r="101" spans="2:18" s="2360" customFormat="1">
      <c r="B101" s="2385"/>
      <c r="C101" s="2385"/>
      <c r="D101" s="2385"/>
      <c r="E101" s="2385"/>
      <c r="F101" s="2385"/>
      <c r="G101" s="2386"/>
      <c r="H101" s="2385"/>
      <c r="I101" s="2386"/>
      <c r="J101" s="2385"/>
      <c r="K101" s="2385"/>
      <c r="L101" s="2386"/>
      <c r="M101" s="2385"/>
      <c r="N101" s="2385"/>
      <c r="O101" s="2386"/>
      <c r="P101" s="2385"/>
      <c r="Q101" s="2385"/>
      <c r="R101" s="2387"/>
    </row>
    <row r="102" spans="2:18" s="2360" customFormat="1">
      <c r="B102" s="2385"/>
      <c r="C102" s="2385"/>
      <c r="D102" s="2385"/>
      <c r="E102" s="2385"/>
      <c r="F102" s="2385"/>
      <c r="G102" s="2386"/>
      <c r="H102" s="2385"/>
      <c r="I102" s="2386"/>
      <c r="J102" s="2385"/>
      <c r="K102" s="2385"/>
      <c r="L102" s="2386"/>
      <c r="M102" s="2385"/>
      <c r="N102" s="2385"/>
      <c r="O102" s="2386"/>
      <c r="P102" s="2385"/>
      <c r="Q102" s="2385"/>
      <c r="R102" s="2387"/>
    </row>
    <row r="103" spans="2:18" s="2360" customFormat="1">
      <c r="B103" s="2385"/>
      <c r="C103" s="2385"/>
      <c r="D103" s="2385"/>
      <c r="E103" s="2385"/>
      <c r="F103" s="2385"/>
      <c r="G103" s="2386"/>
      <c r="H103" s="2385"/>
      <c r="I103" s="2386"/>
      <c r="J103" s="2385"/>
      <c r="K103" s="2385"/>
      <c r="L103" s="2386"/>
      <c r="M103" s="2385"/>
      <c r="N103" s="2385"/>
      <c r="O103" s="2386"/>
      <c r="P103" s="2385"/>
      <c r="Q103" s="2385"/>
      <c r="R103" s="2387"/>
    </row>
    <row r="104" spans="2:18" s="2360" customFormat="1">
      <c r="B104" s="2385"/>
      <c r="C104" s="2385"/>
      <c r="D104" s="2385"/>
      <c r="E104" s="2385"/>
      <c r="F104" s="2385"/>
      <c r="G104" s="2386"/>
      <c r="H104" s="2385"/>
      <c r="I104" s="2386"/>
      <c r="J104" s="2385"/>
      <c r="K104" s="2385"/>
      <c r="L104" s="2386"/>
      <c r="M104" s="2385"/>
      <c r="N104" s="2385"/>
      <c r="O104" s="2386"/>
      <c r="P104" s="2385"/>
      <c r="Q104" s="2385"/>
      <c r="R104" s="2387"/>
    </row>
    <row r="105" spans="2:18" s="2360" customFormat="1">
      <c r="B105" s="2385"/>
      <c r="C105" s="2385"/>
      <c r="D105" s="2385"/>
      <c r="E105" s="2385"/>
      <c r="F105" s="2385"/>
      <c r="G105" s="2386"/>
      <c r="H105" s="2385"/>
      <c r="I105" s="2386"/>
      <c r="J105" s="2385"/>
      <c r="K105" s="2385"/>
      <c r="L105" s="2386"/>
      <c r="M105" s="2385"/>
      <c r="N105" s="2385"/>
      <c r="O105" s="2386"/>
      <c r="P105" s="2385"/>
      <c r="Q105" s="2385"/>
      <c r="R105" s="2387"/>
    </row>
    <row r="106" spans="2:18" s="2360" customFormat="1">
      <c r="B106" s="2385"/>
      <c r="C106" s="2385"/>
      <c r="D106" s="2385"/>
      <c r="E106" s="2385"/>
      <c r="F106" s="2385"/>
      <c r="G106" s="2386"/>
      <c r="H106" s="2385"/>
      <c r="I106" s="2386"/>
      <c r="J106" s="2385"/>
      <c r="K106" s="2385"/>
      <c r="L106" s="2386"/>
      <c r="M106" s="2385"/>
      <c r="N106" s="2385"/>
      <c r="O106" s="2386"/>
      <c r="P106" s="2385"/>
      <c r="Q106" s="2385"/>
      <c r="R106" s="2387"/>
    </row>
    <row r="107" spans="2:18" s="2360" customFormat="1">
      <c r="B107" s="2385"/>
      <c r="C107" s="2385"/>
      <c r="D107" s="2385"/>
      <c r="E107" s="2385"/>
      <c r="F107" s="2385"/>
      <c r="G107" s="2386"/>
      <c r="H107" s="2385"/>
      <c r="I107" s="2386"/>
      <c r="J107" s="2385"/>
      <c r="K107" s="2385"/>
      <c r="L107" s="2386"/>
      <c r="M107" s="2385"/>
      <c r="N107" s="2385"/>
      <c r="O107" s="2386"/>
      <c r="P107" s="2385"/>
      <c r="Q107" s="2385"/>
      <c r="R107" s="2387"/>
    </row>
    <row r="108" spans="2:18" s="2360" customFormat="1">
      <c r="B108" s="2385"/>
      <c r="C108" s="2385"/>
      <c r="D108" s="2385"/>
      <c r="E108" s="2385"/>
      <c r="F108" s="2385"/>
      <c r="G108" s="2386"/>
      <c r="H108" s="2385"/>
      <c r="I108" s="2386"/>
      <c r="J108" s="2385"/>
      <c r="K108" s="2385"/>
      <c r="L108" s="2386"/>
      <c r="M108" s="2385"/>
      <c r="N108" s="2385"/>
      <c r="O108" s="2386"/>
      <c r="P108" s="2385"/>
      <c r="Q108" s="2385"/>
      <c r="R108" s="2387"/>
    </row>
    <row r="109" spans="2:18" s="2360" customFormat="1">
      <c r="B109" s="2385"/>
      <c r="C109" s="2385"/>
      <c r="D109" s="2385"/>
      <c r="E109" s="2385"/>
      <c r="F109" s="2385"/>
      <c r="G109" s="2386"/>
      <c r="H109" s="2385"/>
      <c r="I109" s="2386"/>
      <c r="J109" s="2385"/>
      <c r="K109" s="2385"/>
      <c r="L109" s="2386"/>
      <c r="M109" s="2385"/>
      <c r="N109" s="2385"/>
      <c r="O109" s="2386"/>
      <c r="P109" s="2385"/>
      <c r="Q109" s="2385"/>
      <c r="R109" s="2387"/>
    </row>
    <row r="110" spans="2:18" s="2360" customFormat="1">
      <c r="B110" s="2385"/>
      <c r="C110" s="2385"/>
      <c r="D110" s="2385"/>
      <c r="E110" s="2385"/>
      <c r="F110" s="2385"/>
      <c r="G110" s="2386"/>
      <c r="H110" s="2385"/>
      <c r="I110" s="2386"/>
      <c r="J110" s="2385"/>
      <c r="K110" s="2385"/>
      <c r="L110" s="2386"/>
      <c r="M110" s="2385"/>
      <c r="N110" s="2385"/>
      <c r="O110" s="2386"/>
      <c r="P110" s="2385"/>
      <c r="Q110" s="2385"/>
      <c r="R110" s="2387"/>
    </row>
    <row r="111" spans="2:18" s="2360" customFormat="1">
      <c r="B111" s="2385"/>
      <c r="C111" s="2385"/>
      <c r="D111" s="2385"/>
      <c r="E111" s="2385"/>
      <c r="F111" s="2385"/>
      <c r="G111" s="2386"/>
      <c r="H111" s="2385"/>
      <c r="I111" s="2386"/>
      <c r="J111" s="2385"/>
      <c r="K111" s="2385"/>
      <c r="L111" s="2386"/>
      <c r="M111" s="2385"/>
      <c r="N111" s="2385"/>
      <c r="O111" s="2386"/>
      <c r="P111" s="2385"/>
      <c r="Q111" s="2385"/>
      <c r="R111" s="2387"/>
    </row>
    <row r="112" spans="2:18" s="2360" customFormat="1">
      <c r="B112" s="2385"/>
      <c r="C112" s="2385"/>
      <c r="D112" s="2385"/>
      <c r="E112" s="2385"/>
      <c r="F112" s="2385"/>
      <c r="G112" s="2386"/>
      <c r="H112" s="2385"/>
      <c r="I112" s="2386"/>
      <c r="J112" s="2385"/>
      <c r="K112" s="2385"/>
      <c r="L112" s="2386"/>
      <c r="M112" s="2385"/>
      <c r="N112" s="2385"/>
      <c r="O112" s="2386"/>
      <c r="P112" s="2385"/>
      <c r="Q112" s="2385"/>
      <c r="R112" s="2387"/>
    </row>
    <row r="113" spans="2:18" s="2360" customFormat="1">
      <c r="B113" s="2385"/>
      <c r="C113" s="2385"/>
      <c r="D113" s="2385"/>
      <c r="E113" s="2385"/>
      <c r="F113" s="2385"/>
      <c r="G113" s="2386"/>
      <c r="H113" s="2385"/>
      <c r="I113" s="2386"/>
      <c r="J113" s="2385"/>
      <c r="K113" s="2385"/>
      <c r="L113" s="2386"/>
      <c r="M113" s="2385"/>
      <c r="N113" s="2385"/>
      <c r="O113" s="2386"/>
      <c r="P113" s="2385"/>
      <c r="Q113" s="2385"/>
      <c r="R113" s="2387"/>
    </row>
    <row r="114" spans="2:18" s="2360" customFormat="1">
      <c r="B114" s="2385"/>
      <c r="C114" s="2385"/>
      <c r="D114" s="2385"/>
      <c r="E114" s="2385"/>
      <c r="F114" s="2385"/>
      <c r="G114" s="2386"/>
      <c r="H114" s="2385"/>
      <c r="I114" s="2386"/>
      <c r="J114" s="2385"/>
      <c r="K114" s="2385"/>
      <c r="L114" s="2386"/>
      <c r="M114" s="2385"/>
      <c r="N114" s="2385"/>
      <c r="O114" s="2386"/>
      <c r="P114" s="2385"/>
      <c r="Q114" s="2385"/>
      <c r="R114" s="2387"/>
    </row>
    <row r="115" spans="2:18" s="2360" customFormat="1">
      <c r="B115" s="2385"/>
      <c r="C115" s="2385"/>
      <c r="D115" s="2385"/>
      <c r="E115" s="2385"/>
      <c r="F115" s="2385"/>
      <c r="G115" s="2386"/>
      <c r="H115" s="2385"/>
      <c r="I115" s="2386"/>
      <c r="J115" s="2385"/>
      <c r="K115" s="2385"/>
      <c r="L115" s="2386"/>
      <c r="M115" s="2385"/>
      <c r="N115" s="2385"/>
      <c r="O115" s="2386"/>
      <c r="P115" s="2385"/>
      <c r="Q115" s="2385"/>
      <c r="R115" s="2387"/>
    </row>
    <row r="116" spans="2:18" s="2360" customFormat="1">
      <c r="B116" s="2385"/>
      <c r="C116" s="2385"/>
      <c r="D116" s="2385"/>
      <c r="E116" s="2385"/>
      <c r="F116" s="2385"/>
      <c r="G116" s="2386"/>
      <c r="H116" s="2385"/>
      <c r="I116" s="2386"/>
      <c r="J116" s="2385"/>
      <c r="K116" s="2385"/>
      <c r="L116" s="2386"/>
      <c r="M116" s="2385"/>
      <c r="N116" s="2385"/>
      <c r="O116" s="2386"/>
      <c r="P116" s="2385"/>
      <c r="Q116" s="2385"/>
      <c r="R116" s="2387"/>
    </row>
    <row r="117" spans="2:18" s="2360" customFormat="1">
      <c r="B117" s="2385"/>
      <c r="C117" s="2385"/>
      <c r="D117" s="2385"/>
      <c r="E117" s="2385"/>
      <c r="F117" s="2385"/>
      <c r="G117" s="2386"/>
      <c r="H117" s="2385"/>
      <c r="I117" s="2386"/>
      <c r="J117" s="2385"/>
      <c r="K117" s="2385"/>
      <c r="L117" s="2386"/>
      <c r="M117" s="2385"/>
      <c r="N117" s="2385"/>
      <c r="O117" s="2386"/>
      <c r="P117" s="2385"/>
      <c r="Q117" s="2385"/>
      <c r="R117" s="2387"/>
    </row>
    <row r="118" spans="2:18" s="2360" customFormat="1">
      <c r="B118" s="2385"/>
      <c r="C118" s="2385"/>
      <c r="D118" s="2385"/>
      <c r="E118" s="2385"/>
      <c r="F118" s="2385"/>
      <c r="G118" s="2386"/>
      <c r="H118" s="2385"/>
      <c r="I118" s="2386"/>
      <c r="J118" s="2385"/>
      <c r="K118" s="2385"/>
      <c r="L118" s="2386"/>
      <c r="M118" s="2385"/>
      <c r="N118" s="2385"/>
      <c r="O118" s="2386"/>
      <c r="P118" s="2385"/>
      <c r="Q118" s="2385"/>
      <c r="R118" s="2387"/>
    </row>
    <row r="119" spans="2:18" s="2360" customFormat="1">
      <c r="B119" s="2385"/>
      <c r="C119" s="2385"/>
      <c r="D119" s="2385"/>
      <c r="E119" s="2385"/>
      <c r="F119" s="2385"/>
      <c r="G119" s="2386"/>
      <c r="H119" s="2385"/>
      <c r="I119" s="2386"/>
      <c r="J119" s="2385"/>
      <c r="K119" s="2385"/>
      <c r="L119" s="2386"/>
      <c r="M119" s="2385"/>
      <c r="N119" s="2385"/>
      <c r="O119" s="2386"/>
      <c r="P119" s="2385"/>
      <c r="Q119" s="2385"/>
      <c r="R119" s="2387"/>
    </row>
    <row r="120" spans="2:18" s="2360" customFormat="1">
      <c r="B120" s="2385"/>
      <c r="C120" s="2385"/>
      <c r="D120" s="2385"/>
      <c r="E120" s="2385"/>
      <c r="F120" s="2385"/>
      <c r="G120" s="2386"/>
      <c r="H120" s="2385"/>
      <c r="I120" s="2386"/>
      <c r="J120" s="2385"/>
      <c r="K120" s="2385"/>
      <c r="L120" s="2386"/>
      <c r="M120" s="2385"/>
      <c r="N120" s="2385"/>
      <c r="O120" s="2386"/>
      <c r="P120" s="2385"/>
      <c r="Q120" s="2385"/>
      <c r="R120" s="2387"/>
    </row>
    <row r="121" spans="2:18" s="2360" customFormat="1">
      <c r="B121" s="2385"/>
      <c r="C121" s="2385"/>
      <c r="D121" s="2385"/>
      <c r="E121" s="2385"/>
      <c r="F121" s="2385"/>
      <c r="G121" s="2386"/>
      <c r="H121" s="2385"/>
      <c r="I121" s="2386"/>
      <c r="J121" s="2385"/>
      <c r="K121" s="2385"/>
      <c r="L121" s="2386"/>
      <c r="M121" s="2385"/>
      <c r="N121" s="2385"/>
      <c r="O121" s="2386"/>
      <c r="P121" s="2385"/>
      <c r="Q121" s="2385"/>
      <c r="R121" s="2387"/>
    </row>
    <row r="122" spans="2:18" s="2360" customFormat="1">
      <c r="B122" s="2385"/>
      <c r="C122" s="2385"/>
      <c r="D122" s="2385"/>
      <c r="E122" s="2385"/>
      <c r="F122" s="2385"/>
      <c r="G122" s="2386"/>
      <c r="H122" s="2385"/>
      <c r="I122" s="2386"/>
      <c r="J122" s="2385"/>
      <c r="K122" s="2385"/>
      <c r="L122" s="2386"/>
      <c r="M122" s="2385"/>
      <c r="N122" s="2385"/>
      <c r="O122" s="2386"/>
      <c r="P122" s="2385"/>
      <c r="Q122" s="2385"/>
      <c r="R122" s="2387"/>
    </row>
    <row r="123" spans="2:18" s="2360" customFormat="1">
      <c r="B123" s="2385"/>
      <c r="C123" s="2385"/>
      <c r="D123" s="2385"/>
      <c r="E123" s="2385"/>
      <c r="F123" s="2385"/>
      <c r="G123" s="2386"/>
      <c r="H123" s="2385"/>
      <c r="I123" s="2386"/>
      <c r="J123" s="2385"/>
      <c r="K123" s="2385"/>
      <c r="L123" s="2386"/>
      <c r="M123" s="2385"/>
      <c r="N123" s="2385"/>
      <c r="O123" s="2386"/>
      <c r="P123" s="2385"/>
      <c r="Q123" s="2385"/>
      <c r="R123" s="2387"/>
    </row>
    <row r="124" spans="2:18" s="2360" customFormat="1">
      <c r="B124" s="2385"/>
      <c r="C124" s="2385"/>
      <c r="D124" s="2385"/>
      <c r="E124" s="2385"/>
      <c r="F124" s="2385"/>
      <c r="G124" s="2386"/>
      <c r="H124" s="2385"/>
      <c r="I124" s="2386"/>
      <c r="J124" s="2385"/>
      <c r="K124" s="2385"/>
      <c r="L124" s="2386"/>
      <c r="M124" s="2385"/>
      <c r="N124" s="2385"/>
      <c r="O124" s="2386"/>
      <c r="P124" s="2385"/>
      <c r="Q124" s="2385"/>
      <c r="R124" s="2387"/>
    </row>
    <row r="125" spans="2:18" s="2360" customFormat="1">
      <c r="B125" s="2385"/>
      <c r="C125" s="2385"/>
      <c r="D125" s="2385"/>
      <c r="E125" s="2385"/>
      <c r="F125" s="2385"/>
      <c r="G125" s="2386"/>
      <c r="H125" s="2385"/>
      <c r="I125" s="2386"/>
      <c r="J125" s="2385"/>
      <c r="K125" s="2385"/>
      <c r="L125" s="2386"/>
      <c r="M125" s="2385"/>
      <c r="N125" s="2385"/>
      <c r="O125" s="2386"/>
      <c r="P125" s="2385"/>
      <c r="Q125" s="2385"/>
      <c r="R125" s="2387"/>
    </row>
    <row r="126" spans="2:18" s="2360" customFormat="1">
      <c r="B126" s="2385"/>
      <c r="C126" s="2385"/>
      <c r="D126" s="2385"/>
      <c r="E126" s="2385"/>
      <c r="F126" s="2385"/>
      <c r="G126" s="2386"/>
      <c r="H126" s="2385"/>
      <c r="I126" s="2386"/>
      <c r="J126" s="2385"/>
      <c r="K126" s="2385"/>
      <c r="L126" s="2386"/>
      <c r="M126" s="2385"/>
      <c r="N126" s="2385"/>
      <c r="O126" s="2386"/>
      <c r="P126" s="2385"/>
      <c r="Q126" s="2385"/>
      <c r="R126" s="2387"/>
    </row>
    <row r="127" spans="2:18" s="2360" customFormat="1">
      <c r="B127" s="2385"/>
      <c r="C127" s="2385"/>
      <c r="D127" s="2385"/>
      <c r="E127" s="2385"/>
      <c r="F127" s="2385"/>
      <c r="G127" s="2386"/>
      <c r="H127" s="2385"/>
      <c r="I127" s="2386"/>
      <c r="J127" s="2385"/>
      <c r="K127" s="2385"/>
      <c r="L127" s="2386"/>
      <c r="M127" s="2385"/>
      <c r="N127" s="2385"/>
      <c r="O127" s="2386"/>
      <c r="P127" s="2385"/>
      <c r="Q127" s="2385"/>
      <c r="R127" s="2387"/>
    </row>
    <row r="128" spans="2:18" s="2360" customFormat="1">
      <c r="B128" s="2385"/>
      <c r="C128" s="2385"/>
      <c r="D128" s="2385"/>
      <c r="E128" s="2385"/>
      <c r="F128" s="2385"/>
      <c r="G128" s="2386"/>
      <c r="H128" s="2385"/>
      <c r="I128" s="2386"/>
      <c r="J128" s="2385"/>
      <c r="K128" s="2385"/>
      <c r="L128" s="2386"/>
      <c r="M128" s="2385"/>
      <c r="N128" s="2385"/>
      <c r="O128" s="2386"/>
      <c r="P128" s="2385"/>
      <c r="Q128" s="2385"/>
      <c r="R128" s="2387"/>
    </row>
    <row r="129" spans="2:18" s="2360" customFormat="1">
      <c r="B129" s="2385"/>
      <c r="C129" s="2385"/>
      <c r="D129" s="2385"/>
      <c r="E129" s="2385"/>
      <c r="F129" s="2385"/>
      <c r="G129" s="2386"/>
      <c r="H129" s="2385"/>
      <c r="I129" s="2386"/>
      <c r="J129" s="2385"/>
      <c r="K129" s="2385"/>
      <c r="L129" s="2386"/>
      <c r="M129" s="2385"/>
      <c r="N129" s="2385"/>
      <c r="O129" s="2386"/>
      <c r="P129" s="2385"/>
      <c r="Q129" s="2385"/>
      <c r="R129" s="2387"/>
    </row>
    <row r="130" spans="2:18" s="2360" customFormat="1">
      <c r="B130" s="2385"/>
      <c r="C130" s="2385"/>
      <c r="D130" s="2385"/>
      <c r="E130" s="2385"/>
      <c r="F130" s="2385"/>
      <c r="G130" s="2386"/>
      <c r="H130" s="2385"/>
      <c r="I130" s="2386"/>
      <c r="J130" s="2385"/>
      <c r="K130" s="2385"/>
      <c r="L130" s="2386"/>
      <c r="M130" s="2385"/>
      <c r="N130" s="2385"/>
      <c r="O130" s="2386"/>
      <c r="P130" s="2385"/>
      <c r="Q130" s="2385"/>
      <c r="R130" s="2387"/>
    </row>
    <row r="131" spans="2:18" s="2360" customFormat="1">
      <c r="B131" s="2385"/>
      <c r="C131" s="2385"/>
      <c r="D131" s="2385"/>
      <c r="E131" s="2385"/>
      <c r="F131" s="2385"/>
      <c r="G131" s="2386"/>
      <c r="H131" s="2385"/>
      <c r="I131" s="2386"/>
      <c r="J131" s="2385"/>
      <c r="K131" s="2385"/>
      <c r="L131" s="2386"/>
      <c r="M131" s="2385"/>
      <c r="N131" s="2385"/>
      <c r="O131" s="2386"/>
      <c r="P131" s="2385"/>
      <c r="Q131" s="2385"/>
      <c r="R131" s="2387"/>
    </row>
    <row r="132" spans="2:18" s="2360" customFormat="1">
      <c r="B132" s="2385"/>
      <c r="C132" s="2385"/>
      <c r="D132" s="2385"/>
      <c r="E132" s="2385"/>
      <c r="F132" s="2385"/>
      <c r="G132" s="2386"/>
      <c r="H132" s="2385"/>
      <c r="I132" s="2386"/>
      <c r="J132" s="2385"/>
      <c r="K132" s="2385"/>
      <c r="L132" s="2386"/>
      <c r="M132" s="2385"/>
      <c r="N132" s="2385"/>
      <c r="O132" s="2386"/>
      <c r="P132" s="2385"/>
      <c r="Q132" s="2385"/>
      <c r="R132" s="2387"/>
    </row>
    <row r="133" spans="2:18" s="2360" customFormat="1">
      <c r="B133" s="2385"/>
      <c r="C133" s="2385"/>
      <c r="D133" s="2385"/>
      <c r="E133" s="2385"/>
      <c r="F133" s="2385"/>
      <c r="G133" s="2386"/>
      <c r="H133" s="2385"/>
      <c r="I133" s="2386"/>
      <c r="J133" s="2385"/>
      <c r="K133" s="2385"/>
      <c r="L133" s="2386"/>
      <c r="M133" s="2385"/>
      <c r="N133" s="2385"/>
      <c r="O133" s="2386"/>
      <c r="P133" s="2385"/>
      <c r="Q133" s="2385"/>
      <c r="R133" s="2387"/>
    </row>
    <row r="134" spans="2:18" s="2360" customFormat="1">
      <c r="B134" s="2385"/>
      <c r="C134" s="2385"/>
      <c r="D134" s="2385"/>
      <c r="E134" s="2385"/>
      <c r="F134" s="2385"/>
      <c r="G134" s="2386"/>
      <c r="H134" s="2385"/>
      <c r="I134" s="2386"/>
      <c r="J134" s="2385"/>
      <c r="K134" s="2385"/>
      <c r="L134" s="2386"/>
      <c r="M134" s="2385"/>
      <c r="N134" s="2385"/>
      <c r="O134" s="2386"/>
      <c r="P134" s="2385"/>
      <c r="Q134" s="2385"/>
      <c r="R134" s="2387"/>
    </row>
    <row r="135" spans="2:18" s="2360" customFormat="1">
      <c r="B135" s="2385"/>
      <c r="C135" s="2385"/>
      <c r="D135" s="2385"/>
      <c r="E135" s="2385"/>
      <c r="F135" s="2385"/>
      <c r="G135" s="2386"/>
      <c r="H135" s="2385"/>
      <c r="I135" s="2386"/>
      <c r="J135" s="2385"/>
      <c r="K135" s="2385"/>
      <c r="L135" s="2386"/>
      <c r="M135" s="2385"/>
      <c r="N135" s="2385"/>
      <c r="O135" s="2386"/>
      <c r="P135" s="2385"/>
      <c r="Q135" s="2385"/>
      <c r="R135" s="2387"/>
    </row>
    <row r="136" spans="2:18" s="2360" customFormat="1">
      <c r="B136" s="2385"/>
      <c r="C136" s="2385"/>
      <c r="D136" s="2385"/>
      <c r="E136" s="2385"/>
      <c r="F136" s="2385"/>
      <c r="G136" s="2386"/>
      <c r="H136" s="2385"/>
      <c r="I136" s="2386"/>
      <c r="J136" s="2385"/>
      <c r="K136" s="2385"/>
      <c r="L136" s="2386"/>
      <c r="M136" s="2385"/>
      <c r="N136" s="2385"/>
      <c r="O136" s="2386"/>
      <c r="P136" s="2385"/>
      <c r="Q136" s="2385"/>
      <c r="R136" s="2387"/>
    </row>
    <row r="137" spans="2:18" s="2360" customFormat="1">
      <c r="B137" s="2385"/>
      <c r="C137" s="2385"/>
      <c r="D137" s="2385"/>
      <c r="E137" s="2385"/>
      <c r="F137" s="2385"/>
      <c r="G137" s="2386"/>
      <c r="H137" s="2385"/>
      <c r="I137" s="2386"/>
      <c r="J137" s="2385"/>
      <c r="K137" s="2385"/>
      <c r="L137" s="2386"/>
      <c r="M137" s="2385"/>
      <c r="N137" s="2385"/>
      <c r="O137" s="2386"/>
      <c r="P137" s="2385"/>
      <c r="Q137" s="2385"/>
      <c r="R137" s="2387"/>
    </row>
    <row r="138" spans="2:18" s="2360" customFormat="1">
      <c r="B138" s="2385"/>
      <c r="C138" s="2385"/>
      <c r="D138" s="2385"/>
      <c r="E138" s="2385"/>
      <c r="F138" s="2385"/>
      <c r="G138" s="2386"/>
      <c r="H138" s="2385"/>
      <c r="I138" s="2386"/>
      <c r="J138" s="2385"/>
      <c r="K138" s="2385"/>
      <c r="L138" s="2386"/>
      <c r="M138" s="2385"/>
      <c r="N138" s="2385"/>
      <c r="O138" s="2386"/>
      <c r="P138" s="2385"/>
      <c r="Q138" s="2385"/>
      <c r="R138" s="2387"/>
    </row>
    <row r="139" spans="2:18" s="2360" customFormat="1">
      <c r="B139" s="2385"/>
      <c r="C139" s="2385"/>
      <c r="D139" s="2385"/>
      <c r="E139" s="2385"/>
      <c r="F139" s="2385"/>
      <c r="G139" s="2386"/>
      <c r="H139" s="2385"/>
      <c r="I139" s="2386"/>
      <c r="J139" s="2385"/>
      <c r="K139" s="2385"/>
      <c r="L139" s="2386"/>
      <c r="M139" s="2385"/>
      <c r="N139" s="2385"/>
      <c r="O139" s="2386"/>
      <c r="P139" s="2385"/>
      <c r="Q139" s="2385"/>
      <c r="R139" s="2387"/>
    </row>
    <row r="140" spans="2:18" s="2360" customFormat="1">
      <c r="B140" s="2385"/>
      <c r="C140" s="2385"/>
      <c r="D140" s="2385"/>
      <c r="E140" s="2385"/>
      <c r="F140" s="2385"/>
      <c r="G140" s="2386"/>
      <c r="H140" s="2385"/>
      <c r="I140" s="2386"/>
      <c r="J140" s="2385"/>
      <c r="K140" s="2385"/>
      <c r="L140" s="2386"/>
      <c r="M140" s="2385"/>
      <c r="N140" s="2385"/>
      <c r="O140" s="2386"/>
      <c r="P140" s="2385"/>
      <c r="Q140" s="2385"/>
      <c r="R140" s="2387"/>
    </row>
    <row r="141" spans="2:18" s="2360" customFormat="1">
      <c r="B141" s="2385"/>
      <c r="C141" s="2385"/>
      <c r="D141" s="2385"/>
      <c r="E141" s="2385"/>
      <c r="F141" s="2385"/>
      <c r="G141" s="2386"/>
      <c r="H141" s="2385"/>
      <c r="I141" s="2386"/>
      <c r="J141" s="2385"/>
      <c r="K141" s="2385"/>
      <c r="L141" s="2386"/>
      <c r="M141" s="2385"/>
      <c r="N141" s="2385"/>
      <c r="O141" s="2386"/>
      <c r="P141" s="2385"/>
      <c r="Q141" s="2385"/>
      <c r="R141" s="2387"/>
    </row>
    <row r="142" spans="2:18" s="2360" customFormat="1">
      <c r="B142" s="2385"/>
      <c r="C142" s="2385"/>
      <c r="D142" s="2385"/>
      <c r="E142" s="2385"/>
      <c r="F142" s="2385"/>
      <c r="G142" s="2386"/>
      <c r="H142" s="2385"/>
      <c r="I142" s="2386"/>
      <c r="J142" s="2385"/>
      <c r="K142" s="2385"/>
      <c r="L142" s="2386"/>
      <c r="M142" s="2385"/>
      <c r="N142" s="2385"/>
      <c r="O142" s="2386"/>
      <c r="P142" s="2385"/>
      <c r="Q142" s="2385"/>
      <c r="R142" s="2387"/>
    </row>
    <row r="143" spans="2:18" s="2360" customFormat="1">
      <c r="B143" s="2385"/>
      <c r="C143" s="2385"/>
      <c r="D143" s="2385"/>
      <c r="E143" s="2385"/>
      <c r="F143" s="2385"/>
      <c r="G143" s="2386"/>
      <c r="H143" s="2385"/>
      <c r="I143" s="2386"/>
      <c r="J143" s="2385"/>
      <c r="K143" s="2385"/>
      <c r="L143" s="2386"/>
      <c r="M143" s="2385"/>
      <c r="N143" s="2385"/>
      <c r="O143" s="2386"/>
      <c r="P143" s="2385"/>
      <c r="Q143" s="2385"/>
      <c r="R143" s="2387"/>
    </row>
    <row r="144" spans="2:18" s="2360" customFormat="1">
      <c r="B144" s="2385"/>
      <c r="C144" s="2385"/>
      <c r="D144" s="2385"/>
      <c r="E144" s="2385"/>
      <c r="F144" s="2385"/>
      <c r="G144" s="2386"/>
      <c r="H144" s="2385"/>
      <c r="I144" s="2386"/>
      <c r="J144" s="2385"/>
      <c r="K144" s="2385"/>
      <c r="L144" s="2386"/>
      <c r="M144" s="2385"/>
      <c r="N144" s="2385"/>
      <c r="O144" s="2386"/>
      <c r="P144" s="2385"/>
      <c r="Q144" s="2385"/>
      <c r="R144" s="2387"/>
    </row>
    <row r="145" spans="2:18" s="2360" customFormat="1">
      <c r="B145" s="2385"/>
      <c r="C145" s="2385"/>
      <c r="D145" s="2385"/>
      <c r="E145" s="2385"/>
      <c r="F145" s="2385"/>
      <c r="G145" s="2386"/>
      <c r="H145" s="2385"/>
      <c r="I145" s="2386"/>
      <c r="J145" s="2385"/>
      <c r="K145" s="2385"/>
      <c r="L145" s="2386"/>
      <c r="M145" s="2385"/>
      <c r="N145" s="2385"/>
      <c r="O145" s="2386"/>
      <c r="P145" s="2385"/>
      <c r="Q145" s="2385"/>
      <c r="R145" s="2387"/>
    </row>
    <row r="146" spans="2:18" s="2360" customFormat="1">
      <c r="B146" s="2385"/>
      <c r="C146" s="2385"/>
      <c r="D146" s="2385"/>
      <c r="E146" s="2385"/>
      <c r="F146" s="2385"/>
      <c r="G146" s="2386"/>
      <c r="H146" s="2385"/>
      <c r="I146" s="2386"/>
      <c r="J146" s="2385"/>
      <c r="K146" s="2385"/>
      <c r="L146" s="2386"/>
      <c r="M146" s="2385"/>
      <c r="N146" s="2385"/>
      <c r="O146" s="2386"/>
      <c r="P146" s="2385"/>
      <c r="Q146" s="2385"/>
      <c r="R146" s="2387"/>
    </row>
    <row r="147" spans="2:18" s="2360" customFormat="1">
      <c r="B147" s="2385"/>
      <c r="C147" s="2385"/>
      <c r="D147" s="2385"/>
      <c r="E147" s="2385"/>
      <c r="F147" s="2385"/>
      <c r="G147" s="2386"/>
      <c r="H147" s="2385"/>
      <c r="I147" s="2386"/>
      <c r="J147" s="2385"/>
      <c r="K147" s="2385"/>
      <c r="L147" s="2386"/>
      <c r="M147" s="2385"/>
      <c r="N147" s="2385"/>
      <c r="O147" s="2386"/>
      <c r="P147" s="2385"/>
      <c r="Q147" s="2385"/>
      <c r="R147" s="2387"/>
    </row>
    <row r="148" spans="2:18" s="2360" customFormat="1">
      <c r="B148" s="2385"/>
      <c r="C148" s="2385"/>
      <c r="D148" s="2385"/>
      <c r="E148" s="2385"/>
      <c r="F148" s="2385"/>
      <c r="G148" s="2386"/>
      <c r="H148" s="2385"/>
      <c r="I148" s="2386"/>
      <c r="J148" s="2385"/>
      <c r="K148" s="2385"/>
      <c r="L148" s="2386"/>
      <c r="M148" s="2385"/>
      <c r="N148" s="2385"/>
      <c r="O148" s="2386"/>
      <c r="P148" s="2385"/>
      <c r="Q148" s="2385"/>
      <c r="R148" s="2387"/>
    </row>
    <row r="149" spans="2:18" s="2360" customFormat="1">
      <c r="B149" s="2385"/>
      <c r="C149" s="2385"/>
      <c r="D149" s="2385"/>
      <c r="E149" s="2385"/>
      <c r="F149" s="2385"/>
      <c r="G149" s="2386"/>
      <c r="H149" s="2385"/>
      <c r="I149" s="2386"/>
      <c r="J149" s="2385"/>
      <c r="K149" s="2385"/>
      <c r="L149" s="2386"/>
      <c r="M149" s="2385"/>
      <c r="N149" s="2385"/>
      <c r="O149" s="2386"/>
      <c r="P149" s="2385"/>
      <c r="Q149" s="2385"/>
      <c r="R149" s="2387"/>
    </row>
    <row r="150" spans="2:18" s="2360" customFormat="1">
      <c r="B150" s="2385"/>
      <c r="C150" s="2385"/>
      <c r="D150" s="2385"/>
      <c r="E150" s="2385"/>
      <c r="F150" s="2385"/>
      <c r="G150" s="2386"/>
      <c r="H150" s="2385"/>
      <c r="I150" s="2386"/>
      <c r="J150" s="2385"/>
      <c r="K150" s="2385"/>
      <c r="L150" s="2386"/>
      <c r="M150" s="2385"/>
      <c r="N150" s="2385"/>
      <c r="O150" s="2386"/>
      <c r="P150" s="2385"/>
      <c r="Q150" s="2385"/>
      <c r="R150" s="2387"/>
    </row>
    <row r="151" spans="2:18" s="2360" customFormat="1">
      <c r="B151" s="2385"/>
      <c r="C151" s="2385"/>
      <c r="D151" s="2385"/>
      <c r="E151" s="2385"/>
      <c r="F151" s="2385"/>
      <c r="G151" s="2386"/>
      <c r="H151" s="2385"/>
      <c r="I151" s="2386"/>
      <c r="J151" s="2385"/>
      <c r="K151" s="2385"/>
      <c r="L151" s="2386"/>
      <c r="M151" s="2385"/>
      <c r="N151" s="2385"/>
      <c r="O151" s="2386"/>
      <c r="P151" s="2385"/>
      <c r="Q151" s="2385"/>
      <c r="R151" s="2387"/>
    </row>
    <row r="152" spans="2:18" s="2360" customFormat="1">
      <c r="B152" s="2385"/>
      <c r="C152" s="2385"/>
      <c r="D152" s="2385"/>
      <c r="E152" s="2385"/>
      <c r="F152" s="2385"/>
      <c r="G152" s="2386"/>
      <c r="H152" s="2385"/>
      <c r="I152" s="2386"/>
      <c r="J152" s="2385"/>
      <c r="K152" s="2385"/>
      <c r="L152" s="2386"/>
      <c r="M152" s="2385"/>
      <c r="N152" s="2385"/>
      <c r="O152" s="2386"/>
      <c r="P152" s="2385"/>
      <c r="Q152" s="2385"/>
      <c r="R152" s="2387"/>
    </row>
    <row r="153" spans="2:18" s="2360" customFormat="1">
      <c r="B153" s="2385"/>
      <c r="C153" s="2385"/>
      <c r="D153" s="2385"/>
      <c r="E153" s="2385"/>
      <c r="F153" s="2385"/>
      <c r="G153" s="2386"/>
      <c r="H153" s="2385"/>
      <c r="I153" s="2386"/>
      <c r="J153" s="2385"/>
      <c r="K153" s="2385"/>
      <c r="L153" s="2386"/>
      <c r="M153" s="2385"/>
      <c r="N153" s="2385"/>
      <c r="O153" s="2386"/>
      <c r="P153" s="2385"/>
      <c r="Q153" s="2385"/>
      <c r="R153" s="2387"/>
    </row>
    <row r="154" spans="2:18" s="2360" customFormat="1">
      <c r="B154" s="2385"/>
      <c r="C154" s="2385"/>
      <c r="D154" s="2385"/>
      <c r="E154" s="2385"/>
      <c r="F154" s="2385"/>
      <c r="G154" s="2386"/>
      <c r="H154" s="2385"/>
      <c r="I154" s="2386"/>
      <c r="J154" s="2385"/>
      <c r="K154" s="2385"/>
      <c r="L154" s="2386"/>
      <c r="M154" s="2385"/>
      <c r="N154" s="2385"/>
      <c r="O154" s="2386"/>
      <c r="P154" s="2385"/>
      <c r="Q154" s="2385"/>
      <c r="R154" s="2387"/>
    </row>
    <row r="155" spans="2:18" s="2360" customFormat="1">
      <c r="B155" s="2385"/>
      <c r="C155" s="2385"/>
      <c r="D155" s="2385"/>
      <c r="E155" s="2385"/>
      <c r="F155" s="2385"/>
      <c r="G155" s="2386"/>
      <c r="H155" s="2385"/>
      <c r="I155" s="2386"/>
      <c r="J155" s="2385"/>
      <c r="K155" s="2385"/>
      <c r="L155" s="2386"/>
      <c r="M155" s="2385"/>
      <c r="N155" s="2385"/>
      <c r="O155" s="2386"/>
      <c r="P155" s="2385"/>
      <c r="Q155" s="2385"/>
      <c r="R155" s="2387"/>
    </row>
    <row r="156" spans="2:18" s="2360" customFormat="1">
      <c r="B156" s="2385"/>
      <c r="C156" s="2385"/>
      <c r="D156" s="2385"/>
      <c r="E156" s="2385"/>
      <c r="F156" s="2385"/>
      <c r="G156" s="2386"/>
      <c r="H156" s="2385"/>
      <c r="I156" s="2386"/>
      <c r="J156" s="2385"/>
      <c r="K156" s="2385"/>
      <c r="L156" s="2386"/>
      <c r="M156" s="2385"/>
      <c r="N156" s="2385"/>
      <c r="O156" s="2386"/>
      <c r="P156" s="2385"/>
      <c r="Q156" s="2385"/>
      <c r="R156" s="2387"/>
    </row>
    <row r="157" spans="2:18" s="2360" customFormat="1">
      <c r="B157" s="2385"/>
      <c r="C157" s="2385"/>
      <c r="D157" s="2385"/>
      <c r="E157" s="2385"/>
      <c r="F157" s="2385"/>
      <c r="G157" s="2386"/>
      <c r="H157" s="2385"/>
      <c r="I157" s="2386"/>
      <c r="J157" s="2385"/>
      <c r="K157" s="2385"/>
      <c r="L157" s="2386"/>
      <c r="M157" s="2385"/>
      <c r="N157" s="2385"/>
      <c r="O157" s="2386"/>
      <c r="P157" s="2385"/>
      <c r="Q157" s="2385"/>
      <c r="R157" s="2387"/>
    </row>
    <row r="158" spans="2:18" s="2360" customFormat="1">
      <c r="B158" s="2385"/>
      <c r="C158" s="2385"/>
      <c r="D158" s="2385"/>
      <c r="E158" s="2385"/>
      <c r="F158" s="2385"/>
      <c r="G158" s="2386"/>
      <c r="H158" s="2385"/>
      <c r="I158" s="2386"/>
      <c r="J158" s="2385"/>
      <c r="K158" s="2385"/>
      <c r="L158" s="2386"/>
      <c r="M158" s="2385"/>
      <c r="N158" s="2385"/>
      <c r="O158" s="2386"/>
      <c r="P158" s="2385"/>
      <c r="Q158" s="2385"/>
      <c r="R158" s="2387"/>
    </row>
    <row r="159" spans="2:18" s="2360" customFormat="1">
      <c r="B159" s="2385"/>
      <c r="C159" s="2385"/>
      <c r="D159" s="2385"/>
      <c r="E159" s="2385"/>
      <c r="F159" s="2385"/>
      <c r="G159" s="2386"/>
      <c r="H159" s="2385"/>
      <c r="I159" s="2386"/>
      <c r="J159" s="2385"/>
      <c r="K159" s="2385"/>
      <c r="L159" s="2386"/>
      <c r="M159" s="2385"/>
      <c r="N159" s="2385"/>
      <c r="O159" s="2386"/>
      <c r="P159" s="2385"/>
      <c r="Q159" s="2385"/>
      <c r="R159" s="2387"/>
    </row>
    <row r="160" spans="2:18" s="2360" customFormat="1">
      <c r="B160" s="2385"/>
      <c r="C160" s="2385"/>
      <c r="D160" s="2385"/>
      <c r="E160" s="2385"/>
      <c r="F160" s="2385"/>
      <c r="G160" s="2386"/>
      <c r="H160" s="2385"/>
      <c r="I160" s="2386"/>
      <c r="J160" s="2385"/>
      <c r="K160" s="2385"/>
      <c r="L160" s="2386"/>
      <c r="M160" s="2385"/>
      <c r="N160" s="2385"/>
      <c r="O160" s="2386"/>
      <c r="P160" s="2385"/>
      <c r="Q160" s="2385"/>
      <c r="R160" s="2387"/>
    </row>
    <row r="161" spans="2:18" s="2360" customFormat="1">
      <c r="B161" s="2385"/>
      <c r="C161" s="2385"/>
      <c r="D161" s="2385"/>
      <c r="E161" s="2385"/>
      <c r="F161" s="2385"/>
      <c r="G161" s="2386"/>
      <c r="H161" s="2385"/>
      <c r="I161" s="2386"/>
      <c r="J161" s="2385"/>
      <c r="K161" s="2385"/>
      <c r="L161" s="2386"/>
      <c r="M161" s="2385"/>
      <c r="N161" s="2385"/>
      <c r="O161" s="2386"/>
      <c r="P161" s="2385"/>
      <c r="Q161" s="2385"/>
      <c r="R161" s="2387"/>
    </row>
    <row r="162" spans="2:18" s="2360" customFormat="1">
      <c r="B162" s="2385"/>
      <c r="C162" s="2385"/>
      <c r="D162" s="2385"/>
      <c r="E162" s="2385"/>
      <c r="F162" s="2385"/>
      <c r="G162" s="2386"/>
      <c r="H162" s="2385"/>
      <c r="I162" s="2386"/>
      <c r="J162" s="2385"/>
      <c r="K162" s="2385"/>
      <c r="L162" s="2386"/>
      <c r="M162" s="2385"/>
      <c r="N162" s="2385"/>
      <c r="O162" s="2386"/>
      <c r="P162" s="2385"/>
      <c r="Q162" s="2385"/>
      <c r="R162" s="2387"/>
    </row>
    <row r="163" spans="2:18" s="2360" customFormat="1">
      <c r="B163" s="2385"/>
      <c r="C163" s="2385"/>
      <c r="D163" s="2385"/>
      <c r="E163" s="2385"/>
      <c r="F163" s="2385"/>
      <c r="G163" s="2386"/>
      <c r="H163" s="2385"/>
      <c r="I163" s="2386"/>
      <c r="J163" s="2385"/>
      <c r="K163" s="2385"/>
      <c r="L163" s="2386"/>
      <c r="M163" s="2385"/>
      <c r="N163" s="2385"/>
      <c r="O163" s="2386"/>
      <c r="P163" s="2385"/>
      <c r="Q163" s="2385"/>
      <c r="R163" s="2387"/>
    </row>
    <row r="164" spans="2:18" s="2360" customFormat="1">
      <c r="B164" s="2385"/>
      <c r="C164" s="2385"/>
      <c r="D164" s="2385"/>
      <c r="E164" s="2385"/>
      <c r="F164" s="2385"/>
      <c r="G164" s="2386"/>
      <c r="H164" s="2385"/>
      <c r="I164" s="2386"/>
      <c r="J164" s="2385"/>
      <c r="K164" s="2385"/>
      <c r="L164" s="2386"/>
      <c r="M164" s="2385"/>
      <c r="N164" s="2385"/>
      <c r="O164" s="2386"/>
      <c r="P164" s="2385"/>
      <c r="Q164" s="2385"/>
      <c r="R164" s="2387"/>
    </row>
    <row r="165" spans="2:18" s="2360" customFormat="1">
      <c r="B165" s="2385"/>
      <c r="C165" s="2385"/>
      <c r="D165" s="2385"/>
      <c r="E165" s="2385"/>
      <c r="F165" s="2385"/>
      <c r="G165" s="2386"/>
      <c r="H165" s="2385"/>
      <c r="I165" s="2386"/>
      <c r="J165" s="2385"/>
      <c r="K165" s="2385"/>
      <c r="L165" s="2386"/>
      <c r="M165" s="2385"/>
      <c r="N165" s="2385"/>
      <c r="O165" s="2386"/>
      <c r="P165" s="2385"/>
      <c r="Q165" s="2385"/>
      <c r="R165" s="2387"/>
    </row>
    <row r="166" spans="2:18" s="2360" customFormat="1">
      <c r="B166" s="2385"/>
      <c r="C166" s="2385"/>
      <c r="D166" s="2385"/>
      <c r="E166" s="2385"/>
      <c r="F166" s="2385"/>
      <c r="G166" s="2386"/>
      <c r="H166" s="2385"/>
      <c r="I166" s="2386"/>
      <c r="J166" s="2385"/>
      <c r="K166" s="2385"/>
      <c r="L166" s="2386"/>
      <c r="M166" s="2385"/>
      <c r="N166" s="2385"/>
      <c r="O166" s="2386"/>
      <c r="P166" s="2385"/>
      <c r="Q166" s="2385"/>
      <c r="R166" s="2387"/>
    </row>
    <row r="167" spans="2:18" s="2360" customFormat="1">
      <c r="B167" s="2385"/>
      <c r="C167" s="2385"/>
      <c r="D167" s="2385"/>
      <c r="E167" s="2385"/>
      <c r="F167" s="2385"/>
      <c r="G167" s="2386"/>
      <c r="H167" s="2385"/>
      <c r="I167" s="2386"/>
      <c r="J167" s="2385"/>
      <c r="K167" s="2385"/>
      <c r="L167" s="2386"/>
      <c r="M167" s="2385"/>
      <c r="N167" s="2385"/>
      <c r="O167" s="2386"/>
      <c r="P167" s="2385"/>
      <c r="Q167" s="2385"/>
      <c r="R167" s="2387"/>
    </row>
    <row r="168" spans="2:18" s="2360" customFormat="1">
      <c r="B168" s="2385"/>
      <c r="C168" s="2385"/>
      <c r="D168" s="2385"/>
      <c r="E168" s="2385"/>
      <c r="F168" s="2385"/>
      <c r="G168" s="2386"/>
      <c r="H168" s="2385"/>
      <c r="I168" s="2386"/>
      <c r="J168" s="2385"/>
      <c r="K168" s="2385"/>
      <c r="L168" s="2386"/>
      <c r="M168" s="2385"/>
      <c r="N168" s="2385"/>
      <c r="O168" s="2386"/>
      <c r="P168" s="2385"/>
      <c r="Q168" s="2385"/>
      <c r="R168" s="2387"/>
    </row>
    <row r="169" spans="2:18" s="2360" customFormat="1">
      <c r="B169" s="2385"/>
      <c r="C169" s="2385"/>
      <c r="D169" s="2385"/>
      <c r="E169" s="2385"/>
      <c r="F169" s="2385"/>
      <c r="G169" s="2386"/>
      <c r="H169" s="2385"/>
      <c r="I169" s="2386"/>
      <c r="J169" s="2385"/>
      <c r="K169" s="2385"/>
      <c r="L169" s="2386"/>
      <c r="M169" s="2385"/>
      <c r="N169" s="2385"/>
      <c r="O169" s="2386"/>
      <c r="P169" s="2385"/>
      <c r="Q169" s="2385"/>
      <c r="R169" s="2387"/>
    </row>
    <row r="170" spans="2:18" s="2360" customFormat="1">
      <c r="B170" s="2385"/>
      <c r="C170" s="2385"/>
      <c r="D170" s="2385"/>
      <c r="E170" s="2385"/>
      <c r="F170" s="2385"/>
      <c r="G170" s="2386"/>
      <c r="H170" s="2385"/>
      <c r="I170" s="2386"/>
      <c r="J170" s="2385"/>
      <c r="K170" s="2385"/>
      <c r="L170" s="2386"/>
      <c r="M170" s="2385"/>
      <c r="N170" s="2385"/>
      <c r="O170" s="2386"/>
      <c r="P170" s="2385"/>
      <c r="Q170" s="2385"/>
      <c r="R170" s="2387"/>
    </row>
    <row r="171" spans="2:18" s="2360" customFormat="1">
      <c r="B171" s="2385"/>
      <c r="C171" s="2385"/>
      <c r="D171" s="2385"/>
      <c r="E171" s="2385"/>
      <c r="F171" s="2385"/>
      <c r="G171" s="2386"/>
      <c r="H171" s="2385"/>
      <c r="I171" s="2386"/>
      <c r="J171" s="2385"/>
      <c r="K171" s="2385"/>
      <c r="L171" s="2386"/>
      <c r="M171" s="2385"/>
      <c r="N171" s="2385"/>
      <c r="O171" s="2386"/>
      <c r="P171" s="2385"/>
      <c r="Q171" s="2385"/>
      <c r="R171" s="2387"/>
    </row>
    <row r="172" spans="2:18" s="2360" customFormat="1">
      <c r="B172" s="2385"/>
      <c r="C172" s="2385"/>
      <c r="D172" s="2385"/>
      <c r="E172" s="2385"/>
      <c r="F172" s="2385"/>
      <c r="G172" s="2386"/>
      <c r="H172" s="2385"/>
      <c r="I172" s="2386"/>
      <c r="J172" s="2385"/>
      <c r="K172" s="2385"/>
      <c r="L172" s="2386"/>
      <c r="M172" s="2385"/>
      <c r="N172" s="2385"/>
      <c r="O172" s="2386"/>
      <c r="P172" s="2385"/>
      <c r="Q172" s="2385"/>
      <c r="R172" s="2387"/>
    </row>
    <row r="173" spans="2:18" s="2360" customFormat="1">
      <c r="B173" s="2385"/>
      <c r="C173" s="2385"/>
      <c r="D173" s="2385"/>
      <c r="E173" s="2385"/>
      <c r="F173" s="2385"/>
      <c r="G173" s="2386"/>
      <c r="H173" s="2385"/>
      <c r="I173" s="2386"/>
      <c r="J173" s="2385"/>
      <c r="K173" s="2385"/>
      <c r="L173" s="2386"/>
      <c r="M173" s="2385"/>
      <c r="N173" s="2385"/>
      <c r="O173" s="2386"/>
      <c r="P173" s="2385"/>
      <c r="Q173" s="2385"/>
      <c r="R173" s="2387"/>
    </row>
    <row r="174" spans="2:18" s="2360" customFormat="1">
      <c r="B174" s="2385"/>
      <c r="C174" s="2385"/>
      <c r="D174" s="2385"/>
      <c r="E174" s="2385"/>
      <c r="F174" s="2385"/>
      <c r="G174" s="2386"/>
      <c r="H174" s="2385"/>
      <c r="I174" s="2386"/>
      <c r="J174" s="2385"/>
      <c r="K174" s="2385"/>
      <c r="L174" s="2386"/>
      <c r="M174" s="2385"/>
      <c r="N174" s="2385"/>
      <c r="O174" s="2386"/>
      <c r="P174" s="2385"/>
      <c r="Q174" s="2385"/>
      <c r="R174" s="2387"/>
    </row>
    <row r="175" spans="2:18" s="2360" customFormat="1">
      <c r="B175" s="2385"/>
      <c r="C175" s="2385"/>
      <c r="D175" s="2385"/>
      <c r="E175" s="2385"/>
      <c r="F175" s="2385"/>
      <c r="G175" s="2386"/>
      <c r="H175" s="2385"/>
      <c r="I175" s="2386"/>
      <c r="J175" s="2385"/>
      <c r="K175" s="2385"/>
      <c r="L175" s="2386"/>
      <c r="M175" s="2385"/>
      <c r="N175" s="2385"/>
      <c r="O175" s="2386"/>
      <c r="P175" s="2385"/>
      <c r="Q175" s="2385"/>
      <c r="R175" s="2387"/>
    </row>
    <row r="176" spans="2:18" s="2360" customFormat="1">
      <c r="B176" s="2385"/>
      <c r="C176" s="2385"/>
      <c r="D176" s="2385"/>
      <c r="E176" s="2385"/>
      <c r="F176" s="2385"/>
      <c r="G176" s="2386"/>
      <c r="H176" s="2385"/>
      <c r="I176" s="2386"/>
      <c r="J176" s="2385"/>
      <c r="K176" s="2385"/>
      <c r="L176" s="2386"/>
      <c r="M176" s="2385"/>
      <c r="N176" s="2385"/>
      <c r="O176" s="2386"/>
      <c r="P176" s="2385"/>
      <c r="Q176" s="2385"/>
      <c r="R176" s="2387"/>
    </row>
    <row r="177" spans="1:18" s="2360" customFormat="1">
      <c r="B177" s="2385"/>
      <c r="C177" s="2385"/>
      <c r="D177" s="2385"/>
      <c r="E177" s="2385"/>
      <c r="F177" s="2385"/>
      <c r="G177" s="2386"/>
      <c r="H177" s="2385"/>
      <c r="I177" s="2386"/>
      <c r="J177" s="2385"/>
      <c r="K177" s="2385"/>
      <c r="L177" s="2386"/>
      <c r="M177" s="2385"/>
      <c r="N177" s="2385"/>
      <c r="O177" s="2386"/>
      <c r="P177" s="2385"/>
      <c r="Q177" s="2385"/>
      <c r="R177" s="2387"/>
    </row>
    <row r="178" spans="1:18" s="2360" customFormat="1">
      <c r="B178" s="2385"/>
      <c r="C178" s="2385"/>
      <c r="D178" s="2385"/>
      <c r="E178" s="2385"/>
      <c r="F178" s="2385"/>
      <c r="G178" s="2386"/>
      <c r="H178" s="2385"/>
      <c r="I178" s="2386"/>
      <c r="J178" s="2385"/>
      <c r="K178" s="2385"/>
      <c r="L178" s="2386"/>
      <c r="M178" s="2385"/>
      <c r="N178" s="2385"/>
      <c r="O178" s="2386"/>
      <c r="P178" s="2385"/>
      <c r="Q178" s="2385"/>
      <c r="R178" s="2387"/>
    </row>
    <row r="179" spans="1:18" s="2360" customFormat="1">
      <c r="B179" s="2385"/>
      <c r="C179" s="2385"/>
      <c r="D179" s="2385"/>
      <c r="E179" s="2385"/>
      <c r="F179" s="2385"/>
      <c r="G179" s="2386"/>
      <c r="H179" s="2385"/>
      <c r="I179" s="2386"/>
      <c r="J179" s="2385"/>
      <c r="K179" s="2385"/>
      <c r="L179" s="2386"/>
      <c r="M179" s="2385"/>
      <c r="N179" s="2385"/>
      <c r="O179" s="2386"/>
      <c r="P179" s="2385"/>
      <c r="Q179" s="2385"/>
      <c r="R179" s="2387"/>
    </row>
    <row r="180" spans="1:18" s="2360" customFormat="1">
      <c r="B180" s="2385"/>
      <c r="C180" s="2385"/>
      <c r="D180" s="2385"/>
      <c r="E180" s="2385"/>
      <c r="F180" s="2385"/>
      <c r="G180" s="2386"/>
      <c r="H180" s="2385"/>
      <c r="I180" s="2386"/>
      <c r="J180" s="2385"/>
      <c r="K180" s="2385"/>
      <c r="L180" s="2386"/>
      <c r="M180" s="2385"/>
      <c r="N180" s="2385"/>
      <c r="O180" s="2386"/>
      <c r="P180" s="2385"/>
      <c r="Q180" s="2385"/>
      <c r="R180" s="2387"/>
    </row>
    <row r="181" spans="1:18" s="2360" customFormat="1">
      <c r="B181" s="2385"/>
      <c r="C181" s="2385"/>
      <c r="D181" s="2385"/>
      <c r="E181" s="2385"/>
      <c r="F181" s="2385"/>
      <c r="G181" s="2386"/>
      <c r="H181" s="2385"/>
      <c r="I181" s="2386"/>
      <c r="J181" s="2385"/>
      <c r="K181" s="2385"/>
      <c r="L181" s="2386"/>
      <c r="M181" s="2385"/>
      <c r="N181" s="2385"/>
      <c r="O181" s="2386"/>
      <c r="P181" s="2385"/>
      <c r="Q181" s="2385"/>
      <c r="R181" s="2387"/>
    </row>
    <row r="182" spans="1:18" s="2360" customFormat="1">
      <c r="B182" s="2385"/>
      <c r="C182" s="2385"/>
      <c r="D182" s="2385"/>
      <c r="E182" s="2385"/>
      <c r="F182" s="2385"/>
      <c r="G182" s="2386"/>
      <c r="H182" s="2385"/>
      <c r="I182" s="2386"/>
      <c r="J182" s="2385"/>
      <c r="K182" s="2385"/>
      <c r="L182" s="2386"/>
      <c r="M182" s="2385"/>
      <c r="N182" s="2385"/>
      <c r="O182" s="2386"/>
      <c r="P182" s="2385"/>
      <c r="Q182" s="2385"/>
      <c r="R182" s="2387"/>
    </row>
    <row r="183" spans="1:18" s="2360" customFormat="1">
      <c r="B183" s="2385"/>
      <c r="C183" s="2385"/>
      <c r="D183" s="2385"/>
      <c r="E183" s="2385"/>
      <c r="F183" s="2385"/>
      <c r="G183" s="2386"/>
      <c r="H183" s="2385"/>
      <c r="I183" s="2386"/>
      <c r="J183" s="2385"/>
      <c r="K183" s="2385"/>
      <c r="L183" s="2386"/>
      <c r="M183" s="2385"/>
      <c r="N183" s="2385"/>
      <c r="O183" s="2386"/>
      <c r="P183" s="2385"/>
      <c r="Q183" s="2385"/>
      <c r="R183" s="2387"/>
    </row>
    <row r="184" spans="1:18" s="2360" customFormat="1">
      <c r="B184" s="2385"/>
      <c r="C184" s="2385"/>
      <c r="D184" s="2385"/>
      <c r="E184" s="2385"/>
      <c r="F184" s="2385"/>
      <c r="G184" s="2386"/>
      <c r="H184" s="2385"/>
      <c r="I184" s="2386"/>
      <c r="J184" s="2385"/>
      <c r="K184" s="2385"/>
      <c r="L184" s="2386"/>
      <c r="M184" s="2385"/>
      <c r="N184" s="2385"/>
      <c r="O184" s="2386"/>
      <c r="P184" s="2385"/>
      <c r="Q184" s="2385"/>
      <c r="R184" s="2387"/>
    </row>
    <row r="185" spans="1:18" s="2360"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60"/>
      <c r="B186" s="2385"/>
      <c r="C186" s="2385"/>
      <c r="E186" s="2385"/>
      <c r="F186" s="2385"/>
      <c r="G186" s="2386"/>
    </row>
    <row r="187" spans="1:18">
      <c r="A187" s="2360"/>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256595.18999999997</v>
      </c>
      <c r="C1" s="1740"/>
      <c r="D1" s="1740"/>
      <c r="E1" s="1740"/>
      <c r="F1" s="1740"/>
      <c r="G1" s="1738"/>
    </row>
    <row r="2" spans="1:10" ht="16.5">
      <c r="A2" s="1741" t="s">
        <v>1349</v>
      </c>
      <c r="B2" s="1741">
        <f>SUM(C14:C23)</f>
        <v>63995.17</v>
      </c>
      <c r="C2" s="1740"/>
      <c r="D2" s="1740"/>
      <c r="E2" s="1740"/>
      <c r="F2" s="1740"/>
      <c r="G2" s="1738"/>
    </row>
    <row r="3" spans="1:10" ht="16.5">
      <c r="A3" s="1741" t="s">
        <v>1358</v>
      </c>
      <c r="B3" s="1742">
        <f>项目基本情况!D3</f>
        <v>43621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40066</v>
      </c>
      <c r="C5" s="1741">
        <f ca="1">ROUND(B5*10000/$B$1,0)</f>
        <v>1561</v>
      </c>
      <c r="D5" s="1741">
        <f ca="1">ROUND(B5*10000/$B$2,0)</f>
        <v>6261</v>
      </c>
      <c r="E5" s="1740"/>
      <c r="F5" s="1738"/>
      <c r="G5" s="1738"/>
    </row>
    <row r="6" spans="1:10" ht="16.5">
      <c r="A6" s="1741" t="s">
        <v>1352</v>
      </c>
      <c r="B6" s="1741">
        <f ca="1">SUM(G14:G23)</f>
        <v>40066</v>
      </c>
      <c r="C6" s="1741">
        <f ca="1">ROUND(B6*10000/$B$1,0)</f>
        <v>1561</v>
      </c>
      <c r="D6" s="1741">
        <f ca="1">ROUND(B6*10000/$B$2,0)</f>
        <v>6261</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256595.18999999997</v>
      </c>
      <c r="C14" s="1739">
        <f>结果表!C118</f>
        <v>63995.17</v>
      </c>
      <c r="D14" s="1739">
        <f ca="1">结果表!H118</f>
        <v>40066</v>
      </c>
      <c r="E14" s="1739">
        <f ca="1">ROUND(D14*10000/B14,0)</f>
        <v>1561</v>
      </c>
      <c r="F14" s="1739">
        <f ca="1">ROUND(D14*10000/C14,0)</f>
        <v>6261</v>
      </c>
      <c r="G14" s="1739">
        <f ca="1">结果表!D122</f>
        <v>40066</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68" sqref="C68"/>
    </sheetView>
  </sheetViews>
  <sheetFormatPr defaultColWidth="12.625" defaultRowHeight="21.75" customHeight="1"/>
  <cols>
    <col min="1" max="2" width="12.625" style="2414"/>
    <col min="3" max="4" width="12.625" style="2414" customWidth="1"/>
    <col min="5" max="9" width="12.625" style="2414"/>
    <col min="10" max="11" width="12.625" style="794" customWidth="1"/>
    <col min="12" max="12" width="12.625" style="794"/>
    <col min="13" max="13" width="14.125" style="794" bestFit="1" customWidth="1"/>
    <col min="14" max="26" width="12.625" style="794"/>
    <col min="27" max="35" width="12.625" style="2413"/>
    <col min="36" max="16384" width="12.625" style="2414"/>
  </cols>
  <sheetData>
    <row r="1" spans="1:12" ht="21.75" customHeight="1" thickBot="1">
      <c r="A1" s="2218" t="s">
        <v>2107</v>
      </c>
      <c r="B1" s="2408"/>
      <c r="C1" s="2409"/>
      <c r="D1" s="2408"/>
      <c r="E1" s="2408"/>
      <c r="F1" s="2410" t="s">
        <v>2108</v>
      </c>
      <c r="G1" s="2064" t="s">
        <v>2109</v>
      </c>
      <c r="H1" s="2411" t="str">
        <f>IF(G1="现房","——","估价对象范围")</f>
        <v>估价对象范围</v>
      </c>
      <c r="I1" s="2412" t="s">
        <v>3510</v>
      </c>
    </row>
    <row r="2" spans="1:12" ht="21.75" customHeight="1" thickBot="1">
      <c r="A2" s="3145" t="str">
        <f>项目基本情况!S2</f>
        <v>云南省昆明市晋宁区晋城镇草村村民委员会住宅、商业、地下车库用地出让国有建设用地使用权及在建建筑物房地产</v>
      </c>
      <c r="B2" s="3146"/>
      <c r="C2" s="3146"/>
      <c r="D2" s="3146"/>
      <c r="E2" s="3146"/>
      <c r="F2" s="3146"/>
      <c r="G2" s="3146"/>
      <c r="H2" s="3146"/>
      <c r="I2" s="3147"/>
    </row>
    <row r="3" spans="1:12" ht="12.75">
      <c r="A3" s="3149" t="s">
        <v>2110</v>
      </c>
      <c r="B3" s="3150"/>
      <c r="C3" s="3150"/>
      <c r="D3" s="3150"/>
      <c r="E3" s="3150"/>
      <c r="F3" s="3150"/>
      <c r="G3" s="3150"/>
      <c r="H3" s="3150"/>
      <c r="I3" s="3150"/>
    </row>
    <row r="4" spans="1:12" ht="14.25">
      <c r="A4" s="2415" t="s">
        <v>2111</v>
      </c>
      <c r="B4" s="2416" t="s">
        <v>2112</v>
      </c>
      <c r="C4" s="2417" t="s">
        <v>3233</v>
      </c>
      <c r="D4" s="2417" t="s">
        <v>3234</v>
      </c>
      <c r="E4" s="3142" t="s">
        <v>2113</v>
      </c>
      <c r="F4" s="3143"/>
      <c r="G4" s="3143"/>
      <c r="H4" s="3143"/>
      <c r="I4" s="3151"/>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2.75">
      <c r="A5" s="3125" t="s">
        <v>2114</v>
      </c>
      <c r="B5" s="3043">
        <v>25</v>
      </c>
      <c r="C5" s="3128"/>
      <c r="D5" s="3148"/>
      <c r="E5" s="140" t="s">
        <v>2115</v>
      </c>
      <c r="F5" s="2419"/>
      <c r="G5" s="2419"/>
      <c r="H5" s="2419"/>
      <c r="I5" s="1829"/>
    </row>
    <row r="6" spans="1:12" ht="12.75">
      <c r="A6" s="3125"/>
      <c r="B6" s="3043"/>
      <c r="C6" s="3129"/>
      <c r="D6" s="3148"/>
      <c r="E6" s="140" t="s">
        <v>2116</v>
      </c>
      <c r="F6" s="2419"/>
      <c r="G6" s="2419"/>
      <c r="H6" s="2419"/>
      <c r="I6" s="1829"/>
    </row>
    <row r="7" spans="1:12" ht="12.75">
      <c r="A7" s="3125"/>
      <c r="B7" s="3043"/>
      <c r="C7" s="3130"/>
      <c r="D7" s="3148"/>
      <c r="E7" s="140" t="s">
        <v>2117</v>
      </c>
      <c r="F7" s="2419"/>
      <c r="G7" s="2419"/>
      <c r="H7" s="2419"/>
      <c r="I7" s="1829"/>
    </row>
    <row r="8" spans="1:12" ht="12.75">
      <c r="A8" s="3125" t="s">
        <v>2118</v>
      </c>
      <c r="B8" s="3043">
        <v>15</v>
      </c>
      <c r="C8" s="3128"/>
      <c r="D8" s="3148"/>
      <c r="E8" s="140" t="s">
        <v>2119</v>
      </c>
      <c r="F8" s="2419"/>
      <c r="G8" s="2419"/>
      <c r="H8" s="2419"/>
      <c r="I8" s="1829"/>
    </row>
    <row r="9" spans="1:12" ht="12.75">
      <c r="A9" s="3125"/>
      <c r="B9" s="3043"/>
      <c r="C9" s="3130"/>
      <c r="D9" s="3148"/>
      <c r="E9" s="140" t="s">
        <v>2120</v>
      </c>
      <c r="F9" s="2419"/>
      <c r="G9" s="2419"/>
      <c r="H9" s="2419"/>
      <c r="I9" s="1829"/>
    </row>
    <row r="10" spans="1:12" ht="12.75">
      <c r="A10" s="3125" t="s">
        <v>2121</v>
      </c>
      <c r="B10" s="3043">
        <v>15</v>
      </c>
      <c r="C10" s="3128"/>
      <c r="D10" s="3148"/>
      <c r="E10" s="140" t="s">
        <v>2122</v>
      </c>
      <c r="F10" s="2419"/>
      <c r="G10" s="2419"/>
      <c r="H10" s="2419"/>
      <c r="I10" s="1829"/>
    </row>
    <row r="11" spans="1:12" ht="12.75">
      <c r="A11" s="3125"/>
      <c r="B11" s="3043"/>
      <c r="C11" s="3130"/>
      <c r="D11" s="3148"/>
      <c r="E11" s="140" t="s">
        <v>2123</v>
      </c>
      <c r="F11" s="2419"/>
      <c r="G11" s="2419"/>
      <c r="H11" s="2419"/>
      <c r="I11" s="1829"/>
    </row>
    <row r="12" spans="1:12" ht="12.75">
      <c r="A12" s="3125" t="s">
        <v>2124</v>
      </c>
      <c r="B12" s="3043">
        <v>15</v>
      </c>
      <c r="C12" s="3128"/>
      <c r="D12" s="3148"/>
      <c r="E12" s="140" t="s">
        <v>2125</v>
      </c>
      <c r="F12" s="2419"/>
      <c r="G12" s="2419"/>
      <c r="H12" s="2419"/>
      <c r="I12" s="1829"/>
    </row>
    <row r="13" spans="1:12" ht="12.75">
      <c r="A13" s="3125"/>
      <c r="B13" s="3043"/>
      <c r="C13" s="3130"/>
      <c r="D13" s="3148"/>
      <c r="E13" s="140" t="s">
        <v>2126</v>
      </c>
      <c r="F13" s="2419"/>
      <c r="G13" s="2419"/>
      <c r="H13" s="2419"/>
      <c r="I13" s="1829"/>
    </row>
    <row r="14" spans="1:12" ht="12.75">
      <c r="A14" s="3125" t="s">
        <v>2127</v>
      </c>
      <c r="B14" s="3043">
        <v>30</v>
      </c>
      <c r="C14" s="3128">
        <v>6</v>
      </c>
      <c r="D14" s="3148">
        <v>4</v>
      </c>
      <c r="E14" s="140" t="s">
        <v>2128</v>
      </c>
      <c r="F14" s="2419"/>
      <c r="G14" s="2419"/>
      <c r="H14" s="2419"/>
      <c r="I14" s="1829"/>
    </row>
    <row r="15" spans="1:12" ht="12.75">
      <c r="A15" s="3125"/>
      <c r="B15" s="3043"/>
      <c r="C15" s="3129"/>
      <c r="D15" s="3148"/>
      <c r="E15" s="140" t="s">
        <v>2129</v>
      </c>
      <c r="F15" s="2419"/>
      <c r="G15" s="2419"/>
      <c r="H15" s="2419"/>
      <c r="I15" s="1829"/>
    </row>
    <row r="16" spans="1:12" ht="12.75">
      <c r="A16" s="3125"/>
      <c r="B16" s="3043"/>
      <c r="C16" s="3130"/>
      <c r="D16" s="3148"/>
      <c r="E16" s="140" t="s">
        <v>2130</v>
      </c>
      <c r="F16" s="2419"/>
      <c r="G16" s="2419"/>
      <c r="H16" s="2419"/>
      <c r="I16" s="1829"/>
    </row>
    <row r="17" spans="1:35" ht="15">
      <c r="A17" s="2420" t="s">
        <v>2131</v>
      </c>
      <c r="B17" s="64"/>
      <c r="C17" s="141">
        <f>SUM(C5:C16)</f>
        <v>6</v>
      </c>
      <c r="D17" s="141">
        <f>SUM(D5:D16)</f>
        <v>4</v>
      </c>
      <c r="E17" s="138"/>
      <c r="F17" s="138"/>
      <c r="G17" s="138"/>
      <c r="H17" s="138"/>
      <c r="I17" s="138"/>
      <c r="K17" s="2418"/>
      <c r="L17" s="2421" t="s">
        <v>2132</v>
      </c>
      <c r="M17" s="2421" t="s">
        <v>2133</v>
      </c>
    </row>
    <row r="18" spans="1:35" ht="15.75" thickBot="1">
      <c r="A18" s="2422" t="s">
        <v>2134</v>
      </c>
      <c r="B18" s="2423"/>
      <c r="C18" s="142">
        <f>ROUND(C17/SUM(C17:D17),2)</f>
        <v>0.6</v>
      </c>
      <c r="D18" s="142">
        <f>1-C18</f>
        <v>0.4</v>
      </c>
      <c r="E18" s="138"/>
      <c r="F18" s="138"/>
      <c r="G18" s="138"/>
      <c r="H18" s="138"/>
      <c r="I18" s="138"/>
      <c r="K18" s="2418" t="s">
        <v>2135</v>
      </c>
      <c r="L18" s="2418">
        <f>IF(C1="",'数据-汇总表'!E3,SUMIF(项目类型,C1,'数据-汇总表'!E17:E26)+SUMIF(项目类型,C1,'数据-汇总表'!I17:I26))</f>
        <v>256595.18999999997</v>
      </c>
      <c r="M18" s="2418">
        <f>IF(C1="",'数据-汇总表'!E3,SUMIF(项目类型,C1,'数据-汇总表'!E17:E26))</f>
        <v>256595.18999999997</v>
      </c>
    </row>
    <row r="19" spans="1:35" ht="15">
      <c r="A19" s="2424" t="s">
        <v>2136</v>
      </c>
      <c r="B19" s="2425" t="s">
        <v>2137</v>
      </c>
      <c r="C19" s="143">
        <f ca="1">SUMIF(INDIRECT("'"&amp;C4&amp;"'"&amp;"!A:A"),结果表!B19,INDIRECT("'"&amp;C4&amp;"'"&amp;"!B:B"))</f>
        <v>34717</v>
      </c>
      <c r="D19" s="144">
        <f ca="1">SUMIF(INDIRECT("'"&amp;D4&amp;"'"&amp;"!A:A"),结果表!B19,INDIRECT("'"&amp;D4&amp;"'"&amp;"!B:B"))</f>
        <v>48089</v>
      </c>
      <c r="E19" s="2424" t="s">
        <v>2138</v>
      </c>
      <c r="F19" s="2425" t="s">
        <v>2137</v>
      </c>
      <c r="G19" s="145">
        <f ca="1">ROUND(C19*$C$18+D19*$D$18,0)</f>
        <v>40066</v>
      </c>
      <c r="H19" s="2426" t="s">
        <v>2139</v>
      </c>
      <c r="I19" s="138"/>
      <c r="K19" s="2418" t="s">
        <v>2140</v>
      </c>
      <c r="L19" s="2418">
        <f>IF(C1="",'数据-汇总表'!D3,SUMIF(项目类型,C1,'数据-汇总表'!D17:D26)+SUMIF(项目类型,C1,'数据-汇总表'!H17:H27))</f>
        <v>63995.17</v>
      </c>
      <c r="M19" s="2418">
        <f>IF(C1="",'数据-汇总表'!D3,SUMIF(项目类型,C1,'数据-汇总表'!D17:D26))</f>
        <v>63995.17</v>
      </c>
    </row>
    <row r="20" spans="1:35" ht="15">
      <c r="A20" s="2427"/>
      <c r="B20" s="1246" t="s">
        <v>2141</v>
      </c>
      <c r="C20" s="146">
        <f ca="1">SUMIF(INDIRECT("'"&amp;C4&amp;"'"&amp;"!A:A"),结果表!B20,INDIRECT("'"&amp;C4&amp;"'"&amp;"!B:B"))</f>
        <v>1353</v>
      </c>
      <c r="D20" s="147">
        <f ca="1">SUMIF(INDIRECT("'"&amp;D4&amp;"'"&amp;"!A:A"),结果表!B20,INDIRECT("'"&amp;D4&amp;"'"&amp;"!B:B"))</f>
        <v>1874</v>
      </c>
      <c r="E20" s="2427"/>
      <c r="F20" s="1246" t="s">
        <v>2141</v>
      </c>
      <c r="G20" s="148">
        <f ca="1">ROUND(C20*$C$18+D20*$D$18,0)</f>
        <v>1561</v>
      </c>
      <c r="H20" s="979" t="s">
        <v>2142</v>
      </c>
      <c r="I20" s="138"/>
    </row>
    <row r="21" spans="1:35" ht="15" customHeight="1" thickBot="1">
      <c r="A21" s="999"/>
      <c r="B21" s="2428" t="s">
        <v>2143</v>
      </c>
      <c r="C21" s="788">
        <f ca="1">ROUND(C19*10000/L19,0)</f>
        <v>5425</v>
      </c>
      <c r="D21" s="789">
        <f ca="1">ROUND(D19*10000/L19,0)</f>
        <v>7514</v>
      </c>
      <c r="E21" s="999"/>
      <c r="F21" s="2428" t="s">
        <v>2143</v>
      </c>
      <c r="G21" s="149">
        <f ca="1">ROUND(G19*10000/L19,0)</f>
        <v>6261</v>
      </c>
      <c r="H21" s="2429" t="s">
        <v>2142</v>
      </c>
      <c r="I21" s="138"/>
    </row>
    <row r="22" spans="1:35" ht="15" thickBot="1">
      <c r="A22" s="2273" t="s">
        <v>2144</v>
      </c>
      <c r="B22" s="2430"/>
      <c r="C22" s="2431"/>
      <c r="D22" s="790">
        <f ca="1">IF(C19&lt;D19,D19/C19-1,C19/D19-1)</f>
        <v>0.38517152979808156</v>
      </c>
      <c r="E22" s="138"/>
      <c r="F22" s="138"/>
      <c r="G22" s="138"/>
      <c r="H22" s="138"/>
      <c r="I22" s="138"/>
    </row>
    <row r="23" spans="1:35" ht="13.5" thickBot="1">
      <c r="A23" s="2408"/>
      <c r="B23" s="2408"/>
      <c r="C23" s="2408"/>
      <c r="D23" s="2408"/>
      <c r="E23" s="138"/>
      <c r="F23" s="138"/>
      <c r="G23" s="138"/>
      <c r="H23" s="138"/>
      <c r="I23" s="138"/>
    </row>
    <row r="24" spans="1:35" ht="14.25">
      <c r="A24" s="3119" t="s">
        <v>2145</v>
      </c>
      <c r="B24" s="2425" t="s">
        <v>2137</v>
      </c>
      <c r="C24" s="145">
        <f>IF(B30=0,0,D30)</f>
        <v>0</v>
      </c>
      <c r="D24" s="2432"/>
      <c r="E24" s="138"/>
      <c r="F24" s="138"/>
      <c r="G24" s="138"/>
      <c r="H24" s="138"/>
      <c r="I24" s="138"/>
    </row>
    <row r="25" spans="1:35" ht="14.25">
      <c r="A25" s="3120"/>
      <c r="B25" s="1246" t="s">
        <v>2141</v>
      </c>
      <c r="C25" s="150">
        <f>IF(B30=0,0,C30)</f>
        <v>0</v>
      </c>
      <c r="D25" s="2433"/>
      <c r="E25" s="138"/>
      <c r="F25" s="138"/>
      <c r="G25" s="138"/>
      <c r="H25" s="138"/>
      <c r="I25" s="138"/>
    </row>
    <row r="26" spans="1:35" ht="13.5" customHeight="1">
      <c r="A26" s="2434" t="s">
        <v>2146</v>
      </c>
      <c r="B26" s="151" t="s">
        <v>2147</v>
      </c>
      <c r="C26" s="151" t="s">
        <v>2148</v>
      </c>
      <c r="D26" s="152" t="s">
        <v>2149</v>
      </c>
      <c r="E26" s="138"/>
      <c r="F26" s="138"/>
      <c r="G26" s="138"/>
      <c r="H26" s="138"/>
      <c r="I26" s="138"/>
    </row>
    <row r="27" spans="1:35" ht="14.25">
      <c r="A27" s="2434">
        <f ca="1">G19*10000/'数据-汇总表'!F27</f>
        <v>2148.441050399244</v>
      </c>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2150</v>
      </c>
      <c r="B30" s="151"/>
      <c r="C30" s="151"/>
      <c r="D30" s="151"/>
      <c r="E30" s="2907" t="s">
        <v>3025</v>
      </c>
      <c r="F30" s="138"/>
      <c r="G30" s="138"/>
      <c r="H30" s="138"/>
      <c r="I30" s="138"/>
    </row>
    <row r="31" spans="1:35" s="2436" customFormat="1" ht="15" thickBot="1">
      <c r="A31" s="2435"/>
      <c r="B31" s="2435"/>
      <c r="C31" s="2435"/>
      <c r="D31" s="2435"/>
      <c r="E31" s="138"/>
      <c r="F31" s="138"/>
      <c r="G31" s="138"/>
      <c r="H31" s="138"/>
      <c r="I31" s="138"/>
      <c r="J31" s="794"/>
      <c r="K31" s="794"/>
      <c r="L31" s="794"/>
      <c r="M31" s="794"/>
      <c r="N31" s="794"/>
      <c r="O31" s="794"/>
      <c r="P31" s="794"/>
      <c r="Q31" s="794"/>
      <c r="R31" s="794"/>
      <c r="S31" s="794"/>
      <c r="T31" s="794"/>
      <c r="U31" s="794"/>
      <c r="V31" s="794"/>
      <c r="W31" s="794"/>
      <c r="X31" s="794"/>
      <c r="Y31" s="794"/>
      <c r="Z31" s="794"/>
      <c r="AA31" s="2413"/>
      <c r="AB31" s="2413"/>
      <c r="AC31" s="2413"/>
      <c r="AD31" s="2413"/>
      <c r="AE31" s="2413"/>
      <c r="AF31" s="2413"/>
      <c r="AG31" s="2413"/>
      <c r="AH31" s="2413"/>
      <c r="AI31" s="2413"/>
    </row>
    <row r="32" spans="1:35" ht="15.75" thickBot="1">
      <c r="A32" s="2437" t="s">
        <v>2151</v>
      </c>
      <c r="B32" s="2438"/>
      <c r="C32" s="153">
        <f ca="1">IF(D32="总价",G19-C24,G20-C25)</f>
        <v>40066</v>
      </c>
      <c r="D32" s="2439" t="s">
        <v>2152</v>
      </c>
      <c r="E32" s="138"/>
      <c r="F32" s="138"/>
      <c r="G32" s="138"/>
      <c r="H32" s="138"/>
      <c r="I32" s="138"/>
    </row>
    <row r="33" spans="1:15" ht="15">
      <c r="A33" s="956" t="s">
        <v>2153</v>
      </c>
      <c r="B33" s="2440"/>
      <c r="C33" s="2441" t="s">
        <v>3519</v>
      </c>
      <c r="D33" s="2442" t="s">
        <v>3233</v>
      </c>
      <c r="E33" s="2443" t="s">
        <v>2154</v>
      </c>
      <c r="F33" s="2444" t="str">
        <f>IF(D32="楼面单价","取值（单价）","取值（总价）")</f>
        <v>取值（总价）</v>
      </c>
      <c r="G33" s="138"/>
      <c r="H33" s="138"/>
      <c r="I33" s="138"/>
    </row>
    <row r="34" spans="1:15" ht="15">
      <c r="A34" s="2445"/>
      <c r="B34" s="2446" t="s">
        <v>2155</v>
      </c>
      <c r="C34" s="157">
        <f ca="1">IF(C33="自定义",F34,C32-C35)</f>
        <v>25442</v>
      </c>
      <c r="D34" s="1054">
        <f ca="1">IF(C33="自定义",ROUND(C34/C32,3),IF(C33="收益比率",SUMIF(INDIRECT("'"&amp;D33&amp;"'"&amp;"!b:b"),"土地收益比率",INDIRECT("'"&amp;D33&amp;"'"&amp;"!c:c")),SUMIF(INDIRECT("'"&amp;D33&amp;"'"&amp;"!b:b"),"土地成本比率",INDIRECT("'"&amp;D33&amp;"'"&amp;"!c:c"))))</f>
        <v>0.63500000000000001</v>
      </c>
      <c r="E34" s="2447" t="s">
        <v>2156</v>
      </c>
      <c r="F34" s="1734"/>
      <c r="G34" s="138"/>
      <c r="H34" s="138"/>
      <c r="I34" s="138"/>
    </row>
    <row r="35" spans="1:15" ht="15.75" thickBot="1">
      <c r="A35" s="2448"/>
      <c r="B35" s="2449" t="s">
        <v>2157</v>
      </c>
      <c r="C35" s="1440">
        <f ca="1">IF(C33="自定义",F35,ROUND(C32*D35,0))</f>
        <v>14624</v>
      </c>
      <c r="D35" s="1441">
        <f ca="1">IF(C33="自定义",ROUND(C35/C32,3),IF(C33="收益比率",SUMIF(INDIRECT("'"&amp;D33&amp;"'"&amp;"!b:b"),"建筑物收益比率",INDIRECT("'"&amp;D33&amp;"'"&amp;"!c:c")),SUMIF(INDIRECT("'"&amp;D33&amp;"'"&amp;"!b:b"),"建筑物成本比率",INDIRECT("'"&amp;D33&amp;"'"&amp;"!c:c"))))</f>
        <v>0.36499999999999999</v>
      </c>
      <c r="E35" s="2450" t="s">
        <v>2158</v>
      </c>
      <c r="F35" s="163"/>
      <c r="G35" s="138"/>
      <c r="H35" s="138"/>
      <c r="I35" s="138"/>
    </row>
    <row r="36" spans="1:15" ht="15.75" thickBot="1">
      <c r="A36" s="3137" t="s">
        <v>2159</v>
      </c>
      <c r="B36" s="2451" t="s">
        <v>2160</v>
      </c>
      <c r="C36" s="154"/>
      <c r="D36" s="2452"/>
      <c r="E36" s="2453"/>
      <c r="F36" s="2454"/>
      <c r="G36" s="138"/>
      <c r="H36" s="138"/>
      <c r="I36" s="138"/>
    </row>
    <row r="37" spans="1:15" ht="15.75" thickBot="1">
      <c r="A37" s="3138"/>
      <c r="B37" s="2259" t="s">
        <v>2161</v>
      </c>
      <c r="C37" s="156"/>
      <c r="D37" s="1391"/>
      <c r="E37" s="1391"/>
      <c r="F37" s="2454"/>
      <c r="G37" s="138"/>
      <c r="H37" s="138"/>
      <c r="I37" s="138"/>
    </row>
    <row r="38" spans="1:15" ht="15.75" thickBot="1">
      <c r="A38" s="3139"/>
      <c r="B38" s="2455" t="s">
        <v>2162</v>
      </c>
      <c r="C38" s="726"/>
      <c r="D38" s="2456" t="s">
        <v>2163</v>
      </c>
      <c r="E38" s="1391"/>
      <c r="F38" s="2454"/>
      <c r="G38" s="138"/>
      <c r="H38" s="138"/>
      <c r="I38" s="138"/>
    </row>
    <row r="39" spans="1:15" ht="15">
      <c r="A39" s="2427" t="s">
        <v>2164</v>
      </c>
      <c r="B39" s="2457" t="s">
        <v>2165</v>
      </c>
      <c r="C39" s="2458" t="s">
        <v>2166</v>
      </c>
      <c r="D39" s="2458" t="s">
        <v>2167</v>
      </c>
      <c r="E39" s="2459" t="s">
        <v>2168</v>
      </c>
      <c r="F39" s="2454"/>
      <c r="G39" s="138"/>
      <c r="H39" s="138"/>
      <c r="I39" s="138"/>
    </row>
    <row r="40" spans="1:15" ht="14.25">
      <c r="A40" s="2460" t="s">
        <v>2169</v>
      </c>
      <c r="B40" s="158"/>
      <c r="C40" s="159"/>
      <c r="D40" s="159"/>
      <c r="E40" s="160"/>
      <c r="F40" s="2454"/>
      <c r="G40" s="138"/>
      <c r="H40" s="138"/>
      <c r="I40" s="138"/>
    </row>
    <row r="41" spans="1:15" ht="14.25">
      <c r="A41" s="2460" t="s">
        <v>2170</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8"/>
      <c r="B43" s="2158"/>
      <c r="C43" s="2158"/>
      <c r="D43" s="2158"/>
      <c r="E43" s="2158"/>
      <c r="F43" s="2462"/>
      <c r="G43" s="2462"/>
      <c r="H43" s="2462"/>
      <c r="I43" s="2463"/>
    </row>
    <row r="44" spans="1:15" ht="18.75">
      <c r="A44" s="2464" t="s">
        <v>2171</v>
      </c>
      <c r="B44" s="2465"/>
      <c r="C44" s="2465"/>
      <c r="D44" s="2466"/>
      <c r="E44" s="2466"/>
      <c r="F44" s="2467"/>
      <c r="G44" s="2467"/>
      <c r="H44" s="2467"/>
      <c r="I44" s="2467"/>
      <c r="J44" s="2468" t="s">
        <v>2172</v>
      </c>
      <c r="K44" s="2469"/>
      <c r="L44" s="2469"/>
      <c r="M44" s="2469"/>
      <c r="N44" s="2469"/>
      <c r="O44" s="2469"/>
    </row>
    <row r="45" spans="1:15" ht="14.25" customHeight="1" thickBot="1">
      <c r="A45" s="3116" t="s">
        <v>2173</v>
      </c>
      <c r="B45" s="3117"/>
      <c r="C45" s="3118"/>
      <c r="D45" s="164">
        <f ca="1">ROUND(H101*F45,0)</f>
        <v>40066</v>
      </c>
      <c r="E45" s="165" t="s">
        <v>2174</v>
      </c>
      <c r="F45" s="166">
        <v>1</v>
      </c>
      <c r="G45" s="167" t="s">
        <v>2175</v>
      </c>
      <c r="H45" s="138"/>
      <c r="I45" s="138"/>
      <c r="J45" s="3176" t="s">
        <v>2176</v>
      </c>
      <c r="K45" s="3176"/>
      <c r="L45" s="3176"/>
      <c r="M45" s="3176"/>
      <c r="N45" s="3176"/>
      <c r="O45" s="3176"/>
    </row>
    <row r="46" spans="1:15" ht="14.25" customHeight="1">
      <c r="A46" s="3113" t="s">
        <v>2177</v>
      </c>
      <c r="B46" s="3114"/>
      <c r="C46" s="3114"/>
      <c r="D46" s="3114"/>
      <c r="E46" s="3114"/>
      <c r="F46" s="3114"/>
      <c r="G46" s="3115"/>
      <c r="H46" s="2470"/>
      <c r="I46" s="168"/>
      <c r="J46" s="1807">
        <v>1</v>
      </c>
      <c r="K46" s="3176" t="s">
        <v>2178</v>
      </c>
      <c r="L46" s="3176"/>
      <c r="M46" s="3196"/>
      <c r="N46" s="3196"/>
      <c r="O46" s="3196"/>
    </row>
    <row r="47" spans="1:15" ht="12" customHeight="1">
      <c r="A47" s="169" t="s">
        <v>2179</v>
      </c>
      <c r="B47" s="170"/>
      <c r="C47" s="171"/>
      <c r="D47" s="172" t="s">
        <v>2180</v>
      </c>
      <c r="E47" s="24" t="s">
        <v>2181</v>
      </c>
      <c r="F47" s="173" t="s">
        <v>2182</v>
      </c>
      <c r="G47" s="174" t="s">
        <v>2183</v>
      </c>
      <c r="H47" s="2470"/>
      <c r="I47" s="168"/>
      <c r="J47" s="1807">
        <v>2</v>
      </c>
      <c r="K47" s="3176" t="s">
        <v>2184</v>
      </c>
      <c r="L47" s="3176"/>
      <c r="M47" s="3197">
        <f>'数据-取费表'!B2</f>
        <v>43621</v>
      </c>
      <c r="N47" s="3197"/>
      <c r="O47" s="3197"/>
    </row>
    <row r="48" spans="1:15" ht="25.5">
      <c r="A48" s="3144" t="s">
        <v>2185</v>
      </c>
      <c r="B48" s="3127"/>
      <c r="C48" s="3127"/>
      <c r="D48" s="140">
        <f>IF(H48="情况1",0,IF(H48="情况2",D52,IF(H48="情况3",D53,IF(H48="情况4",D54))))</f>
        <v>0</v>
      </c>
      <c r="E48" s="1796" t="str">
        <f>IF(H48="情况4","(销售额-原购置价)×税（费）率","销售额×税（费）率")</f>
        <v>销售额×税（费）率</v>
      </c>
      <c r="F48" s="175" t="str">
        <f>IF(H48="情况1","免征",'数据-取费表'!B41)</f>
        <v>免征</v>
      </c>
      <c r="G48" s="2471" t="s">
        <v>2186</v>
      </c>
      <c r="H48" s="2472" t="s">
        <v>2187</v>
      </c>
      <c r="I48" s="2470"/>
      <c r="J48" s="1807">
        <v>3</v>
      </c>
      <c r="K48" s="3176" t="s">
        <v>2188</v>
      </c>
      <c r="L48" s="3176"/>
      <c r="M48" s="3198">
        <f ca="1">H101</f>
        <v>40066</v>
      </c>
      <c r="N48" s="3198"/>
      <c r="O48" s="3198"/>
    </row>
    <row r="49" spans="1:35" ht="25.5" customHeight="1">
      <c r="A49" s="176" t="s">
        <v>2189</v>
      </c>
      <c r="B49" s="3112" t="s">
        <v>2190</v>
      </c>
      <c r="C49" s="3112"/>
      <c r="D49" s="177">
        <v>0</v>
      </c>
      <c r="E49" s="23" t="s">
        <v>2191</v>
      </c>
      <c r="F49" s="28" t="s">
        <v>34</v>
      </c>
      <c r="G49" s="3182"/>
      <c r="H49" s="138"/>
      <c r="I49" s="2473"/>
      <c r="J49" s="1807">
        <v>4</v>
      </c>
      <c r="K49" s="3176" t="str">
        <f>IF(项目基本情况!E8="房地产抵押价值","房地产抵押价值","抵押担保权已注销时的房地产抵押价值")</f>
        <v>房地产抵押价值</v>
      </c>
      <c r="L49" s="3176"/>
      <c r="M49" s="3198">
        <f ca="1">IF(项目基本情况!E8="房地产抵押价值",H107,H109)</f>
        <v>40066</v>
      </c>
      <c r="N49" s="3198"/>
      <c r="O49" s="3198"/>
    </row>
    <row r="50" spans="1:35" ht="25.5" customHeight="1">
      <c r="A50" s="178"/>
      <c r="B50" s="3112" t="s">
        <v>2192</v>
      </c>
      <c r="C50" s="3112"/>
      <c r="D50" s="179"/>
      <c r="E50" s="31"/>
      <c r="F50" s="180"/>
      <c r="G50" s="3183"/>
      <c r="H50" s="138"/>
      <c r="I50" s="2473"/>
      <c r="J50" s="3176" t="s">
        <v>2193</v>
      </c>
      <c r="K50" s="3176"/>
      <c r="L50" s="3176"/>
      <c r="M50" s="3176"/>
      <c r="N50" s="3176"/>
      <c r="O50" s="3176"/>
    </row>
    <row r="51" spans="1:35" ht="12" customHeight="1">
      <c r="A51" s="181"/>
      <c r="B51" s="3112" t="s">
        <v>2194</v>
      </c>
      <c r="C51" s="3112"/>
      <c r="D51" s="182"/>
      <c r="E51" s="30"/>
      <c r="F51" s="180"/>
      <c r="G51" s="3184"/>
      <c r="H51" s="138"/>
      <c r="I51" s="2473"/>
      <c r="J51" s="2474" t="s">
        <v>2195</v>
      </c>
      <c r="K51" s="3176" t="s">
        <v>2196</v>
      </c>
      <c r="L51" s="3176"/>
      <c r="M51" s="2474" t="s">
        <v>2197</v>
      </c>
      <c r="N51" s="2474" t="s">
        <v>2198</v>
      </c>
      <c r="O51" s="2474" t="s">
        <v>2199</v>
      </c>
    </row>
    <row r="52" spans="1:35" ht="24" customHeight="1">
      <c r="A52" s="183" t="s">
        <v>2200</v>
      </c>
      <c r="B52" s="3112" t="s">
        <v>2201</v>
      </c>
      <c r="C52" s="3112"/>
      <c r="D52" s="182">
        <f ca="1">ROUND(D45*'数据-取费表'!B41/(1+'数据-取费表'!C42),0)</f>
        <v>2137</v>
      </c>
      <c r="E52" s="11" t="s">
        <v>2202</v>
      </c>
      <c r="F52" s="184">
        <f>'数据-取费表'!B41</f>
        <v>5.6000000000000001E-2</v>
      </c>
      <c r="G52" s="2475"/>
      <c r="H52" s="138"/>
      <c r="I52" s="2473"/>
      <c r="J52" s="1807">
        <v>1</v>
      </c>
      <c r="K52" s="3177" t="s">
        <v>2203</v>
      </c>
      <c r="L52" s="3177"/>
      <c r="M52" s="1749">
        <f>D48</f>
        <v>0</v>
      </c>
      <c r="N52" s="1807" t="str">
        <f>E48</f>
        <v>销售额×税（费）率</v>
      </c>
      <c r="O52" s="1750" t="str">
        <f>F48</f>
        <v>免征</v>
      </c>
    </row>
    <row r="53" spans="1:35" ht="12" customHeight="1">
      <c r="A53" s="183" t="s">
        <v>2204</v>
      </c>
      <c r="B53" s="3135" t="s">
        <v>2205</v>
      </c>
      <c r="C53" s="3136"/>
      <c r="D53" s="182">
        <f ca="1">ROUND(D45*'数据-取费表'!B41/(1+'数据-取费表'!C42),0)</f>
        <v>2137</v>
      </c>
      <c r="E53" s="11" t="s">
        <v>2202</v>
      </c>
      <c r="F53" s="184">
        <f>'数据-取费表'!B41</f>
        <v>5.6000000000000001E-2</v>
      </c>
      <c r="G53" s="2475"/>
      <c r="H53" s="138"/>
      <c r="I53" s="2473"/>
      <c r="J53" s="1807">
        <v>2</v>
      </c>
      <c r="K53" s="3177" t="s">
        <v>2206</v>
      </c>
      <c r="L53" s="3177"/>
      <c r="M53" s="1749">
        <f t="shared" ref="M53:O54" ca="1" si="0">D55</f>
        <v>20</v>
      </c>
      <c r="N53" s="1807" t="str">
        <f t="shared" si="0"/>
        <v>销售额×税（费）率</v>
      </c>
      <c r="O53" s="1750">
        <f t="shared" si="0"/>
        <v>5.0000000000000001E-4</v>
      </c>
    </row>
    <row r="54" spans="1:35" ht="12" customHeight="1">
      <c r="A54" s="183" t="s">
        <v>2207</v>
      </c>
      <c r="B54" s="3135" t="s">
        <v>2208</v>
      </c>
      <c r="C54" s="3136"/>
      <c r="D54" s="182">
        <f ca="1">C68</f>
        <v>2137</v>
      </c>
      <c r="E54" s="30" t="s">
        <v>2209</v>
      </c>
      <c r="F54" s="184">
        <f>'数据-取费表'!B41</f>
        <v>5.6000000000000001E-2</v>
      </c>
      <c r="G54" s="2475"/>
      <c r="H54" s="2476"/>
      <c r="I54" s="2473"/>
      <c r="J54" s="1807">
        <v>3</v>
      </c>
      <c r="K54" s="3177" t="s">
        <v>2210</v>
      </c>
      <c r="L54" s="3177"/>
      <c r="M54" s="1749">
        <f t="shared" ca="1" si="0"/>
        <v>22677</v>
      </c>
      <c r="N54" s="1807" t="str">
        <f t="shared" si="0"/>
        <v>增值额×税（费）率</v>
      </c>
      <c r="O54" s="1751" t="str">
        <f t="shared" si="0"/>
        <v>——</v>
      </c>
    </row>
    <row r="55" spans="1:35" ht="24" customHeight="1">
      <c r="A55" s="3126" t="s">
        <v>2211</v>
      </c>
      <c r="B55" s="3127"/>
      <c r="C55" s="3127"/>
      <c r="D55" s="185">
        <f ca="1">IF(H55="个人住宅",0,ROUND(D45*I55,0))</f>
        <v>20</v>
      </c>
      <c r="E55" s="11" t="s">
        <v>2212</v>
      </c>
      <c r="F55" s="184">
        <f>IF(H55="正常",I55,"免征")</f>
        <v>5.0000000000000001E-4</v>
      </c>
      <c r="G55" s="2475"/>
      <c r="H55" s="2472" t="s">
        <v>2213</v>
      </c>
      <c r="I55" s="186">
        <f>'数据-取费表'!B49</f>
        <v>5.0000000000000001E-4</v>
      </c>
      <c r="J55" s="1807" t="str">
        <f>IF(H59="非个人房产","",4)</f>
        <v/>
      </c>
      <c r="K55" s="3177" t="str">
        <f>IF(H59="非个人房产","——","个人所得税")</f>
        <v>——</v>
      </c>
      <c r="L55" s="3177"/>
      <c r="M55" s="1752" t="str">
        <f>D59</f>
        <v>——</v>
      </c>
      <c r="N55" s="1805" t="str">
        <f>E59</f>
        <v>——</v>
      </c>
      <c r="O55" s="1753" t="str">
        <f>F59</f>
        <v>——</v>
      </c>
    </row>
    <row r="56" spans="1:35" ht="24.75">
      <c r="A56" s="3126" t="s">
        <v>2214</v>
      </c>
      <c r="B56" s="3127"/>
      <c r="C56" s="3127"/>
      <c r="D56" s="185">
        <f ca="1">IF(H56="个人住宅",D57,D58)</f>
        <v>22677</v>
      </c>
      <c r="E56" s="11" t="s">
        <v>2215</v>
      </c>
      <c r="F56" s="184" t="str">
        <f>IF(H56="正常",F58,"免征")</f>
        <v>——</v>
      </c>
      <c r="G56" s="2477" t="s">
        <v>2216</v>
      </c>
      <c r="H56" s="2478" t="s">
        <v>2213</v>
      </c>
      <c r="I56" s="2479"/>
      <c r="J56" s="1807" t="str">
        <f>IF(项目基本情况!K6="上海银行",IF(J55="",4,J55+1),"")</f>
        <v/>
      </c>
      <c r="K56" s="3200" t="str">
        <f>IF(项目基本情况!K6="上海银行","其他处置费用","")</f>
        <v/>
      </c>
      <c r="L56" s="3201"/>
      <c r="M56" s="1749" t="str">
        <f>IF(项目基本情况!K6="上海银行",M69,"")</f>
        <v/>
      </c>
      <c r="N56" s="3203" t="str">
        <f>IF(项目基本情况!K6="上海银行","包含处置中涉及的律师、诉讼、拍卖、评估等费用","")</f>
        <v/>
      </c>
      <c r="O56" s="3204"/>
    </row>
    <row r="57" spans="1:35" ht="12.75">
      <c r="A57" s="183" t="s">
        <v>2189</v>
      </c>
      <c r="B57" s="3142" t="s">
        <v>2217</v>
      </c>
      <c r="C57" s="3151"/>
      <c r="D57" s="187">
        <v>0</v>
      </c>
      <c r="E57" s="23" t="s">
        <v>2191</v>
      </c>
      <c r="F57" s="155"/>
      <c r="G57" s="2475"/>
      <c r="H57" s="2479"/>
      <c r="I57" s="2479"/>
      <c r="J57" s="3177">
        <f>IF(AND(J55="",J56=""),4,IF(项目基本情况!K6="上海银行",结果表!J56+1,结果表!J55+1))</f>
        <v>4</v>
      </c>
      <c r="K57" s="3177" t="s">
        <v>2218</v>
      </c>
      <c r="L57" s="2480" t="s">
        <v>2219</v>
      </c>
      <c r="M57" s="1754"/>
      <c r="N57" s="1755">
        <f ca="1">SUMIF(M52:M56,"&lt;9e307")</f>
        <v>22697</v>
      </c>
      <c r="O57" s="2481"/>
      <c r="P57" s="1748">
        <f ca="1">N57/M49</f>
        <v>0.56649029101981729</v>
      </c>
    </row>
    <row r="58" spans="1:35" ht="24.75">
      <c r="A58" s="183" t="s">
        <v>2200</v>
      </c>
      <c r="B58" s="3142" t="s">
        <v>2220</v>
      </c>
      <c r="C58" s="3143"/>
      <c r="D58" s="185">
        <f ca="1">IF(H58="转让取得",C81,C97)</f>
        <v>22677</v>
      </c>
      <c r="E58" s="11" t="s">
        <v>2215</v>
      </c>
      <c r="F58" s="24" t="s">
        <v>34</v>
      </c>
      <c r="G58" s="2475"/>
      <c r="H58" s="2478" t="s">
        <v>2221</v>
      </c>
      <c r="I58" s="2479"/>
      <c r="J58" s="3177"/>
      <c r="K58" s="3177"/>
      <c r="L58" s="2480" t="s">
        <v>2222</v>
      </c>
      <c r="M58" s="1756"/>
      <c r="N58" s="2482" t="str">
        <f ca="1">NUMBERSTRING(INT(N57*10000),2)&amp;"元整"</f>
        <v>贰亿贰仟陆佰玖拾柒万元整</v>
      </c>
      <c r="O58" s="2483"/>
    </row>
    <row r="59" spans="1:35" ht="24.75" thickBot="1">
      <c r="A59" s="3180" t="s">
        <v>2223</v>
      </c>
      <c r="B59" s="3181"/>
      <c r="C59" s="3181"/>
      <c r="D59" s="188" t="str">
        <f>IF(H59="非个人房产","——",IF(H59="个人住宅",0,ROUND(D45*I59,0)))</f>
        <v>——</v>
      </c>
      <c r="E59" s="189" t="str">
        <f>IF(H59="非个人房产","——","销售额×税（费）率")</f>
        <v>——</v>
      </c>
      <c r="F59" s="190" t="str">
        <f>IF(H59="非个人房产","——",IF(H59="个人住宅","免征",I59))</f>
        <v>——</v>
      </c>
      <c r="G59" s="2484" t="s">
        <v>2216</v>
      </c>
      <c r="H59" s="2478" t="s">
        <v>2224</v>
      </c>
      <c r="I59" s="191">
        <v>0.01</v>
      </c>
      <c r="J59" s="3178">
        <f>J57+1</f>
        <v>5</v>
      </c>
      <c r="K59" s="3177" t="s">
        <v>2225</v>
      </c>
      <c r="L59" s="1807" t="s">
        <v>2219</v>
      </c>
      <c r="M59" s="1757"/>
      <c r="N59" s="1758">
        <f ca="1">M49-N57</f>
        <v>17369</v>
      </c>
      <c r="O59" s="2485"/>
    </row>
    <row r="60" spans="1:35" ht="12" customHeight="1">
      <c r="A60" s="2486"/>
      <c r="B60" s="2408"/>
      <c r="C60" s="2408"/>
      <c r="D60" s="2408"/>
      <c r="E60" s="2159"/>
      <c r="F60" s="2479"/>
      <c r="G60" s="2479"/>
      <c r="H60" s="2487"/>
      <c r="I60" s="138"/>
      <c r="J60" s="3179"/>
      <c r="K60" s="3177"/>
      <c r="L60" s="2480" t="s">
        <v>2222</v>
      </c>
      <c r="M60" s="1756"/>
      <c r="N60" s="2482" t="str">
        <f ca="1">NUMBERSTRING(INT(N59*10000),2)&amp;"元整"</f>
        <v>壹亿柒仟叁佰陆拾玖万元整</v>
      </c>
      <c r="O60" s="2483"/>
    </row>
    <row r="61" spans="1:35" ht="13.5" thickBot="1">
      <c r="A61" s="3124" t="s">
        <v>2226</v>
      </c>
      <c r="B61" s="3124"/>
      <c r="C61" s="3124"/>
      <c r="D61" s="3124"/>
      <c r="E61" s="3124"/>
      <c r="F61" s="2479"/>
      <c r="G61" s="2479"/>
      <c r="H61" s="2487"/>
      <c r="I61" s="138"/>
      <c r="J61" s="1807">
        <f>J59+1</f>
        <v>6</v>
      </c>
      <c r="K61" s="3177" t="s">
        <v>2227</v>
      </c>
      <c r="L61" s="3177"/>
      <c r="M61" s="1759"/>
      <c r="N61" s="1760">
        <f ca="1">ROUND(N59*10000/'数据-汇总表'!E3,0)</f>
        <v>677</v>
      </c>
      <c r="O61" s="2488"/>
    </row>
    <row r="62" spans="1:35" ht="12.75">
      <c r="A62" s="3140" t="s">
        <v>2228</v>
      </c>
      <c r="B62" s="3141"/>
      <c r="C62" s="1799"/>
      <c r="D62" s="1799" t="s">
        <v>2229</v>
      </c>
      <c r="E62" s="192" t="s">
        <v>2230</v>
      </c>
      <c r="F62" s="2479"/>
      <c r="G62" s="2479"/>
      <c r="H62" s="2487"/>
      <c r="I62" s="138"/>
    </row>
    <row r="63" spans="1:35" ht="12.75">
      <c r="A63" s="203" t="s">
        <v>775</v>
      </c>
      <c r="B63" s="193" t="s">
        <v>2231</v>
      </c>
      <c r="C63" s="194">
        <f ca="1">ROUND((C64+C65)/(1+'数据-取费表'!C42),0)</f>
        <v>38158</v>
      </c>
      <c r="D63" s="195"/>
      <c r="E63" s="196"/>
      <c r="F63" s="2479"/>
      <c r="G63" s="2479"/>
      <c r="H63" s="2487"/>
      <c r="I63" s="138"/>
      <c r="J63" s="3202" t="s">
        <v>2232</v>
      </c>
      <c r="K63" s="2489" t="s">
        <v>2233</v>
      </c>
      <c r="L63" s="1747">
        <f ca="1">IF(M49&gt;10000,M49*0.5%,IF(AND(M49&gt;1000,M49&lt;=10000),M49*1%,IF(AND(M49&gt;100,M49&lt;=1000),M49*3%,IF(AND(M49&gt;10,M49&lt;=100),M49*5%,M49*8%))))</f>
        <v>200.33</v>
      </c>
      <c r="M63" s="24">
        <f ca="1">ROUND(L63,1)</f>
        <v>200.3</v>
      </c>
      <c r="Z63" s="2413"/>
      <c r="AI63" s="2414"/>
    </row>
    <row r="64" spans="1:35" ht="14.25" customHeight="1">
      <c r="A64" s="197" t="s">
        <v>770</v>
      </c>
      <c r="B64" s="198" t="s">
        <v>2234</v>
      </c>
      <c r="C64" s="199">
        <f ca="1">D45</f>
        <v>40066</v>
      </c>
      <c r="D64" s="200" t="s">
        <v>32</v>
      </c>
      <c r="E64" s="201"/>
      <c r="F64" s="2479"/>
      <c r="G64" s="2479"/>
      <c r="H64" s="2487"/>
      <c r="I64" s="138"/>
      <c r="J64" s="3202"/>
      <c r="K64" s="2489" t="s">
        <v>2235</v>
      </c>
      <c r="L64" s="1747">
        <f ca="1">IF(M49&gt;2000,M49*0.5%,IF(AND(M49&gt;1000,M49&lt;=2000),M49*0.6%,IF(AND(M49&gt;500,M49&lt;=1000),M49*0.7%,IF(AND(M49&gt;200,M49&lt;=500),M49*0.8%,IF(AND(M49&gt;100,M49&lt;=200),M49*0.9%,IF(AND(M49&gt;50,M49&lt;=100),M49*1%,IF(AND(M49&gt;20,M49&lt;=50),M49*1.5%,IF(AND(M49&gt;10,M49&lt;=20),M49*2%,IF(AND(M49&gt;1,M49&lt;=10),M49*2.5%)))))))))</f>
        <v>200.33</v>
      </c>
      <c r="M64" s="24">
        <f t="shared" ref="M64:M65" ca="1" si="1">ROUND(L64,1)</f>
        <v>200.3</v>
      </c>
      <c r="N64" s="138" t="s">
        <v>2236</v>
      </c>
      <c r="Z64" s="2413"/>
      <c r="AI64" s="2414"/>
    </row>
    <row r="65" spans="1:35" ht="14.25" customHeight="1">
      <c r="A65" s="197" t="s">
        <v>771</v>
      </c>
      <c r="B65" s="198" t="s">
        <v>2237</v>
      </c>
      <c r="C65" s="202"/>
      <c r="D65" s="200"/>
      <c r="E65" s="201"/>
      <c r="F65" s="2479"/>
      <c r="G65" s="2479"/>
      <c r="H65" s="2487"/>
      <c r="I65" s="138"/>
      <c r="J65" s="3202"/>
      <c r="K65" s="2489" t="s">
        <v>2238</v>
      </c>
      <c r="L65" s="1747">
        <f ca="1">IF(M49&gt;1000,M49*0.1%,IF(AND(M49&gt;500,M49&lt;=1000),M49*0.5%,IF(AND(M49&gt;50,M49&lt;=500),M49*1%,IF(AND(M49&gt;1,M49&lt;=50),M49*1.5%))))</f>
        <v>40.066000000000003</v>
      </c>
      <c r="M65" s="24">
        <f t="shared" ca="1" si="1"/>
        <v>40.1</v>
      </c>
      <c r="N65" s="138" t="s">
        <v>2236</v>
      </c>
      <c r="Z65" s="2413"/>
      <c r="AI65" s="2414"/>
    </row>
    <row r="66" spans="1:35" ht="14.25" customHeight="1">
      <c r="A66" s="203" t="s">
        <v>772</v>
      </c>
      <c r="B66" s="204" t="s">
        <v>2239</v>
      </c>
      <c r="C66" s="205"/>
      <c r="D66" s="206" t="s">
        <v>32</v>
      </c>
      <c r="E66" s="1771" t="s">
        <v>1367</v>
      </c>
      <c r="F66" s="2479"/>
      <c r="G66" s="2479"/>
      <c r="H66" s="2487"/>
      <c r="I66" s="138"/>
      <c r="J66" s="3202"/>
      <c r="K66" s="2489" t="s">
        <v>2240</v>
      </c>
      <c r="L66" s="1747">
        <f ca="1">M49*0.5%</f>
        <v>200.33</v>
      </c>
      <c r="M66" s="24">
        <f ca="1">IF(L66&gt;0.5,0.5,ROUND(L66,0))</f>
        <v>0.5</v>
      </c>
      <c r="N66" s="138" t="s">
        <v>2241</v>
      </c>
      <c r="Z66" s="2413"/>
      <c r="AI66" s="2414"/>
    </row>
    <row r="67" spans="1:35" ht="14.25" customHeight="1">
      <c r="A67" s="203" t="s">
        <v>773</v>
      </c>
      <c r="B67" s="204" t="s">
        <v>2242</v>
      </c>
      <c r="C67" s="207">
        <f ca="1">C63-C66</f>
        <v>38158</v>
      </c>
      <c r="D67" s="200" t="s">
        <v>32</v>
      </c>
      <c r="E67" s="201"/>
      <c r="F67" s="2479"/>
      <c r="G67" s="2479"/>
      <c r="H67" s="2487"/>
      <c r="I67" s="138"/>
      <c r="J67" s="3202"/>
      <c r="K67" s="2489" t="s">
        <v>2243</v>
      </c>
      <c r="L67" s="1747">
        <f ca="1">IF(M49&gt;=10000,(8.25+(M49-10000)*0.01%),IF(AND(M49&gt;=8000,M49&lt;10000),(7.85+(M49-8000)*0.02%),IF(AND(M49&gt;=5000,M49&lt;8000),(6.65+(M49-5000)*0.04%),IF(AND(M49&gt;=2000,M49&lt;5000),(4.25+(PM49-2000)*0.08%),IF(AND(M49&gt;=1000,M49&lt;2000),(2.75+(M49-1000)*0.15%),IF(AND(M49&gt;=100,M49&lt;1000),(0.5+(M49-100)*0.25%),IF(AND(M49&gt;0,M49&lt;100),M49*0.5%)))))))</f>
        <v>11.256600000000001</v>
      </c>
      <c r="M67" s="24">
        <f ca="1">ROUND(L67*0.9,1)</f>
        <v>10.1</v>
      </c>
      <c r="Z67" s="2413"/>
      <c r="AI67" s="2414"/>
    </row>
    <row r="68" spans="1:35" ht="14.25" customHeight="1" thickBot="1">
      <c r="A68" s="208" t="s">
        <v>774</v>
      </c>
      <c r="B68" s="209" t="s">
        <v>2244</v>
      </c>
      <c r="C68" s="210">
        <f ca="1">IF(C67&lt;=0,0,ROUND(C67*D68,0))</f>
        <v>2137</v>
      </c>
      <c r="D68" s="211">
        <f>'数据-取费表'!B41</f>
        <v>5.6000000000000001E-2</v>
      </c>
      <c r="E68" s="212"/>
      <c r="F68" s="2479"/>
      <c r="G68" s="2479"/>
      <c r="H68" s="2487"/>
      <c r="I68" s="138"/>
      <c r="J68" s="3202"/>
      <c r="K68" s="2489" t="s">
        <v>2245</v>
      </c>
      <c r="L68" s="1747">
        <f ca="1">IF(M49&gt;10000,M49*0.5%,IF(AND(M49&gt;5000,M49&lt;=10000),M49*1%,IF(AND(M49&gt;1000,M49&lt;=5000),M49*2%,IF(AND(M49&gt;200,M49&lt;=1000),M49*3%,M49*5%))))</f>
        <v>200.33</v>
      </c>
      <c r="M68" s="24">
        <f ca="1">ROUND(L68,1)</f>
        <v>200.3</v>
      </c>
      <c r="Z68" s="2413"/>
      <c r="AI68" s="2414"/>
    </row>
    <row r="69" spans="1:35" s="2436" customFormat="1" ht="16.5" customHeight="1">
      <c r="A69" s="2490"/>
      <c r="B69" s="2491"/>
      <c r="C69" s="2492"/>
      <c r="D69" s="2493"/>
      <c r="E69" s="2494"/>
      <c r="F69" s="2159"/>
      <c r="G69" s="2159"/>
      <c r="H69" s="2158"/>
      <c r="I69" s="2408"/>
      <c r="J69" s="3202"/>
      <c r="K69" s="2489" t="s">
        <v>2246</v>
      </c>
      <c r="L69" s="2495"/>
      <c r="M69" s="24">
        <f ca="1">ROUND(SUM(M63:M68),0)</f>
        <v>652</v>
      </c>
      <c r="N69" s="1748">
        <f ca="1">M69/M49</f>
        <v>1.6273149303648978E-2</v>
      </c>
      <c r="O69" s="794"/>
      <c r="P69" s="794"/>
      <c r="Q69" s="794"/>
      <c r="R69" s="794"/>
      <c r="S69" s="794"/>
      <c r="T69" s="794"/>
      <c r="U69" s="794"/>
      <c r="V69" s="794"/>
      <c r="W69" s="794"/>
      <c r="X69" s="794"/>
      <c r="Y69" s="794"/>
      <c r="Z69" s="2413"/>
      <c r="AA69" s="2413"/>
      <c r="AB69" s="2413"/>
      <c r="AC69" s="2413"/>
      <c r="AD69" s="2413"/>
      <c r="AE69" s="2413"/>
      <c r="AF69" s="2413"/>
      <c r="AG69" s="2413"/>
      <c r="AH69" s="2413"/>
    </row>
    <row r="70" spans="1:35" s="2497" customFormat="1" ht="15" thickBot="1">
      <c r="A70" s="3161" t="s">
        <v>2247</v>
      </c>
      <c r="B70" s="3162"/>
      <c r="C70" s="3162"/>
      <c r="D70" s="3162"/>
      <c r="E70" s="3162"/>
      <c r="F70" s="3162"/>
      <c r="G70" s="3162"/>
      <c r="H70" s="316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40" t="s">
        <v>2228</v>
      </c>
      <c r="B71" s="3141"/>
      <c r="C71" s="1799"/>
      <c r="D71" s="1799" t="s">
        <v>2229</v>
      </c>
      <c r="E71" s="213" t="s">
        <v>2230</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2248</v>
      </c>
      <c r="C72" s="207">
        <f ca="1">ROUND(D45/(1+'数据-取费表'!C42),0)</f>
        <v>38158</v>
      </c>
      <c r="D72" s="200" t="s">
        <v>32</v>
      </c>
      <c r="E72" s="1798"/>
      <c r="F72" s="1792"/>
      <c r="G72" s="1792"/>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2249</v>
      </c>
      <c r="C73" s="207">
        <f ca="1">C74+C78</f>
        <v>229</v>
      </c>
      <c r="D73" s="200" t="s">
        <v>32</v>
      </c>
      <c r="E73" s="1798"/>
      <c r="F73" s="1792"/>
      <c r="G73" s="1792"/>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2250</v>
      </c>
      <c r="C74" s="200">
        <f>ROUND(IF(G77="2016年5月1日后购买",C75/(1+'数据-取费表'!C42)+C76+C77,C75+C76+C77),0)</f>
        <v>0</v>
      </c>
      <c r="D74" s="200" t="s">
        <v>32</v>
      </c>
      <c r="E74" s="1798"/>
      <c r="F74" s="1792"/>
      <c r="G74" s="1792"/>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2251</v>
      </c>
      <c r="C75" s="218"/>
      <c r="D75" s="200" t="s">
        <v>32</v>
      </c>
      <c r="E75" s="219" t="s">
        <v>2252</v>
      </c>
      <c r="F75" s="2501" t="s">
        <v>2253</v>
      </c>
      <c r="G75" s="219" t="s">
        <v>2254</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2255</v>
      </c>
      <c r="C76" s="200">
        <f>IF(F75="购房发票",ROUND(C75*H75*D76,0),0)</f>
        <v>0</v>
      </c>
      <c r="D76" s="222">
        <v>0.05</v>
      </c>
      <c r="E76" s="3135" t="s">
        <v>2256</v>
      </c>
      <c r="F76" s="3112"/>
      <c r="G76" s="3112"/>
      <c r="H76" s="316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3" t="s">
        <v>2259</v>
      </c>
      <c r="H77" s="1803"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2260</v>
      </c>
      <c r="C78" s="225">
        <f ca="1">ROUND(D45*D78/(1+'数据-取费表'!C42),0)</f>
        <v>229</v>
      </c>
      <c r="D78" s="226">
        <f>'数据-取费表'!B43</f>
        <v>6.000000000000001E-3</v>
      </c>
      <c r="E78" s="3121" t="s">
        <v>2261</v>
      </c>
      <c r="F78" s="3122"/>
      <c r="G78" s="3122"/>
      <c r="H78" s="313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2262</v>
      </c>
      <c r="C79" s="207">
        <f ca="1">C72-C73</f>
        <v>37929</v>
      </c>
      <c r="D79" s="200" t="s">
        <v>32</v>
      </c>
      <c r="E79" s="1798"/>
      <c r="F79" s="1792"/>
      <c r="G79" s="1792"/>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2263</v>
      </c>
      <c r="C80" s="227">
        <f ca="1">IF(C79&lt;=0,0,C79/C73)</f>
        <v>165.6288209606987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2264</v>
      </c>
      <c r="C81" s="228">
        <f ca="1">ROUND(IF(C79&lt;=0,0,IF(C80&gt;=200%,C79*60%-C73*35%,IF(C80&gt;=100%,C79*50%-C73*15%,IF(C80&gt;=50%,C79*40%-C73*5%,IF(C80&lt;50%,C79*30%,0))))),0)</f>
        <v>22677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2"/>
      <c r="B82" s="733"/>
      <c r="C82" s="7"/>
      <c r="D82" s="7"/>
      <c r="E82" s="733"/>
      <c r="F82" s="733"/>
      <c r="G82" s="733"/>
      <c r="H82" s="734"/>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61" t="s">
        <v>2265</v>
      </c>
      <c r="B83" s="3162"/>
      <c r="C83" s="3162"/>
      <c r="D83" s="3162"/>
      <c r="E83" s="3162"/>
      <c r="F83" s="3162"/>
      <c r="G83" s="3162"/>
      <c r="H83" s="316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40" t="s">
        <v>2228</v>
      </c>
      <c r="B84" s="3141"/>
      <c r="C84" s="1799"/>
      <c r="D84" s="1799" t="s">
        <v>2229</v>
      </c>
      <c r="E84" s="213" t="s">
        <v>2230</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2248</v>
      </c>
      <c r="C85" s="207">
        <f ca="1">ROUND(D45/(1+'数据-取费表'!C42),0)</f>
        <v>38158</v>
      </c>
      <c r="D85" s="200" t="s">
        <v>32</v>
      </c>
      <c r="E85" s="1798"/>
      <c r="F85" s="1792"/>
      <c r="G85" s="1792"/>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2249</v>
      </c>
      <c r="C86" s="207">
        <f ca="1">IF(H88="仅含出让金",C87+C90+C91+C92+C93+C94,C87+C91+C92+C93+C94)</f>
        <v>229</v>
      </c>
      <c r="D86" s="235"/>
      <c r="E86" s="1798"/>
      <c r="F86" s="1792"/>
      <c r="G86" s="1792"/>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2266</v>
      </c>
      <c r="C87" s="225">
        <f>C88+C89</f>
        <v>0</v>
      </c>
      <c r="D87" s="226"/>
      <c r="E87" s="1794"/>
      <c r="F87" s="1795"/>
      <c r="G87" s="1795"/>
      <c r="H87" s="1797"/>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2267</v>
      </c>
      <c r="C88" s="236"/>
      <c r="D88" s="226"/>
      <c r="E88" s="237" t="s">
        <v>2268</v>
      </c>
      <c r="F88" s="1795"/>
      <c r="G88" s="238" t="s">
        <v>2269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2257</v>
      </c>
      <c r="C89" s="225">
        <f>ROUND(C88*D89,0)</f>
        <v>0</v>
      </c>
      <c r="D89" s="226">
        <f>'数据-取费表'!B48+'数据-取费表'!B49</f>
        <v>3.0499999999999999E-2</v>
      </c>
      <c r="E89" s="237" t="s">
        <v>2270</v>
      </c>
      <c r="F89" s="1795"/>
      <c r="G89" s="1795"/>
      <c r="H89" s="1797"/>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2271</v>
      </c>
      <c r="C90" s="236"/>
      <c r="D90" s="226"/>
      <c r="E90" s="237" t="str">
        <f>IF(H88="-","土地取得成本中已包含该笔费用"," ")</f>
        <v xml:space="preserve"> </v>
      </c>
      <c r="F90" s="1795"/>
      <c r="G90" s="1795"/>
      <c r="H90" s="1797"/>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2272</v>
      </c>
      <c r="B91" s="198" t="s">
        <v>2273</v>
      </c>
      <c r="C91" s="225">
        <f>IF(H91="——",成本法!C33,I91)</f>
        <v>0</v>
      </c>
      <c r="D91" s="226"/>
      <c r="E91" s="3121" t="s">
        <v>2274</v>
      </c>
      <c r="F91" s="3122"/>
      <c r="G91" s="3122"/>
      <c r="H91" s="2508" t="s">
        <v>2275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2276</v>
      </c>
      <c r="B92" s="198" t="s">
        <v>2277</v>
      </c>
      <c r="C92" s="225">
        <f>ROUND((C87+C90+C91)*D92,0)</f>
        <v>0</v>
      </c>
      <c r="D92" s="226">
        <v>0.1</v>
      </c>
      <c r="E92" s="3121" t="s">
        <v>2278</v>
      </c>
      <c r="F92" s="3122"/>
      <c r="G92" s="3122"/>
      <c r="H92" s="313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2279</v>
      </c>
      <c r="B93" s="198" t="s">
        <v>2260</v>
      </c>
      <c r="C93" s="225">
        <f ca="1">ROUND(D45*D93/(1+'数据-取费表'!C42),0)</f>
        <v>229</v>
      </c>
      <c r="D93" s="226">
        <f>'数据-取费表'!B43</f>
        <v>6.000000000000001E-3</v>
      </c>
      <c r="E93" s="3121" t="s">
        <v>2261</v>
      </c>
      <c r="F93" s="3122"/>
      <c r="G93" s="3122"/>
      <c r="H93" s="313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2280</v>
      </c>
      <c r="B94" s="198" t="s">
        <v>2281</v>
      </c>
      <c r="C94" s="236">
        <f>ROUND((C87+C90+C91)*D94,0)</f>
        <v>0</v>
      </c>
      <c r="D94" s="226">
        <v>0.2</v>
      </c>
      <c r="E94" s="3132" t="s">
        <v>2282</v>
      </c>
      <c r="F94" s="3133"/>
      <c r="G94" s="3133"/>
      <c r="H94" s="3134"/>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2262</v>
      </c>
      <c r="C95" s="207">
        <f ca="1">ROUND(C85-C86,0)</f>
        <v>37929</v>
      </c>
      <c r="D95" s="200" t="s">
        <v>32</v>
      </c>
      <c r="E95" s="1798"/>
      <c r="F95" s="1792"/>
      <c r="G95" s="1792"/>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2263</v>
      </c>
      <c r="C96" s="227">
        <f ca="1">IF(C95&lt;=0,0,C95/C86)</f>
        <v>165.6288209606987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2264</v>
      </c>
      <c r="C97" s="228">
        <f ca="1">ROUND(IF(C95&lt;=0,0,IF(C96&gt;=200%,C95*60%-C86*35%,IF(C96&gt;=100%,C95*50%-C86*15%,IF(C96&gt;=50%,C95*40%-C86*5%,IF(C96&lt;50%,C95*30%,0))))),0)</f>
        <v>22677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9"/>
      <c r="F98" s="2159"/>
      <c r="G98" s="2159"/>
      <c r="H98" s="2158"/>
      <c r="I98" s="138"/>
    </row>
    <row r="99" spans="1:35" ht="21.75" customHeight="1" thickBot="1">
      <c r="A99" s="2464" t="s">
        <v>2283</v>
      </c>
      <c r="B99" s="2408"/>
      <c r="C99" s="2408"/>
      <c r="D99" s="2408"/>
      <c r="E99" s="2159"/>
      <c r="F99" s="2159"/>
      <c r="G99" s="2159"/>
      <c r="H99" s="2158"/>
      <c r="I99" s="138"/>
    </row>
    <row r="100" spans="1:35" ht="18.75" customHeight="1">
      <c r="A100" s="3106" t="s">
        <v>2284</v>
      </c>
      <c r="B100" s="3107"/>
      <c r="C100" s="3107"/>
      <c r="D100" s="3123"/>
      <c r="E100" s="3107" t="s">
        <v>2285</v>
      </c>
      <c r="F100" s="3107"/>
      <c r="G100" s="3107"/>
      <c r="H100" s="3123"/>
      <c r="I100" s="138"/>
    </row>
    <row r="101" spans="1:35" ht="18.75" customHeight="1">
      <c r="A101" s="3185" t="s">
        <v>2286</v>
      </c>
      <c r="B101" s="3186"/>
      <c r="C101" s="735" t="str">
        <f>C4</f>
        <v>成本法</v>
      </c>
      <c r="D101" s="736" t="str">
        <f>D4</f>
        <v>假设开发法</v>
      </c>
      <c r="E101" s="3199" t="s">
        <v>2287</v>
      </c>
      <c r="F101" s="3153"/>
      <c r="G101" s="2510" t="s">
        <v>2288</v>
      </c>
      <c r="H101" s="1044">
        <f ca="1">H118</f>
        <v>40066</v>
      </c>
      <c r="I101" s="138"/>
    </row>
    <row r="102" spans="1:35" ht="18.75" customHeight="1">
      <c r="A102" s="3155" t="s">
        <v>2289</v>
      </c>
      <c r="B102" s="2510" t="s">
        <v>2288</v>
      </c>
      <c r="C102" s="735">
        <f ca="1">C19</f>
        <v>34717</v>
      </c>
      <c r="D102" s="736">
        <f ca="1">D19</f>
        <v>48089</v>
      </c>
      <c r="E102" s="3199"/>
      <c r="F102" s="3153"/>
      <c r="G102" s="2510" t="s">
        <v>2290</v>
      </c>
      <c r="H102" s="371">
        <f ca="1">I118</f>
        <v>1561</v>
      </c>
      <c r="I102" s="138"/>
    </row>
    <row r="103" spans="1:35" ht="42.75" customHeight="1">
      <c r="A103" s="3155"/>
      <c r="B103" s="2510" t="s">
        <v>2290</v>
      </c>
      <c r="C103" s="737">
        <f ca="1">C20</f>
        <v>1353</v>
      </c>
      <c r="D103" s="738">
        <f ca="1">D20</f>
        <v>1874</v>
      </c>
      <c r="E103" s="3194" t="s">
        <v>2291</v>
      </c>
      <c r="F103" s="3195"/>
      <c r="G103" s="2511" t="s">
        <v>2292</v>
      </c>
      <c r="H103" s="1044">
        <f>IF(D36="正常操作",H104+H105+H106,H105+H106)</f>
        <v>0</v>
      </c>
      <c r="I103" s="138"/>
    </row>
    <row r="104" spans="1:35" ht="18.75" customHeight="1">
      <c r="A104" s="3155" t="s">
        <v>2293</v>
      </c>
      <c r="B104" s="2512" t="s">
        <v>2288</v>
      </c>
      <c r="C104" s="739">
        <f ca="1">H118</f>
        <v>40066</v>
      </c>
      <c r="D104" s="740"/>
      <c r="E104" s="2259" t="s">
        <v>2294</v>
      </c>
      <c r="F104" s="2251"/>
      <c r="G104" s="2511" t="s">
        <v>2292</v>
      </c>
      <c r="H104" s="1045">
        <f>IF(D36="同一抵押权人同一抵押物续贷",C36&amp;"（未扣减，详见特别提示）",C36)</f>
        <v>0</v>
      </c>
      <c r="I104" s="138"/>
    </row>
    <row r="105" spans="1:35" ht="18.75" customHeight="1" thickBot="1">
      <c r="A105" s="3156"/>
      <c r="B105" s="2513" t="s">
        <v>2290</v>
      </c>
      <c r="C105" s="741">
        <f ca="1">I118</f>
        <v>1561</v>
      </c>
      <c r="D105" s="742"/>
      <c r="E105" s="2259" t="s">
        <v>2295</v>
      </c>
      <c r="F105" s="2251"/>
      <c r="G105" s="2511" t="s">
        <v>2292</v>
      </c>
      <c r="H105" s="1045">
        <f>C37</f>
        <v>0</v>
      </c>
      <c r="I105" s="138"/>
    </row>
    <row r="106" spans="1:35" ht="18.75" customHeight="1">
      <c r="A106" s="2408" t="s">
        <v>2296</v>
      </c>
      <c r="B106" s="2408"/>
      <c r="C106" s="2408"/>
      <c r="D106" s="2408"/>
      <c r="E106" s="2514" t="s">
        <v>2297</v>
      </c>
      <c r="F106" s="2251"/>
      <c r="G106" s="2511" t="s">
        <v>2292</v>
      </c>
      <c r="H106" s="1045">
        <f>C38</f>
        <v>0</v>
      </c>
      <c r="I106" s="138"/>
    </row>
    <row r="107" spans="1:35" ht="18.75" customHeight="1">
      <c r="A107" s="138"/>
      <c r="B107" s="138"/>
      <c r="C107" s="138"/>
      <c r="D107" s="138"/>
      <c r="E107" s="3152" t="str">
        <f>IF(项目基本情况!E8="已注销","——","3.房地产抵押价值")</f>
        <v>3.房地产抵押价值</v>
      </c>
      <c r="F107" s="3153"/>
      <c r="G107" s="2510" t="s">
        <v>2288</v>
      </c>
      <c r="H107" s="1044">
        <f ca="1">IF(E107="——","——",H101-H103)</f>
        <v>40066</v>
      </c>
      <c r="I107" s="138"/>
    </row>
    <row r="108" spans="1:35" ht="18.75" customHeight="1">
      <c r="A108" s="138"/>
      <c r="B108" s="138"/>
      <c r="C108" s="138"/>
      <c r="D108" s="138"/>
      <c r="E108" s="3152"/>
      <c r="F108" s="3153"/>
      <c r="G108" s="2510" t="s">
        <v>2290</v>
      </c>
      <c r="H108" s="371">
        <f ca="1">ROUND(H107*10000/'数据-汇总表'!E3,0)</f>
        <v>1561</v>
      </c>
      <c r="I108" s="138"/>
    </row>
    <row r="109" spans="1:35" ht="18.75" customHeight="1">
      <c r="A109" s="138"/>
      <c r="B109" s="138"/>
      <c r="C109" s="138"/>
      <c r="D109" s="138"/>
      <c r="E109" s="3152" t="str">
        <f>IF(项目基本情况!E8="已注销及未注销","4.抵押担保权已注销时的房地产抵押价值",IF(项目基本情况!E8="已注销","3.抵押担保权已注销时的房地产抵押价值","——"))</f>
        <v>——</v>
      </c>
      <c r="F109" s="3153"/>
      <c r="G109" s="2510" t="s">
        <v>2288</v>
      </c>
      <c r="H109" s="348" t="str">
        <f>IF(E109="——","——",H101-H105-H106)</f>
        <v>——</v>
      </c>
      <c r="I109" s="138"/>
    </row>
    <row r="110" spans="1:35" ht="18.75" customHeight="1">
      <c r="A110" s="138"/>
      <c r="B110" s="138"/>
      <c r="C110" s="138"/>
      <c r="D110" s="138"/>
      <c r="E110" s="3152"/>
      <c r="F110" s="3153"/>
      <c r="G110" s="2510" t="s">
        <v>2290</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0" t="s">
        <v>2288</v>
      </c>
      <c r="H111" s="1044" t="str">
        <f>IF(E111="——","——",N59)</f>
        <v>——</v>
      </c>
      <c r="I111" s="138"/>
    </row>
    <row r="112" spans="1:35" ht="18.75" customHeight="1" thickBot="1">
      <c r="A112" s="138"/>
      <c r="B112" s="138"/>
      <c r="C112" s="138"/>
      <c r="D112" s="138"/>
      <c r="E112" s="3189"/>
      <c r="F112" s="3190"/>
      <c r="G112" s="2515" t="s">
        <v>2290</v>
      </c>
      <c r="H112" s="789" t="str">
        <f>IF(E111="——","——",N61)</f>
        <v>——</v>
      </c>
      <c r="I112" s="138"/>
    </row>
    <row r="113" spans="1:11" ht="18.75" customHeight="1">
      <c r="A113" s="138"/>
      <c r="B113" s="138"/>
      <c r="C113" s="138"/>
      <c r="D113" s="138"/>
      <c r="E113" s="3157" t="s">
        <v>2296</v>
      </c>
      <c r="F113" s="3157"/>
      <c r="G113" s="3157"/>
      <c r="H113" s="3157"/>
      <c r="I113" s="138"/>
    </row>
    <row r="114" spans="1:11" ht="3.75" customHeight="1">
      <c r="A114" s="2408"/>
      <c r="B114" s="2408"/>
      <c r="C114" s="2408"/>
      <c r="D114" s="2408"/>
      <c r="E114" s="2486"/>
      <c r="F114" s="2486"/>
      <c r="G114" s="2486"/>
      <c r="H114" s="2486"/>
      <c r="I114" s="2408"/>
    </row>
    <row r="115" spans="1:11" ht="18.75" customHeight="1">
      <c r="A115" s="3170" t="s">
        <v>2298</v>
      </c>
      <c r="B115" s="3171"/>
      <c r="C115" s="3171"/>
      <c r="D115" s="3171"/>
      <c r="E115" s="3171"/>
      <c r="F115" s="3171"/>
      <c r="G115" s="3171"/>
      <c r="H115" s="3171"/>
      <c r="I115" s="3172"/>
    </row>
    <row r="116" spans="1:11" ht="27" customHeight="1">
      <c r="A116" s="3043" t="s">
        <v>2299</v>
      </c>
      <c r="B116" s="3158" t="s">
        <v>2300</v>
      </c>
      <c r="C116" s="3158" t="s">
        <v>2301</v>
      </c>
      <c r="D116" s="3174" t="s">
        <v>2302</v>
      </c>
      <c r="E116" s="3175"/>
      <c r="F116" s="3166" t="s">
        <v>2303</v>
      </c>
      <c r="G116" s="3166"/>
      <c r="H116" s="3043" t="s">
        <v>2304</v>
      </c>
      <c r="I116" s="3043"/>
    </row>
    <row r="117" spans="1:11" ht="18.75" customHeight="1">
      <c r="A117" s="3043"/>
      <c r="B117" s="3159"/>
      <c r="C117" s="3159"/>
      <c r="D117" s="1793" t="s">
        <v>2305</v>
      </c>
      <c r="E117" s="1793" t="s">
        <v>2306</v>
      </c>
      <c r="F117" s="1793" t="s">
        <v>2305</v>
      </c>
      <c r="G117" s="1793" t="s">
        <v>2307</v>
      </c>
      <c r="H117" s="1793" t="s">
        <v>2305</v>
      </c>
      <c r="I117" s="1793" t="s">
        <v>2307</v>
      </c>
    </row>
    <row r="118" spans="1:11" ht="24.75" customHeight="1">
      <c r="A118" s="2516" t="str">
        <f>项目基本情况!S2</f>
        <v>云南省昆明市晋宁区晋城镇草村村民委员会住宅、商业、地下车库用地出让国有建设用地使用权及在建建筑物房地产</v>
      </c>
      <c r="B118" s="1793">
        <f>M18</f>
        <v>256595.18999999997</v>
      </c>
      <c r="C118" s="1793">
        <f>M19</f>
        <v>63995.17</v>
      </c>
      <c r="D118" s="1793">
        <f ca="1">ROUND(IF(D32="总价",C34,E118*B118/10000),0)</f>
        <v>25442</v>
      </c>
      <c r="E118" s="1793">
        <f ca="1">ROUND(IF(C33="自定义",IF(D32="楼面单价",C34,D118*10000/B118),I118-G118),0)</f>
        <v>991</v>
      </c>
      <c r="F118" s="1793">
        <f ca="1">ROUND(IF(D32="总价",C35,G118*B118/10000),0)</f>
        <v>14624</v>
      </c>
      <c r="G118" s="1793">
        <f ca="1">ROUND(IF(D32="楼面单价",C35,F118*10000/B118),0)</f>
        <v>570</v>
      </c>
      <c r="H118" s="1793">
        <f ca="1">ROUND(IF(D32="总价",C32,I118*B118/10000),0)</f>
        <v>40066</v>
      </c>
      <c r="I118" s="1793">
        <f ca="1">ROUND(IF(D32="楼面单价",C32,H118*10000/B118),0)</f>
        <v>1561</v>
      </c>
    </row>
    <row r="119" spans="1:11" ht="18.75" customHeight="1">
      <c r="A119" s="3043" t="s">
        <v>2308</v>
      </c>
      <c r="B119" s="3043"/>
      <c r="C119" s="3043"/>
      <c r="D119" s="3163" t="str">
        <f ca="1">NUMBERSTRING(INT(D118*10000),2)&amp;"元整"</f>
        <v>贰亿伍仟肆佰肆拾贰万元整</v>
      </c>
      <c r="E119" s="3165"/>
      <c r="F119" s="3163" t="str">
        <f ca="1">NUMBERSTRING(INT(F118*10000),2)&amp;"元整"</f>
        <v>壹亿肆仟陆佰贰拾肆万元整</v>
      </c>
      <c r="G119" s="3165"/>
      <c r="H119" s="3163" t="str">
        <f ca="1">NUMBERSTRING(INT(H118*10000),2)&amp;"元整"</f>
        <v>肆亿零陆拾陆万元整</v>
      </c>
      <c r="I119" s="3165"/>
    </row>
    <row r="120" spans="1:11" ht="18.75" customHeight="1">
      <c r="A120" s="3191" t="str">
        <f>IF(项目基本情况!B9="房地产市场价值","",MID(E103,3,LEN(E103)-2))</f>
        <v>估价师知悉的法定优先受偿款</v>
      </c>
      <c r="B120" s="3192"/>
      <c r="C120" s="3193"/>
      <c r="D120" s="3191">
        <f>H103</f>
        <v>0</v>
      </c>
      <c r="E120" s="3192"/>
      <c r="F120" s="3192"/>
      <c r="G120" s="3192"/>
      <c r="H120" s="3192"/>
      <c r="I120" s="3193"/>
      <c r="K120" s="2413" t="str">
        <f>IF(D120=0,"故，本次评估不存在"&amp;A120,"故，本次评估"&amp;A120&amp;"为人民币"&amp;D120&amp;"万元整。")</f>
        <v>故，本次评估不存在估价师知悉的法定优先受偿款</v>
      </c>
    </row>
    <row r="121" spans="1:11" ht="18.75" customHeight="1">
      <c r="A121" s="3167" t="s">
        <v>2308</v>
      </c>
      <c r="B121" s="3168"/>
      <c r="C121" s="3169"/>
      <c r="D121" s="3163" t="str">
        <f>IF(D120=0,"零元整",NUMBERSTRING(INT(D120*10000),2)&amp;"元整")</f>
        <v>零元整</v>
      </c>
      <c r="E121" s="3164"/>
      <c r="F121" s="3164"/>
      <c r="G121" s="3164"/>
      <c r="H121" s="3164"/>
      <c r="I121" s="3165"/>
    </row>
    <row r="122" spans="1:11" ht="18.75" customHeight="1">
      <c r="A122" s="3154" t="str">
        <f>IF(项目基本情况!B9="房地产市场价值","",MID(E107,3,LEN(E107)-2))</f>
        <v>房地产抵押价值</v>
      </c>
      <c r="B122" s="3154"/>
      <c r="C122" s="3154"/>
      <c r="D122" s="3191">
        <f ca="1">H107</f>
        <v>40066</v>
      </c>
      <c r="E122" s="3192"/>
      <c r="F122" s="3192"/>
      <c r="G122" s="3192"/>
      <c r="H122" s="3192"/>
      <c r="I122" s="3193"/>
    </row>
    <row r="123" spans="1:11" ht="18.75" customHeight="1">
      <c r="A123" s="3043" t="s">
        <v>2308</v>
      </c>
      <c r="B123" s="3043"/>
      <c r="C123" s="3043"/>
      <c r="D123" s="3163" t="str">
        <f ca="1">NUMBERSTRING(INT(D122*10000),2)&amp;"元整"</f>
        <v>肆亿零陆拾陆万元整</v>
      </c>
      <c r="E123" s="3164"/>
      <c r="F123" s="3164"/>
      <c r="G123" s="3164"/>
      <c r="H123" s="3164"/>
      <c r="I123" s="3165"/>
    </row>
    <row r="124" spans="1:11" ht="18.75" customHeight="1">
      <c r="A124" s="3154" t="str">
        <f>IF(项目基本情况!B9="房地产市场价值","",MID(E109,3,LEN(E109)-2))</f>
        <v/>
      </c>
      <c r="B124" s="3154"/>
      <c r="C124" s="3154"/>
      <c r="D124" s="3191" t="str">
        <f>H109</f>
        <v>——</v>
      </c>
      <c r="E124" s="3192"/>
      <c r="F124" s="3192"/>
      <c r="G124" s="3192"/>
      <c r="H124" s="3192"/>
      <c r="I124" s="3193"/>
    </row>
    <row r="125" spans="1:11" ht="18.75" customHeight="1">
      <c r="A125" s="3043" t="s">
        <v>2308</v>
      </c>
      <c r="B125" s="3043"/>
      <c r="C125" s="3043"/>
      <c r="D125" s="3163" t="e">
        <f>NUMBERSTRING(INT(D124*10000),2)&amp;"元整"</f>
        <v>#VALUE!</v>
      </c>
      <c r="E125" s="3164"/>
      <c r="F125" s="3164"/>
      <c r="G125" s="3164"/>
      <c r="H125" s="3164"/>
      <c r="I125" s="3165"/>
    </row>
    <row r="126" spans="1:11" ht="18.75" customHeight="1">
      <c r="A126" s="3154" t="str">
        <f>IF(项目基本情况!B9="房地产市场价值","",MID(E111,3,LEN(E111)-2))</f>
        <v/>
      </c>
      <c r="B126" s="3154"/>
      <c r="C126" s="3154"/>
      <c r="D126" s="3191" t="str">
        <f>H111</f>
        <v>——</v>
      </c>
      <c r="E126" s="3192"/>
      <c r="F126" s="3192"/>
      <c r="G126" s="3192"/>
      <c r="H126" s="3192"/>
      <c r="I126" s="3193"/>
    </row>
    <row r="127" spans="1:11" ht="18.75" customHeight="1">
      <c r="A127" s="3043" t="s">
        <v>2308</v>
      </c>
      <c r="B127" s="3043"/>
      <c r="C127" s="3043"/>
      <c r="D127" s="3163" t="e">
        <f>NUMBERSTRING(INT(D126*10000),2)&amp;"元整"</f>
        <v>#VALUE!</v>
      </c>
      <c r="E127" s="3164"/>
      <c r="F127" s="3164"/>
      <c r="G127" s="3164"/>
      <c r="H127" s="3164"/>
      <c r="I127" s="3165"/>
    </row>
    <row r="128" spans="1:11" ht="21.75" customHeight="1">
      <c r="A128" s="3173" t="s">
        <v>2309</v>
      </c>
      <c r="B128" s="3173"/>
      <c r="C128" s="3173"/>
      <c r="D128" s="3173"/>
      <c r="E128" s="3173"/>
      <c r="F128" s="3173"/>
      <c r="G128" s="3173"/>
      <c r="H128" s="3173"/>
      <c r="I128" s="3173"/>
    </row>
    <row r="129" spans="1:35" ht="21.75" customHeight="1">
      <c r="A129" s="2517" t="s">
        <v>2310</v>
      </c>
      <c r="B129" s="2518"/>
      <c r="C129" s="2519" t="s">
        <v>2311</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4"/>
    </row>
    <row r="135" spans="1:35" ht="21.75" customHeight="1">
      <c r="A135" s="794"/>
      <c r="B135" s="794"/>
      <c r="C135" s="794"/>
      <c r="D135" s="794"/>
      <c r="E135" s="794"/>
      <c r="F135" s="2533" t="s">
        <v>2312</v>
      </c>
      <c r="G135" s="2534"/>
      <c r="H135" s="2534"/>
      <c r="I135" s="2535" t="s">
        <v>2313</v>
      </c>
    </row>
    <row r="136" spans="1:35" ht="21.75" customHeight="1">
      <c r="A136" s="794"/>
      <c r="B136" s="2536"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4"/>
      <c r="C138" s="2534"/>
      <c r="D138" s="2534"/>
      <c r="E138" s="2534"/>
      <c r="F138" s="2534"/>
      <c r="G138" s="2534"/>
      <c r="H138" s="2534"/>
      <c r="I138" s="2535" t="s">
        <v>2315</v>
      </c>
    </row>
    <row r="139" spans="1:35" ht="21.75" customHeight="1">
      <c r="A139" s="794"/>
      <c r="B139" s="2536" t="s">
        <v>2316</v>
      </c>
      <c r="C139" s="794"/>
      <c r="D139" s="794"/>
      <c r="E139" s="794"/>
      <c r="F139" s="794"/>
      <c r="G139" s="794"/>
      <c r="H139" s="794"/>
      <c r="I139" s="794"/>
    </row>
    <row r="140" spans="1:35" ht="21.75" customHeight="1">
      <c r="A140" s="794"/>
      <c r="B140" s="2536"/>
      <c r="C140" s="794"/>
      <c r="D140" s="794"/>
      <c r="E140" s="794"/>
      <c r="F140" s="794"/>
      <c r="G140" s="794"/>
      <c r="H140" s="794"/>
      <c r="I140" s="794"/>
    </row>
    <row r="141" spans="1:35" ht="21.75" customHeight="1">
      <c r="A141" s="794"/>
      <c r="B141" s="2534"/>
      <c r="C141" s="2534"/>
      <c r="D141" s="2534"/>
      <c r="E141" s="2534"/>
      <c r="F141" s="2534"/>
      <c r="G141" s="2534"/>
      <c r="H141" s="2534"/>
      <c r="I141" s="2535" t="s">
        <v>2315</v>
      </c>
    </row>
    <row r="142" spans="1:35" ht="21.75" customHeight="1">
      <c r="A142" s="794"/>
      <c r="B142" s="2536"/>
      <c r="C142" s="2537"/>
      <c r="D142" s="2538"/>
      <c r="E142" s="2538"/>
      <c r="F142" s="2333"/>
      <c r="G142" s="794"/>
      <c r="H142" s="794"/>
      <c r="I142" s="794"/>
    </row>
    <row r="143" spans="1:35" s="139" customFormat="1" ht="21.75" customHeight="1">
      <c r="A143" s="794"/>
      <c r="B143" s="2536"/>
      <c r="C143" s="2537"/>
      <c r="D143" s="2538"/>
      <c r="E143" s="2538"/>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9" t="str">
        <f>项目基本情况!B1</f>
        <v>云南省昆明市晋宁区晋城镇草村村民委员会住宅、商业、地下车库用地出让国有建设用地使用权及在建建筑物房地产抵押价值预评估</v>
      </c>
      <c r="C37" s="2999"/>
      <c r="D37" s="2999"/>
      <c r="E37" s="2999"/>
      <c r="F37" s="2999"/>
      <c r="G37" s="2999"/>
      <c r="H37" s="2999"/>
      <c r="I37" s="2999"/>
    </row>
    <row r="38" spans="1:9">
      <c r="A38" s="1015"/>
      <c r="B38" s="1015"/>
    </row>
    <row r="39" spans="1:9">
      <c r="A39" s="1013" t="s">
        <v>818</v>
      </c>
      <c r="B39" s="1013" t="s">
        <v>820</v>
      </c>
    </row>
    <row r="40" spans="1:9">
      <c r="A40" s="1013"/>
      <c r="B40" s="1940" t="str">
        <f>项目基本情况!B5</f>
        <v>云南文滇置业有限公司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王鹏（注册号：1120050019)、郑燚（注册号：1120070131)</v>
      </c>
    </row>
    <row r="47" spans="1:9">
      <c r="A47" s="1013"/>
      <c r="B47" s="1013" t="str">
        <f>项目基本情况!K5</f>
        <v/>
      </c>
    </row>
    <row r="48" spans="1:9">
      <c r="A48" s="1013" t="s">
        <v>818</v>
      </c>
      <c r="B48" s="1013" t="s">
        <v>824</v>
      </c>
    </row>
    <row r="49" spans="2:2">
      <c r="B49" s="1940" t="str">
        <f>"康正预评字"&amp;项目基本情况!B2&amp;"号"</f>
        <v>康正预评字2019-1-0359-P01DYGJ2号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8">
        <f>MATCH(B1,'数据-取费表'!A6:A16,0)+5</f>
        <v>10</v>
      </c>
    </row>
    <row r="2" spans="1:9" s="244" customFormat="1" ht="18" customHeight="1">
      <c r="A2" s="245" t="s">
        <v>2318</v>
      </c>
      <c r="B2" s="246">
        <f ca="1">IF(D2="——",C52,C52-E2)</f>
        <v>34717</v>
      </c>
      <c r="C2" s="243" t="s">
        <v>2319</v>
      </c>
      <c r="D2" s="2539" t="s">
        <v>70</v>
      </c>
      <c r="E2" s="1439" t="e">
        <f ca="1">SUMIF(INDIRECT("'"&amp;G2&amp;"'"&amp;"!A:A"),"承租人权益价值",INDIRECT("'"&amp;G2&amp;"'"&amp;"!c:c"))</f>
        <v>#REF!</v>
      </c>
      <c r="F2" s="2540" t="s">
        <v>2319</v>
      </c>
      <c r="G2" s="2541"/>
    </row>
    <row r="3" spans="1:9" s="244" customFormat="1" ht="18" customHeight="1" thickBot="1">
      <c r="A3" s="247" t="s">
        <v>2320</v>
      </c>
      <c r="B3" s="248">
        <f ca="1">ROUND(B2*10000/(IF(B1="",'数据-汇总表'!E3,INDIRECT("'数据-取费表'!k"&amp;$G$1))),0)</f>
        <v>1353</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19506</v>
      </c>
      <c r="D5" s="255" t="s">
        <v>2325</v>
      </c>
      <c r="E5" s="256" t="s">
        <v>2326</v>
      </c>
      <c r="F5" s="256" t="s">
        <v>2327</v>
      </c>
      <c r="G5" s="257"/>
    </row>
    <row r="6" spans="1:9" s="258" customFormat="1" ht="13.5" customHeight="1">
      <c r="A6" s="948" t="s">
        <v>2328</v>
      </c>
      <c r="B6" s="259" t="s">
        <v>2329</v>
      </c>
      <c r="C6" s="260">
        <f>'土地比较法-住宅、综合'!B2</f>
        <v>18929</v>
      </c>
      <c r="D6" s="261"/>
      <c r="E6" s="262"/>
      <c r="F6" s="262"/>
      <c r="G6" s="263"/>
    </row>
    <row r="7" spans="1:9" s="258" customFormat="1" ht="13.5" customHeight="1">
      <c r="A7" s="948" t="s">
        <v>2330</v>
      </c>
      <c r="B7" s="259" t="s">
        <v>2331</v>
      </c>
      <c r="C7" s="264">
        <f>ROUND(C6*F7,0)</f>
        <v>577</v>
      </c>
      <c r="D7" s="264"/>
      <c r="E7" s="262"/>
      <c r="F7" s="265">
        <f>'数据-取费表'!B48+'数据-取费表'!B49</f>
        <v>3.0499999999999999E-2</v>
      </c>
      <c r="G7" s="263"/>
    </row>
    <row r="8" spans="1:9" s="267" customFormat="1">
      <c r="A8" s="948" t="s">
        <v>2332</v>
      </c>
      <c r="B8" s="259" t="s">
        <v>2333</v>
      </c>
      <c r="C8" s="264">
        <f>IF(G8="已包含在土地购买价格中","0",IF(B1="",'数据-取费表'!B29,IF(G9="全部缴纳",C9+C10,H9)))</f>
        <v>0</v>
      </c>
      <c r="D8" s="266"/>
      <c r="E8" s="264"/>
      <c r="F8" s="265"/>
      <c r="G8" s="2542" t="s">
        <v>3231</v>
      </c>
    </row>
    <row r="9" spans="1:9" s="258" customFormat="1" ht="13.5" customHeight="1">
      <c r="A9" s="949" t="s">
        <v>800</v>
      </c>
      <c r="B9" s="268" t="s">
        <v>2334</v>
      </c>
      <c r="C9" s="269">
        <f ca="1">ROUND(D9*E9/10000,0)</f>
        <v>1480</v>
      </c>
      <c r="D9" s="1031">
        <f ca="1">IF(B1="",'数据-汇总表'!E5,IF(INDIRECT("'数据-取费表'!c"&amp;$G$1)="住宅",INDIRECT("'数据-取费表'!k"&amp;$G$1),0))</f>
        <v>185035</v>
      </c>
      <c r="E9" s="269">
        <f>'数据-取费表'!B27</f>
        <v>80</v>
      </c>
      <c r="F9" s="265"/>
      <c r="G9" s="2543"/>
      <c r="H9" s="1389"/>
      <c r="I9" s="2544" t="s">
        <v>2335</v>
      </c>
    </row>
    <row r="10" spans="1:9" s="258" customFormat="1" ht="13.5" customHeight="1">
      <c r="A10" s="949" t="s">
        <v>801</v>
      </c>
      <c r="B10" s="268" t="s">
        <v>2336</v>
      </c>
      <c r="C10" s="269">
        <f ca="1">ROUND(D10*E10/10000,0)</f>
        <v>1145</v>
      </c>
      <c r="D10" s="1031">
        <f ca="1">IF(B1="",'数据-汇总表'!E6,IF(INDIRECT("'数据-取费表'!c"&amp;$G$1)="住宅",INDIRECT("'数据-取费表'!s"&amp;$G$1),INDIRECT("'数据-取费表'!k"&amp;$G$1)+INDIRECT("'数据-取费表'!s"&amp;$G$1)))</f>
        <v>71560.189999999973</v>
      </c>
      <c r="E10" s="269">
        <f>'数据-取费表'!B28</f>
        <v>160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256595.18999999997</v>
      </c>
      <c r="E19" s="255">
        <f>'数据-取费表'!B31</f>
        <v>200</v>
      </c>
      <c r="F19" s="275"/>
      <c r="G19" s="2542" t="s">
        <v>3232</v>
      </c>
    </row>
    <row r="20" spans="1:7" s="258" customFormat="1" ht="13.5" customHeight="1">
      <c r="A20" s="299" t="s">
        <v>2349</v>
      </c>
      <c r="B20" s="254" t="s">
        <v>2350</v>
      </c>
      <c r="C20" s="276">
        <f>ROUND((C5+C19)*F20,0)</f>
        <v>390</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3">
        <f ca="1">ROUND(SUM(C23:C25),0)</f>
        <v>276</v>
      </c>
      <c r="D22" s="279">
        <f ca="1">C26</f>
        <v>1E-4</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273</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3</v>
      </c>
      <c r="D25" s="282"/>
      <c r="E25" s="285"/>
      <c r="F25" s="283"/>
      <c r="G25" s="286" t="s">
        <v>2366</v>
      </c>
    </row>
    <row r="26" spans="1:7" s="258" customFormat="1">
      <c r="A26" s="950" t="s">
        <v>795</v>
      </c>
      <c r="B26" s="259" t="s">
        <v>2367</v>
      </c>
      <c r="C26" s="282">
        <f ca="1">ROUND(IF('数据-取费表'!B22&lt;=1,F21*F22*'数据-取费表'!B23/2,F21*(POWER((1+F22),'数据-取费表'!B23/2)-1)),4)</f>
        <v>1E-4</v>
      </c>
      <c r="D26" s="282"/>
      <c r="E26" s="285"/>
      <c r="F26" s="283"/>
      <c r="G26" s="287"/>
    </row>
    <row r="27" spans="1:7" s="258" customFormat="1" ht="24.75">
      <c r="A27" s="299" t="s">
        <v>2368</v>
      </c>
      <c r="B27" s="288" t="s">
        <v>2369</v>
      </c>
      <c r="C27" s="289">
        <f ca="1">C28</f>
        <v>239</v>
      </c>
      <c r="D27" s="279">
        <f ca="1">C29</f>
        <v>2.0000000000000001E-4</v>
      </c>
      <c r="E27" s="280" t="s">
        <v>2370</v>
      </c>
      <c r="F27" s="290">
        <f ca="1">IF(B1="",'数据-取费表'!Q16,INDIRECT("'数据-取费表'!q"&amp;$G$1))</f>
        <v>0.08</v>
      </c>
      <c r="G27" s="291" t="s">
        <v>2371</v>
      </c>
    </row>
    <row r="28" spans="1:7" s="258" customFormat="1" ht="13.5" customHeight="1">
      <c r="A28" s="950" t="s">
        <v>791</v>
      </c>
      <c r="B28" s="292" t="s">
        <v>2372</v>
      </c>
      <c r="C28" s="293">
        <f ca="1">ROUND((C5+C19+C20)*F27*'数据-取费表'!B21/'数据-取费表'!B20,0)</f>
        <v>239</v>
      </c>
      <c r="D28" s="279"/>
      <c r="E28" s="280"/>
      <c r="F28" s="290"/>
      <c r="G28" s="291"/>
    </row>
    <row r="29" spans="1:7" s="258" customFormat="1" ht="13.5" customHeight="1">
      <c r="A29" s="950" t="s">
        <v>792</v>
      </c>
      <c r="B29" s="292" t="s">
        <v>2373</v>
      </c>
      <c r="C29" s="282">
        <f ca="1">ROUND(C21*F27*'数据-取费表'!B21/'数据-取费表'!B20,4)</f>
        <v>2.0000000000000001E-4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22033</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10582</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8968</v>
      </c>
      <c r="D34" s="261"/>
      <c r="E34" s="264"/>
      <c r="F34" s="301">
        <f ca="1">IF('数据-取费表'!B24=0,1,IF(B1="",'数据-取费表'!N16,INDIRECT("'数据-取费表'!n"&amp;$G$1)))</f>
        <v>0.15</v>
      </c>
      <c r="G34" s="263" t="s">
        <v>2382</v>
      </c>
    </row>
    <row r="35" spans="1:7" ht="13.5" customHeight="1">
      <c r="A35" s="950" t="s">
        <v>796</v>
      </c>
      <c r="B35" s="259" t="s">
        <v>2383</v>
      </c>
      <c r="C35" s="264">
        <f ca="1">ROUND(C34*F35,0)</f>
        <v>359</v>
      </c>
      <c r="D35" s="264"/>
      <c r="E35" s="264"/>
      <c r="F35" s="303">
        <f>'数据-取费表'!B33</f>
        <v>0.04</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350</v>
      </c>
      <c r="D36" s="264"/>
      <c r="E36" s="264"/>
      <c r="F36" s="303">
        <f>'数据-取费表'!B34</f>
        <v>0.05</v>
      </c>
      <c r="G36" s="304" t="s">
        <v>2386</v>
      </c>
    </row>
    <row r="37" spans="1:7" s="302" customFormat="1" ht="13.5" customHeight="1">
      <c r="A37" s="950" t="s">
        <v>798</v>
      </c>
      <c r="B37" s="259" t="s">
        <v>2387</v>
      </c>
      <c r="C37" s="293">
        <f ca="1">ROUND(E37*D37*F34/10000,0)</f>
        <v>770</v>
      </c>
      <c r="D37" s="261">
        <f ca="1">D19</f>
        <v>256595.18999999997</v>
      </c>
      <c r="E37" s="293">
        <f>'数据-取费表'!B35</f>
        <v>200</v>
      </c>
      <c r="F37" s="303"/>
      <c r="G37" s="305" t="s">
        <v>2388</v>
      </c>
    </row>
    <row r="38" spans="1:7" ht="13.5" customHeight="1">
      <c r="A38" s="950" t="s">
        <v>799</v>
      </c>
      <c r="B38" s="259" t="s">
        <v>2389</v>
      </c>
      <c r="C38" s="264">
        <f ca="1">ROUND(C34*F38,0)</f>
        <v>135</v>
      </c>
      <c r="D38" s="264"/>
      <c r="E38" s="264"/>
      <c r="F38" s="303">
        <f>'数据-取费表'!B36</f>
        <v>1.4999999999999999E-2</v>
      </c>
      <c r="G38" s="263" t="s">
        <v>2384</v>
      </c>
    </row>
    <row r="39" spans="1:7" s="258" customFormat="1" ht="13.5" customHeight="1">
      <c r="A39" s="299" t="s">
        <v>2390</v>
      </c>
      <c r="B39" s="254" t="s">
        <v>2391</v>
      </c>
      <c r="C39" s="276">
        <f ca="1">ROUND(C33*F20,0)</f>
        <v>212</v>
      </c>
      <c r="D39" s="276"/>
      <c r="E39" s="276"/>
      <c r="F39" s="277"/>
      <c r="G39" s="278" t="s">
        <v>2392</v>
      </c>
    </row>
    <row r="40" spans="1:7" s="258" customFormat="1" ht="13.5" customHeight="1">
      <c r="A40" s="299" t="s">
        <v>2393</v>
      </c>
      <c r="B40" s="254" t="s">
        <v>2394</v>
      </c>
      <c r="C40" s="1726">
        <f>F21</f>
        <v>0.02</v>
      </c>
      <c r="D40" s="280" t="s">
        <v>2395</v>
      </c>
      <c r="E40" s="276"/>
      <c r="F40" s="277"/>
      <c r="G40" s="278" t="s">
        <v>2396</v>
      </c>
    </row>
    <row r="41" spans="1:7" s="258" customFormat="1" ht="13.5" customHeight="1">
      <c r="A41" s="299" t="s">
        <v>2397</v>
      </c>
      <c r="B41" s="254" t="s">
        <v>2398</v>
      </c>
      <c r="C41" s="276">
        <f ca="1">ROUND(SUM(C42:C43),0)</f>
        <v>75</v>
      </c>
      <c r="D41" s="279">
        <f ca="1">C44</f>
        <v>1E-4</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74</v>
      </c>
      <c r="D42" s="282"/>
      <c r="E42" s="282"/>
      <c r="F42" s="283"/>
      <c r="G42" s="3205" t="s">
        <v>2400</v>
      </c>
    </row>
    <row r="43" spans="1:7" ht="13.5" customHeight="1">
      <c r="A43" s="950" t="s">
        <v>792</v>
      </c>
      <c r="B43" s="259" t="s">
        <v>2401</v>
      </c>
      <c r="C43" s="282">
        <f ca="1">ROUND(IF('数据-取费表'!B22&lt;=1,C39*F22*'数据-取费表'!B21/2,C39*(POWER((1+F22),'数据-取费表'!B21/2)-1)),0)</f>
        <v>1</v>
      </c>
      <c r="D43" s="282"/>
      <c r="E43" s="282"/>
      <c r="F43" s="283"/>
      <c r="G43" s="3206"/>
    </row>
    <row r="44" spans="1:7" ht="13.5" customHeight="1">
      <c r="A44" s="950" t="s">
        <v>793</v>
      </c>
      <c r="B44" s="259" t="s">
        <v>2402</v>
      </c>
      <c r="C44" s="282">
        <f ca="1">ROUND(IF('数据-取费表'!B22&lt;=1,C40*F22*'数据-取费表'!B21/2,C40*(POWER((1+F22),'数据-取费表'!B21/2)-1)),4)</f>
        <v>1E-4</v>
      </c>
      <c r="D44" s="282"/>
      <c r="E44" s="282"/>
      <c r="F44" s="283"/>
      <c r="G44" s="3207"/>
    </row>
    <row r="45" spans="1:7" s="258" customFormat="1" ht="13.5" customHeight="1">
      <c r="A45" s="299" t="s">
        <v>2403</v>
      </c>
      <c r="B45" s="288" t="s">
        <v>2369</v>
      </c>
      <c r="C45" s="289">
        <f ca="1">C46</f>
        <v>864</v>
      </c>
      <c r="D45" s="279">
        <f ca="1">C47</f>
        <v>1.6000000000000001E-3</v>
      </c>
      <c r="E45" s="280" t="s">
        <v>2395</v>
      </c>
      <c r="F45" s="290"/>
      <c r="G45" s="291" t="s">
        <v>2404</v>
      </c>
    </row>
    <row r="46" spans="1:7" s="258" customFormat="1" ht="13.5" customHeight="1">
      <c r="A46" s="950" t="s">
        <v>791</v>
      </c>
      <c r="B46" s="292" t="s">
        <v>2405</v>
      </c>
      <c r="C46" s="293">
        <f ca="1">ROUND((C33+C39)*F27,0)</f>
        <v>864</v>
      </c>
      <c r="D46" s="307"/>
      <c r="E46" s="280"/>
      <c r="F46" s="290"/>
      <c r="G46" s="291"/>
    </row>
    <row r="47" spans="1:7" s="258" customFormat="1" ht="13.5" customHeight="1">
      <c r="A47" s="950" t="s">
        <v>792</v>
      </c>
      <c r="B47" s="292" t="s">
        <v>2406</v>
      </c>
      <c r="C47" s="282">
        <f ca="1">ROUND(C40*F27,4)</f>
        <v>1.6000000000000001E-3</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12684</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12684</v>
      </c>
      <c r="D51" s="276"/>
      <c r="E51" s="276"/>
      <c r="F51" s="308"/>
      <c r="G51" s="278" t="s">
        <v>2416</v>
      </c>
    </row>
    <row r="52" spans="1:7" s="252" customFormat="1" ht="16.5" thickBot="1">
      <c r="A52" s="309" t="s">
        <v>2417</v>
      </c>
      <c r="B52" s="310"/>
      <c r="C52" s="311">
        <f ca="1">C31+C51</f>
        <v>34717</v>
      </c>
      <c r="D52" s="310"/>
      <c r="E52" s="310"/>
      <c r="F52" s="310"/>
      <c r="G52" s="312"/>
    </row>
    <row r="55" spans="1:7" ht="15">
      <c r="B55" s="314" t="s">
        <v>2418</v>
      </c>
      <c r="C55" s="315"/>
    </row>
    <row r="56" spans="1:7">
      <c r="B56" s="317" t="s">
        <v>1509</v>
      </c>
      <c r="C56" s="319">
        <f ca="1">1-C57</f>
        <v>0.63500000000000001</v>
      </c>
    </row>
    <row r="57" spans="1:7">
      <c r="B57" s="317" t="s">
        <v>1510</v>
      </c>
      <c r="C57" s="318">
        <f ca="1">ROUND(C51/C52,3)</f>
        <v>0.36499999999999999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45" t="s">
        <v>2419</v>
      </c>
      <c r="D1" s="242"/>
      <c r="E1" s="242"/>
      <c r="F1" s="242"/>
      <c r="G1" s="1378">
        <f>MATCH(B1,'数据-取费表'!A6:A16,0)+5</f>
        <v>10</v>
      </c>
      <c r="H1" s="1281" t="str">
        <f>IF(ISERROR(FIND("住宅",B1)),"非住宅","住宅")</f>
        <v>非住宅</v>
      </c>
    </row>
    <row r="2" spans="1:8" s="244" customFormat="1" ht="18" customHeight="1">
      <c r="A2" s="245" t="s">
        <v>2318</v>
      </c>
      <c r="B2" s="246">
        <f ca="1">ROUND(IF(D2="——",C52/10000,C52/10000-E2),0)</f>
        <v>114295</v>
      </c>
      <c r="C2" s="243" t="s">
        <v>2319</v>
      </c>
      <c r="D2" s="2539" t="s">
        <v>70</v>
      </c>
      <c r="E2" s="1439" t="e">
        <f ca="1">SUMIF(INDIRECT("'"&amp;G2&amp;"'"&amp;"!A:A"),"承租人权益价值",INDIRECT("'"&amp;G2&amp;"'"&amp;"!c:c"))</f>
        <v>#REF!</v>
      </c>
      <c r="F2" s="2540" t="s">
        <v>2319</v>
      </c>
      <c r="G2" s="2541"/>
    </row>
    <row r="3" spans="1:8" s="244" customFormat="1" ht="18" customHeight="1" thickBot="1">
      <c r="A3" s="247" t="s">
        <v>2320</v>
      </c>
      <c r="B3" s="248">
        <f ca="1">ROUND(B2*10000/(IF(B1="",'数据-汇总表'!E3,INDIRECT("'数据-取费表'!k"&amp;$G$1))),0)</f>
        <v>4454</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204192477</v>
      </c>
      <c r="D5" s="255" t="s">
        <v>2325</v>
      </c>
      <c r="E5" s="256" t="s">
        <v>2326</v>
      </c>
      <c r="F5" s="256" t="s">
        <v>2327</v>
      </c>
      <c r="G5" s="257"/>
    </row>
    <row r="6" spans="1:8" s="258" customFormat="1" ht="13.5" customHeight="1">
      <c r="A6" s="948" t="s">
        <v>2328</v>
      </c>
      <c r="B6" s="259" t="s">
        <v>2329</v>
      </c>
      <c r="C6" s="260">
        <f>ROUND(900*191859.45,0)</f>
        <v>172673505</v>
      </c>
      <c r="D6" s="261"/>
      <c r="E6" s="262"/>
      <c r="F6" s="262"/>
      <c r="G6" s="263"/>
    </row>
    <row r="7" spans="1:8" s="258" customFormat="1" ht="13.5" customHeight="1">
      <c r="A7" s="948" t="s">
        <v>2330</v>
      </c>
      <c r="B7" s="259" t="s">
        <v>2331</v>
      </c>
      <c r="C7" s="264">
        <f>ROUND(C6*F7,0)</f>
        <v>5266542</v>
      </c>
      <c r="D7" s="264"/>
      <c r="E7" s="262"/>
      <c r="F7" s="265">
        <f>'数据-取费表'!B48+'数据-取费表'!B49</f>
        <v>3.0499999999999999E-2</v>
      </c>
      <c r="G7" s="263"/>
    </row>
    <row r="8" spans="1:8" s="267" customFormat="1">
      <c r="A8" s="948" t="s">
        <v>2332</v>
      </c>
      <c r="B8" s="259" t="s">
        <v>2333</v>
      </c>
      <c r="C8" s="264">
        <f ca="1">IF(G8="已包含在土地购买价格中",0,C9+C10)</f>
        <v>26252430</v>
      </c>
      <c r="D8" s="266"/>
      <c r="E8" s="264"/>
      <c r="F8" s="265"/>
      <c r="G8" s="2542" t="s">
        <v>3231</v>
      </c>
    </row>
    <row r="9" spans="1:8" s="258" customFormat="1" ht="13.5" customHeight="1">
      <c r="A9" s="949" t="s">
        <v>800</v>
      </c>
      <c r="B9" s="268" t="s">
        <v>2334</v>
      </c>
      <c r="C9" s="269">
        <f ca="1">ROUND(D9*E9,0)</f>
        <v>14802800</v>
      </c>
      <c r="D9" s="1031">
        <f ca="1">IF(B1="",'数据-汇总表'!E5,IF(INDIRECT("'数据-取费表'!c"&amp;$G$1)="住宅",INDIRECT("'数据-取费表'!k"&amp;$G$1),0))</f>
        <v>185035</v>
      </c>
      <c r="E9" s="269">
        <f>'数据-取费表'!B27</f>
        <v>80</v>
      </c>
      <c r="F9" s="265"/>
      <c r="G9" s="270"/>
    </row>
    <row r="10" spans="1:8" s="258" customFormat="1" ht="13.5" customHeight="1">
      <c r="A10" s="949" t="s">
        <v>801</v>
      </c>
      <c r="B10" s="268" t="s">
        <v>2336</v>
      </c>
      <c r="C10" s="269">
        <f ca="1">ROUND(D10*E10,0)</f>
        <v>11449630</v>
      </c>
      <c r="D10" s="1031">
        <f ca="1">IF(B1="",'数据-汇总表'!E6,IF(INDIRECT("'数据-取费表'!c"&amp;$G$1)="住宅",INDIRECT("'数据-取费表'!s"&amp;$G$1),INDIRECT("'数据-取费表'!k"&amp;$G$1)+INDIRECT("'数据-取费表'!s"&amp;$G$1)))</f>
        <v>71560.189999999973</v>
      </c>
      <c r="E10" s="269">
        <f>'数据-取费表'!B28</f>
        <v>160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t="str">
        <f>IF(G19="已包含在土地取得成本中","0",ROUND(D19*E19,0))</f>
        <v>0</v>
      </c>
      <c r="D19" s="1035">
        <f ca="1">D9+D10</f>
        <v>256595.18999999997</v>
      </c>
      <c r="E19" s="255">
        <f>'数据-取费表'!B31</f>
        <v>200</v>
      </c>
      <c r="F19" s="275"/>
      <c r="G19" s="2542" t="s">
        <v>3232</v>
      </c>
    </row>
    <row r="20" spans="1:7" s="258" customFormat="1" ht="13.5" customHeight="1">
      <c r="A20" s="299" t="s">
        <v>2430</v>
      </c>
      <c r="B20" s="254" t="s">
        <v>2431</v>
      </c>
      <c r="C20" s="276">
        <f ca="1">ROUND((C5+C19)*F20,0)</f>
        <v>4083850</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79">
        <f ca="1">ROUND(SUM(C23:C25),0)</f>
        <v>20052978</v>
      </c>
      <c r="D22" s="279">
        <f ca="1">C26</f>
        <v>1E-3</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19858995</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0</v>
      </c>
      <c r="D24" s="282"/>
      <c r="E24" s="282"/>
      <c r="F24" s="283"/>
      <c r="G24" s="284" t="s">
        <v>2442</v>
      </c>
    </row>
    <row r="25" spans="1:7" s="258" customFormat="1" ht="24">
      <c r="A25" s="950" t="s">
        <v>2332</v>
      </c>
      <c r="B25" s="259" t="s">
        <v>2443</v>
      </c>
      <c r="C25" s="1380">
        <f ca="1">ROUND(IF('数据-取费表'!B22&lt;=1,C20*F22*'数据-取费表'!B22/2,C20*(POWER((1+F22),'数据-取费表'!B22/2)-1)),0)</f>
        <v>193983</v>
      </c>
      <c r="D25" s="282"/>
      <c r="E25" s="285"/>
      <c r="F25" s="283"/>
      <c r="G25" s="286" t="s">
        <v>2444</v>
      </c>
    </row>
    <row r="26" spans="1:7" s="258" customFormat="1">
      <c r="A26" s="950" t="s">
        <v>795</v>
      </c>
      <c r="B26" s="259" t="s">
        <v>2367</v>
      </c>
      <c r="C26" s="282">
        <f ca="1">ROUND(IF('数据-取费表'!B22&lt;=1,F21*F22*'数据-取费表'!B22/2,F21*(POWER((1+F22),'数据-取费表'!B22/2)-1)),4)</f>
        <v>1E-3</v>
      </c>
      <c r="D26" s="282"/>
      <c r="E26" s="285"/>
      <c r="F26" s="283"/>
      <c r="G26" s="287"/>
    </row>
    <row r="27" spans="1:7" s="258" customFormat="1" ht="24.75">
      <c r="A27" s="299" t="s">
        <v>2368</v>
      </c>
      <c r="B27" s="288" t="s">
        <v>2369</v>
      </c>
      <c r="C27" s="289">
        <f ca="1">C28</f>
        <v>16662106</v>
      </c>
      <c r="D27" s="279">
        <f ca="1">C29</f>
        <v>1.6000000000000001E-3</v>
      </c>
      <c r="E27" s="280" t="s">
        <v>2370</v>
      </c>
      <c r="F27" s="290">
        <f ca="1">IF(B1="",'数据-取费表'!Q16,INDIRECT("'数据-取费表'!q"&amp;$G$1))</f>
        <v>0.08</v>
      </c>
      <c r="G27" s="291" t="s">
        <v>2371</v>
      </c>
    </row>
    <row r="28" spans="1:7" s="258" customFormat="1" ht="13.5" customHeight="1">
      <c r="A28" s="950" t="s">
        <v>791</v>
      </c>
      <c r="B28" s="292" t="s">
        <v>2372</v>
      </c>
      <c r="C28" s="293">
        <f ca="1">ROUND((C5+C19+C20)*F27,0)</f>
        <v>16662106</v>
      </c>
      <c r="D28" s="279"/>
      <c r="E28" s="280"/>
      <c r="F28" s="290"/>
      <c r="G28" s="291"/>
    </row>
    <row r="29" spans="1:7" s="258" customFormat="1" ht="13.5" customHeight="1">
      <c r="A29" s="950" t="s">
        <v>792</v>
      </c>
      <c r="B29" s="292" t="s">
        <v>2373</v>
      </c>
      <c r="C29" s="282">
        <f ca="1">ROUND(C21*F27,4)</f>
        <v>1.6000000000000001E-3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265113528</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705368445</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597847655</v>
      </c>
      <c r="D34" s="261"/>
      <c r="E34" s="264"/>
      <c r="F34" s="301"/>
      <c r="G34" s="263"/>
    </row>
    <row r="35" spans="1:7" ht="13.5" customHeight="1">
      <c r="A35" s="950" t="s">
        <v>796</v>
      </c>
      <c r="B35" s="259" t="s">
        <v>2383</v>
      </c>
      <c r="C35" s="264">
        <f ca="1">ROUND(C34*F35,0)</f>
        <v>23913906</v>
      </c>
      <c r="D35" s="264"/>
      <c r="E35" s="264"/>
      <c r="F35" s="303">
        <f>'数据-取费表'!B33</f>
        <v>0.04</v>
      </c>
      <c r="G35" s="263" t="s">
        <v>2384</v>
      </c>
    </row>
    <row r="36" spans="1:7" ht="24">
      <c r="A36" s="950" t="s">
        <v>797</v>
      </c>
      <c r="B36" s="259" t="s">
        <v>2385</v>
      </c>
      <c r="C36" s="264">
        <f ca="1">ROUND(IF(B1="",SUM('数据-取费表'!AP6:AP13)*F36,IF(INDIRECT("'数据-取费表'!c"&amp;$G$1)="住宅",INDIRECT("'数据-取费表'!k"&amp;$G$1)*INDIRECT("'数据-取费表'!l"&amp;$G$1)*F36,0)),0)</f>
        <v>23320131</v>
      </c>
      <c r="D36" s="264"/>
      <c r="E36" s="264"/>
      <c r="F36" s="303">
        <f>'数据-取费表'!B34</f>
        <v>0.05</v>
      </c>
      <c r="G36" s="304" t="s">
        <v>2386</v>
      </c>
    </row>
    <row r="37" spans="1:7" s="302" customFormat="1" ht="13.5" customHeight="1">
      <c r="A37" s="950" t="s">
        <v>798</v>
      </c>
      <c r="B37" s="259" t="s">
        <v>2387</v>
      </c>
      <c r="C37" s="293">
        <f ca="1">ROUND(E37*D37,0)</f>
        <v>51319038</v>
      </c>
      <c r="D37" s="261">
        <f ca="1">D19</f>
        <v>256595.18999999997</v>
      </c>
      <c r="E37" s="293">
        <f>'数据-取费表'!B35</f>
        <v>200</v>
      </c>
      <c r="F37" s="303"/>
      <c r="G37" s="305"/>
    </row>
    <row r="38" spans="1:7" ht="13.5" customHeight="1">
      <c r="A38" s="950" t="s">
        <v>799</v>
      </c>
      <c r="B38" s="259" t="s">
        <v>2389</v>
      </c>
      <c r="C38" s="264">
        <f ca="1">ROUND(C34*F38,0)</f>
        <v>8967715</v>
      </c>
      <c r="D38" s="264"/>
      <c r="E38" s="264"/>
      <c r="F38" s="303">
        <f>'数据-取费表'!B36</f>
        <v>1.4999999999999999E-2</v>
      </c>
      <c r="G38" s="263" t="s">
        <v>2384</v>
      </c>
    </row>
    <row r="39" spans="1:7" s="258" customFormat="1" ht="13.5" customHeight="1">
      <c r="A39" s="299" t="s">
        <v>2390</v>
      </c>
      <c r="B39" s="254" t="s">
        <v>2391</v>
      </c>
      <c r="C39" s="276">
        <f ca="1">ROUND(C33*F20,0)</f>
        <v>14107369</v>
      </c>
      <c r="D39" s="276"/>
      <c r="E39" s="276"/>
      <c r="F39" s="277"/>
      <c r="G39" s="278" t="s">
        <v>2392</v>
      </c>
    </row>
    <row r="40" spans="1:7" s="258" customFormat="1" ht="13.5" customHeight="1">
      <c r="A40" s="299" t="s">
        <v>2393</v>
      </c>
      <c r="B40" s="254" t="s">
        <v>2394</v>
      </c>
      <c r="C40" s="1726">
        <f>F21</f>
        <v>0.02</v>
      </c>
      <c r="D40" s="280" t="s">
        <v>2395</v>
      </c>
      <c r="E40" s="276"/>
      <c r="F40" s="277"/>
      <c r="G40" s="278" t="s">
        <v>2396</v>
      </c>
    </row>
    <row r="41" spans="1:7" s="258" customFormat="1" ht="13.5" customHeight="1">
      <c r="A41" s="299" t="s">
        <v>2397</v>
      </c>
      <c r="B41" s="254" t="s">
        <v>2398</v>
      </c>
      <c r="C41" s="276">
        <f ca="1">ROUND(SUM(C42:C43),0)</f>
        <v>34175101</v>
      </c>
      <c r="D41" s="279">
        <f ca="1">C44</f>
        <v>1E-3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33505001</v>
      </c>
      <c r="D42" s="282"/>
      <c r="E42" s="282"/>
      <c r="F42" s="283"/>
      <c r="G42" s="3205" t="s">
        <v>2447</v>
      </c>
    </row>
    <row r="43" spans="1:7" ht="13.5" customHeight="1">
      <c r="A43" s="950" t="s">
        <v>792</v>
      </c>
      <c r="B43" s="259" t="s">
        <v>2401</v>
      </c>
      <c r="C43" s="282">
        <f ca="1">ROUND(IF('数据-取费表'!B22&lt;=1,C39*F22*'数据-取费表'!B20/2,C39*(POWER((1+F22),'数据-取费表'!B20/2)-1)),0)</f>
        <v>670100</v>
      </c>
      <c r="D43" s="282"/>
      <c r="E43" s="282"/>
      <c r="F43" s="283"/>
      <c r="G43" s="3206"/>
    </row>
    <row r="44" spans="1:7" ht="13.5" customHeight="1">
      <c r="A44" s="950" t="s">
        <v>793</v>
      </c>
      <c r="B44" s="259" t="s">
        <v>2402</v>
      </c>
      <c r="C44" s="282">
        <f ca="1">ROUND(IF('数据-取费表'!B22&lt;=1,C40*F22*'数据-取费表'!B20/2,C40*(POWER((1+F22),'数据-取费表'!B20/2)-1)),4)</f>
        <v>1E-3</v>
      </c>
      <c r="D44" s="282"/>
      <c r="E44" s="282"/>
      <c r="F44" s="283"/>
      <c r="G44" s="3207"/>
    </row>
    <row r="45" spans="1:7" s="258" customFormat="1" ht="13.5" customHeight="1">
      <c r="A45" s="299" t="s">
        <v>2403</v>
      </c>
      <c r="B45" s="288" t="s">
        <v>2369</v>
      </c>
      <c r="C45" s="289">
        <f ca="1">C46</f>
        <v>57558065</v>
      </c>
      <c r="D45" s="279">
        <f ca="1">C47</f>
        <v>1.6000000000000001E-3</v>
      </c>
      <c r="E45" s="280" t="s">
        <v>2395</v>
      </c>
      <c r="F45" s="290"/>
      <c r="G45" s="291" t="s">
        <v>2404</v>
      </c>
    </row>
    <row r="46" spans="1:7" s="258" customFormat="1" ht="13.5" customHeight="1">
      <c r="A46" s="950" t="s">
        <v>791</v>
      </c>
      <c r="B46" s="292" t="s">
        <v>2405</v>
      </c>
      <c r="C46" s="293">
        <f ca="1">ROUND((C33+C39)*F27,0)</f>
        <v>57558065</v>
      </c>
      <c r="D46" s="307"/>
      <c r="E46" s="280"/>
      <c r="F46" s="290"/>
      <c r="G46" s="291"/>
    </row>
    <row r="47" spans="1:7" s="258" customFormat="1" ht="13.5" customHeight="1">
      <c r="A47" s="950" t="s">
        <v>792</v>
      </c>
      <c r="B47" s="292" t="s">
        <v>2406</v>
      </c>
      <c r="C47" s="282">
        <f ca="1">ROUND(C40*F27,4)</f>
        <v>1.6000000000000001E-3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877836793</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877836793</v>
      </c>
      <c r="D51" s="276"/>
      <c r="E51" s="276"/>
      <c r="F51" s="308"/>
      <c r="G51" s="278" t="s">
        <v>2416</v>
      </c>
    </row>
    <row r="52" spans="1:7" s="252" customFormat="1" ht="16.5" thickBot="1">
      <c r="A52" s="309" t="s">
        <v>2417</v>
      </c>
      <c r="B52" s="310"/>
      <c r="C52" s="311">
        <f ca="1">C31+C51</f>
        <v>1142950321</v>
      </c>
      <c r="D52" s="310"/>
      <c r="E52" s="310"/>
      <c r="F52" s="310"/>
      <c r="G52" s="312"/>
    </row>
    <row r="55" spans="1:7" ht="15">
      <c r="B55" s="314" t="s">
        <v>2418</v>
      </c>
      <c r="C55" s="315"/>
    </row>
    <row r="56" spans="1:7">
      <c r="B56" s="317" t="s">
        <v>1509</v>
      </c>
      <c r="C56" s="319">
        <f ca="1">1-C57</f>
        <v>0.23199999999999998</v>
      </c>
    </row>
    <row r="57" spans="1:7">
      <c r="B57" s="317" t="s">
        <v>1510</v>
      </c>
      <c r="C57" s="318">
        <f ca="1">ROUND(C51/C52,3)</f>
        <v>0.76800000000000002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8" zoomScale="80" zoomScaleNormal="80" workbookViewId="0">
      <selection activeCell="E17" sqref="E1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f>F66</f>
        <v>18929</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f>ROUND(IF(D3="",B2*10000/'数据-汇总表'!E3,B2*10000/D3),0)</f>
        <v>738</v>
      </c>
      <c r="C3" s="247" t="s">
        <v>2734</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2633</v>
      </c>
      <c r="B4" s="402"/>
      <c r="C4" s="3212" t="s">
        <v>2634</v>
      </c>
      <c r="D4" s="3225"/>
      <c r="E4" s="3226" t="s">
        <v>2635</v>
      </c>
      <c r="F4" s="3227"/>
      <c r="G4" s="3212" t="s">
        <v>2636</v>
      </c>
      <c r="H4" s="3225"/>
      <c r="I4" s="3212" t="s">
        <v>2637</v>
      </c>
      <c r="J4" s="3225"/>
      <c r="K4" s="610" t="s">
        <v>2638</v>
      </c>
      <c r="L4" s="1129"/>
      <c r="M4" s="1130"/>
      <c r="N4" s="1130"/>
      <c r="O4" s="1130"/>
      <c r="P4" s="3228" t="s">
        <v>2639</v>
      </c>
      <c r="Q4" s="3229"/>
      <c r="R4" s="3234" t="s">
        <v>2635</v>
      </c>
      <c r="S4" s="3235"/>
      <c r="T4" s="3234" t="s">
        <v>2636</v>
      </c>
      <c r="U4" s="3235"/>
      <c r="V4" s="3221" t="s">
        <v>2637</v>
      </c>
      <c r="W4" s="3221"/>
      <c r="X4" s="1811"/>
      <c r="Y4" s="3234" t="s">
        <v>2639</v>
      </c>
      <c r="Z4" s="3235"/>
      <c r="AA4" s="3222" t="s">
        <v>2635</v>
      </c>
      <c r="AB4" s="3223" t="s">
        <v>2636</v>
      </c>
      <c r="AC4" s="3222" t="s">
        <v>2637</v>
      </c>
    </row>
    <row r="5" spans="1:30" ht="15">
      <c r="A5" s="404"/>
      <c r="B5" s="405"/>
      <c r="C5" s="3242" t="s">
        <v>2530</v>
      </c>
      <c r="D5" s="3243"/>
      <c r="E5" s="3249" t="str">
        <f>安宁市土地案例!A3</f>
        <v>安宁市连然街道</v>
      </c>
      <c r="F5" s="3250"/>
      <c r="G5" s="3242" t="str">
        <f>安宁市土地案例!A6</f>
        <v>安宁市连然街道</v>
      </c>
      <c r="H5" s="3243"/>
      <c r="I5" s="3242" t="str">
        <f>安宁市土地案例!A19</f>
        <v>安宁市太平新城街道</v>
      </c>
      <c r="J5" s="3243"/>
      <c r="K5" s="610"/>
      <c r="L5" s="1129"/>
      <c r="M5" s="1130"/>
      <c r="N5" s="1130"/>
      <c r="O5" s="1130"/>
      <c r="P5" s="3230"/>
      <c r="Q5" s="3231"/>
      <c r="R5" s="3236"/>
      <c r="S5" s="3237"/>
      <c r="T5" s="3236"/>
      <c r="U5" s="3237"/>
      <c r="V5" s="3221"/>
      <c r="W5" s="3221"/>
      <c r="X5" s="1811"/>
      <c r="Y5" s="3236"/>
      <c r="Z5" s="3237"/>
      <c r="AA5" s="3223"/>
      <c r="AB5" s="3223"/>
      <c r="AC5" s="3223"/>
    </row>
    <row r="6" spans="1:30" ht="15.75" thickBot="1">
      <c r="A6" s="406"/>
      <c r="B6" s="407"/>
      <c r="C6" s="3240" t="s">
        <v>2534</v>
      </c>
      <c r="D6" s="3241"/>
      <c r="E6" s="3247" t="s">
        <v>2534</v>
      </c>
      <c r="F6" s="3248"/>
      <c r="G6" s="3240" t="s">
        <v>2534</v>
      </c>
      <c r="H6" s="3241"/>
      <c r="I6" s="3240" t="s">
        <v>2534</v>
      </c>
      <c r="J6" s="3241"/>
      <c r="K6" s="610" t="s">
        <v>2535</v>
      </c>
      <c r="L6" s="1129"/>
      <c r="M6" s="1130"/>
      <c r="N6" s="1130"/>
      <c r="O6" s="1130"/>
      <c r="P6" s="3232"/>
      <c r="Q6" s="3233"/>
      <c r="R6" s="3236"/>
      <c r="S6" s="3237"/>
      <c r="T6" s="3238"/>
      <c r="U6" s="3239"/>
      <c r="V6" s="3221"/>
      <c r="W6" s="3221"/>
      <c r="X6" s="1811"/>
      <c r="Y6" s="3238"/>
      <c r="Z6" s="3239"/>
      <c r="AA6" s="3224"/>
      <c r="AB6" s="3224"/>
      <c r="AC6" s="3224"/>
    </row>
    <row r="7" spans="1:30" s="117" customFormat="1" ht="15.75" thickBot="1">
      <c r="A7" s="408" t="s">
        <v>2536</v>
      </c>
      <c r="B7" s="409"/>
      <c r="C7" s="410">
        <f>'数据-取费表'!B2</f>
        <v>43621</v>
      </c>
      <c r="D7" s="411">
        <v>100</v>
      </c>
      <c r="E7" s="412" t="str">
        <f>安宁市土地案例!H3</f>
        <v>2019-05-07</v>
      </c>
      <c r="F7" s="413">
        <f>SUMIF(70:70,YEAR(E7)&amp;"-"&amp;INT((MONTH(E7)+2)/3),71:71)</f>
        <v>100</v>
      </c>
      <c r="G7" s="2688" t="str">
        <f>安宁市土地案例!H6</f>
        <v>2019-01-25</v>
      </c>
      <c r="H7" s="411">
        <f>SUMIF(70:70,YEAR(G7)&amp;"-"&amp;INT((MONTH(G7)+2)/3),71:71)</f>
        <v>99</v>
      </c>
      <c r="I7" s="2688" t="str">
        <f>安宁市土地案例!H19</f>
        <v>2018-12-21</v>
      </c>
      <c r="J7" s="411">
        <f>SUMIF(70:70,YEAR(I7)&amp;"-"&amp;INT((MONTH(I7)+2)/3),71:71)</f>
        <v>98</v>
      </c>
      <c r="K7" s="611"/>
      <c r="L7" s="1131"/>
      <c r="M7" s="1132"/>
      <c r="N7" s="1132"/>
      <c r="O7" s="1132"/>
      <c r="P7" s="3244" t="s">
        <v>2537</v>
      </c>
      <c r="Q7" s="3246"/>
      <c r="R7" s="769" t="s">
        <v>17</v>
      </c>
      <c r="S7" s="770">
        <f t="shared" ref="S7:S15" si="0">F7</f>
        <v>100</v>
      </c>
      <c r="T7" s="769" t="s">
        <v>17</v>
      </c>
      <c r="U7" s="770">
        <f t="shared" ref="U7:U15" si="1">H7</f>
        <v>99</v>
      </c>
      <c r="V7" s="769" t="s">
        <v>17</v>
      </c>
      <c r="W7" s="770">
        <f t="shared" ref="W7:W15" si="2">J7</f>
        <v>98</v>
      </c>
      <c r="X7" s="771"/>
      <c r="Y7" s="3244" t="s">
        <v>2537</v>
      </c>
      <c r="Z7" s="3245"/>
      <c r="AA7" s="772">
        <f>D7/F7</f>
        <v>1</v>
      </c>
      <c r="AB7" s="772">
        <f>D7/H7</f>
        <v>1.0101010101010102</v>
      </c>
      <c r="AC7" s="772">
        <f>D7/J7</f>
        <v>1.0204081632653061</v>
      </c>
    </row>
    <row r="8" spans="1:30" s="117" customFormat="1" ht="15.75" thickBot="1">
      <c r="A8" s="408" t="s">
        <v>2538</v>
      </c>
      <c r="B8" s="409"/>
      <c r="C8" s="414" t="s">
        <v>2539</v>
      </c>
      <c r="D8" s="411">
        <v>100</v>
      </c>
      <c r="E8" s="414" t="s">
        <v>3261</v>
      </c>
      <c r="F8" s="413">
        <f>SUMIF(73:73,E8,74:74)-SUMIF(73:73,C8,74:74)+100</f>
        <v>100</v>
      </c>
      <c r="G8" s="414" t="s">
        <v>3261</v>
      </c>
      <c r="H8" s="411">
        <f>SUMIF(73:73,G8,74:74)-SUMIF(73:73,C8,74:74)+100</f>
        <v>100</v>
      </c>
      <c r="I8" s="414" t="s">
        <v>3261</v>
      </c>
      <c r="J8" s="411">
        <f>SUMIF(73:73,I8,74:74)-SUMIF(73:73,C8,74:74)+100</f>
        <v>100</v>
      </c>
      <c r="K8" s="611"/>
      <c r="L8" s="1131"/>
      <c r="M8" s="1132"/>
      <c r="N8" s="1132"/>
      <c r="O8" s="1132"/>
      <c r="P8" s="3244" t="s">
        <v>2540</v>
      </c>
      <c r="Q8" s="3245"/>
      <c r="R8" s="769" t="s">
        <v>17</v>
      </c>
      <c r="S8" s="770">
        <f t="shared" si="0"/>
        <v>100</v>
      </c>
      <c r="T8" s="769" t="s">
        <v>17</v>
      </c>
      <c r="U8" s="770">
        <f t="shared" si="1"/>
        <v>100</v>
      </c>
      <c r="V8" s="769" t="s">
        <v>17</v>
      </c>
      <c r="W8" s="770">
        <f t="shared" si="2"/>
        <v>100</v>
      </c>
      <c r="X8" s="771"/>
      <c r="Y8" s="3244" t="s">
        <v>2540</v>
      </c>
      <c r="Z8" s="3245"/>
      <c r="AA8" s="772">
        <f t="shared" ref="AA8:AA45" si="3">D8/F8</f>
        <v>1</v>
      </c>
      <c r="AB8" s="772">
        <f t="shared" ref="AB8:AB45" si="4">D8/H8</f>
        <v>1</v>
      </c>
      <c r="AC8" s="772">
        <f t="shared" ref="AC8:AC45" si="5">D8/J8</f>
        <v>1</v>
      </c>
    </row>
    <row r="9" spans="1:30" s="117" customFormat="1">
      <c r="A9" s="415" t="s">
        <v>2541</v>
      </c>
      <c r="B9" s="71" t="s">
        <v>2542</v>
      </c>
      <c r="C9" s="2691" t="s">
        <v>3304</v>
      </c>
      <c r="D9" s="135">
        <v>100</v>
      </c>
      <c r="E9" s="2991" t="s">
        <v>3304</v>
      </c>
      <c r="F9" s="135">
        <f>SUMIF(75:75,E9,76:76)-SUMIF(75:75,C9,76:76)+100</f>
        <v>100</v>
      </c>
      <c r="G9" s="2991" t="s">
        <v>3304</v>
      </c>
      <c r="H9" s="135">
        <f>SUMIF(75:75,G9,76:76)-SUMIF(75:75,C9,76:76)+100</f>
        <v>100</v>
      </c>
      <c r="I9" s="2691" t="s">
        <v>3047</v>
      </c>
      <c r="J9" s="135">
        <f>SUMIF(75:75,I9,76:76)-SUMIF(75:75,C9,76:76)+100</f>
        <v>97</v>
      </c>
      <c r="K9" s="611"/>
      <c r="L9" s="1131"/>
      <c r="M9" s="1132"/>
      <c r="N9" s="1132"/>
      <c r="O9" s="1133"/>
      <c r="P9" s="3215" t="s">
        <v>2543</v>
      </c>
      <c r="Q9" s="1793" t="str">
        <f t="shared" ref="Q9:Q15" si="6">B9</f>
        <v>用途</v>
      </c>
      <c r="R9" s="769" t="s">
        <v>17</v>
      </c>
      <c r="S9" s="770">
        <f t="shared" si="0"/>
        <v>100</v>
      </c>
      <c r="T9" s="769" t="s">
        <v>17</v>
      </c>
      <c r="U9" s="770">
        <f t="shared" si="1"/>
        <v>100</v>
      </c>
      <c r="V9" s="769" t="s">
        <v>17</v>
      </c>
      <c r="W9" s="770">
        <f t="shared" si="2"/>
        <v>97</v>
      </c>
      <c r="X9" s="771"/>
      <c r="Y9" s="3043" t="s">
        <v>2544</v>
      </c>
      <c r="Z9" s="55" t="str">
        <f t="shared" ref="Z9:Z15" si="7">Q9</f>
        <v>用途</v>
      </c>
      <c r="AA9" s="772">
        <f t="shared" si="3"/>
        <v>1</v>
      </c>
      <c r="AB9" s="772">
        <f t="shared" si="4"/>
        <v>1</v>
      </c>
      <c r="AC9" s="772">
        <f t="shared" si="5"/>
        <v>1.0309278350515463</v>
      </c>
    </row>
    <row r="10" spans="1:30" s="427" customFormat="1" ht="27">
      <c r="A10" s="421"/>
      <c r="B10" s="422" t="s">
        <v>2545</v>
      </c>
      <c r="C10" s="432"/>
      <c r="D10" s="136">
        <v>100</v>
      </c>
      <c r="E10" s="465"/>
      <c r="F10" s="136">
        <f>ROUND(100/'数据-取费表'!G16,0)</f>
        <v>100</v>
      </c>
      <c r="G10" s="463"/>
      <c r="H10" s="136">
        <f>ROUND(100/'数据-取费表'!G16,0)</f>
        <v>100</v>
      </c>
      <c r="I10" s="463"/>
      <c r="J10" s="136">
        <f>ROUND(100/'数据-取费表'!G16,0)</f>
        <v>100</v>
      </c>
      <c r="K10" s="672"/>
      <c r="L10" s="1134"/>
      <c r="M10" s="1135"/>
      <c r="N10" s="1135"/>
      <c r="O10" s="1136"/>
      <c r="P10" s="3215"/>
      <c r="Q10" s="1793" t="str">
        <f t="shared" si="6"/>
        <v>土地使用年限（年）</v>
      </c>
      <c r="R10" s="769" t="s">
        <v>17</v>
      </c>
      <c r="S10" s="770">
        <f t="shared" si="0"/>
        <v>100</v>
      </c>
      <c r="T10" s="769" t="s">
        <v>17</v>
      </c>
      <c r="U10" s="770">
        <f t="shared" si="1"/>
        <v>100</v>
      </c>
      <c r="V10" s="769" t="s">
        <v>17</v>
      </c>
      <c r="W10" s="770">
        <f t="shared" si="2"/>
        <v>100</v>
      </c>
      <c r="X10" s="771"/>
      <c r="Y10" s="3043"/>
      <c r="Z10" s="55" t="str">
        <f t="shared" si="7"/>
        <v>土地使用年限（年）</v>
      </c>
      <c r="AA10" s="772">
        <f t="shared" si="3"/>
        <v>1</v>
      </c>
      <c r="AB10" s="772">
        <f t="shared" si="4"/>
        <v>1</v>
      </c>
      <c r="AC10" s="772">
        <f t="shared" si="5"/>
        <v>1</v>
      </c>
    </row>
    <row r="11" spans="1:30" ht="15.75" thickBot="1">
      <c r="A11" s="428"/>
      <c r="B11" s="422" t="s">
        <v>2546</v>
      </c>
      <c r="C11" s="429">
        <f>'数据-汇总表'!I7</f>
        <v>3</v>
      </c>
      <c r="D11" s="136">
        <v>100</v>
      </c>
      <c r="E11" s="429">
        <v>4.5999999999999996</v>
      </c>
      <c r="F11" s="136">
        <f>LOOKUP(E11,80:80,81:81)-LOOKUP(C11,80:80,81:81)+100</f>
        <v>98</v>
      </c>
      <c r="G11" s="430">
        <v>4.4000000000000004</v>
      </c>
      <c r="H11" s="136">
        <f>LOOKUP(G11,80:80,81:81)-LOOKUP(C11,80:80,81:81)+100</f>
        <v>98</v>
      </c>
      <c r="I11" s="429">
        <v>2</v>
      </c>
      <c r="J11" s="136">
        <f>LOOKUP(I11,80:80,81:81)-LOOKUP(C11,80:80,81:81)+100</f>
        <v>102</v>
      </c>
      <c r="K11" s="673">
        <v>2</v>
      </c>
      <c r="L11" s="1137"/>
      <c r="M11" s="1130"/>
      <c r="N11" s="1130"/>
      <c r="O11" s="1138"/>
      <c r="P11" s="3215"/>
      <c r="Q11" s="1793" t="str">
        <f t="shared" si="6"/>
        <v>容积率</v>
      </c>
      <c r="R11" s="769" t="s">
        <v>17</v>
      </c>
      <c r="S11" s="770">
        <f t="shared" si="0"/>
        <v>98</v>
      </c>
      <c r="T11" s="769" t="s">
        <v>17</v>
      </c>
      <c r="U11" s="770">
        <f t="shared" si="1"/>
        <v>98</v>
      </c>
      <c r="V11" s="769" t="s">
        <v>17</v>
      </c>
      <c r="W11" s="770">
        <f t="shared" si="2"/>
        <v>102</v>
      </c>
      <c r="X11" s="771"/>
      <c r="Y11" s="3043"/>
      <c r="Z11" s="55" t="str">
        <f t="shared" si="7"/>
        <v>容积率</v>
      </c>
      <c r="AA11" s="772">
        <f t="shared" si="3"/>
        <v>1.0204081632653061</v>
      </c>
      <c r="AB11" s="772">
        <f t="shared" si="4"/>
        <v>1.0204081632653061</v>
      </c>
      <c r="AC11" s="772">
        <f t="shared" si="5"/>
        <v>0.98039215686274506</v>
      </c>
    </row>
    <row r="12" spans="1:30" s="117" customFormat="1" ht="15" hidden="1">
      <c r="A12" s="431"/>
      <c r="B12" s="2592" t="s">
        <v>2735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15"/>
      <c r="Q12" s="1793" t="str">
        <f t="shared" si="6"/>
        <v>配建</v>
      </c>
      <c r="R12" s="769" t="s">
        <v>17</v>
      </c>
      <c r="S12" s="770">
        <f t="shared" si="0"/>
        <v>100</v>
      </c>
      <c r="T12" s="769" t="s">
        <v>17</v>
      </c>
      <c r="U12" s="770">
        <f t="shared" si="1"/>
        <v>100</v>
      </c>
      <c r="V12" s="769" t="s">
        <v>17</v>
      </c>
      <c r="W12" s="770">
        <f t="shared" si="2"/>
        <v>100</v>
      </c>
      <c r="X12" s="771"/>
      <c r="Y12" s="3043"/>
      <c r="Z12" s="55" t="str">
        <f t="shared" si="7"/>
        <v>配建</v>
      </c>
      <c r="AA12" s="772">
        <f>D12/F12</f>
        <v>1</v>
      </c>
      <c r="AB12" s="772">
        <f>D12/H12</f>
        <v>1</v>
      </c>
      <c r="AC12" s="772">
        <f>D12/J12</f>
        <v>1</v>
      </c>
    </row>
    <row r="13" spans="1:30" ht="15" hidden="1">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43"/>
      <c r="Z13" s="55">
        <f t="shared" si="7"/>
        <v>111</v>
      </c>
      <c r="AA13" s="772">
        <f>D13/F13</f>
        <v>1</v>
      </c>
      <c r="AB13" s="772">
        <f>D13/H13</f>
        <v>1</v>
      </c>
      <c r="AC13" s="772">
        <f>D13/J13</f>
        <v>1</v>
      </c>
    </row>
    <row r="14" spans="1:30" ht="15.75" hidden="1"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15"/>
      <c r="Q14" s="1793">
        <f t="shared" si="6"/>
        <v>111</v>
      </c>
      <c r="R14" s="769" t="s">
        <v>17</v>
      </c>
      <c r="S14" s="770">
        <f t="shared" si="0"/>
        <v>100</v>
      </c>
      <c r="T14" s="769" t="s">
        <v>17</v>
      </c>
      <c r="U14" s="770">
        <f t="shared" si="1"/>
        <v>100</v>
      </c>
      <c r="V14" s="769" t="s">
        <v>17</v>
      </c>
      <c r="W14" s="770">
        <f t="shared" si="2"/>
        <v>100</v>
      </c>
      <c r="X14" s="771"/>
      <c r="Y14" s="3043"/>
      <c r="Z14" s="55">
        <f t="shared" si="7"/>
        <v>111</v>
      </c>
      <c r="AA14" s="772">
        <f>D14/F14</f>
        <v>1</v>
      </c>
      <c r="AB14" s="772">
        <f>D14/H14</f>
        <v>1</v>
      </c>
      <c r="AC14" s="772">
        <f>D14/J14</f>
        <v>1</v>
      </c>
    </row>
    <row r="15" spans="1:30" ht="108">
      <c r="A15" s="440" t="s">
        <v>2547</v>
      </c>
      <c r="B15" s="69" t="s">
        <v>2078</v>
      </c>
      <c r="C15" s="2595" t="str">
        <f>估价对象房地状况!C15</f>
        <v>估价对象所在区域住宅社区较少，分布密度较差，入住率较低，综合评价居住社区成熟度较差。</v>
      </c>
      <c r="D15" s="441">
        <v>100</v>
      </c>
      <c r="E15" s="3353" t="s">
        <v>3532</v>
      </c>
      <c r="F15" s="441">
        <f>SUMIF(88:88,E16,89:89)-SUMIF(88:88,C16,89:89)+100</f>
        <v>104</v>
      </c>
      <c r="G15" s="3353" t="s">
        <v>3531</v>
      </c>
      <c r="H15" s="441">
        <f>SUMIF(88:88,G16,89:89)-SUMIF(88:88,C16,89:89)+100</f>
        <v>104</v>
      </c>
      <c r="I15" s="3353" t="s">
        <v>3533</v>
      </c>
      <c r="J15" s="441">
        <f>SUMIF(88:88,I16,89:89)-SUMIF(88:88,C16,89:89)+100</f>
        <v>102</v>
      </c>
      <c r="K15" s="673">
        <v>2</v>
      </c>
      <c r="L15" s="1139"/>
      <c r="M15" s="1130"/>
      <c r="N15" s="1130"/>
      <c r="O15" s="1138"/>
      <c r="P15" s="3217" t="s">
        <v>2548</v>
      </c>
      <c r="Q15" s="1808" t="str">
        <f t="shared" si="6"/>
        <v>居住社区成熟度</v>
      </c>
      <c r="R15" s="773" t="s">
        <v>17</v>
      </c>
      <c r="S15" s="774">
        <f t="shared" si="0"/>
        <v>104</v>
      </c>
      <c r="T15" s="773" t="s">
        <v>17</v>
      </c>
      <c r="U15" s="774">
        <f t="shared" si="1"/>
        <v>104</v>
      </c>
      <c r="V15" s="773" t="s">
        <v>17</v>
      </c>
      <c r="W15" s="774">
        <f t="shared" si="2"/>
        <v>102</v>
      </c>
      <c r="X15" s="1811"/>
      <c r="Y15" s="3217" t="s">
        <v>2548</v>
      </c>
      <c r="Z15" s="1812" t="str">
        <f t="shared" si="7"/>
        <v>居住社区成熟度</v>
      </c>
      <c r="AA15" s="1809">
        <f t="shared" si="3"/>
        <v>0.96153846153846156</v>
      </c>
      <c r="AB15" s="1809">
        <f t="shared" si="4"/>
        <v>0.96153846153846156</v>
      </c>
      <c r="AC15" s="1809">
        <f t="shared" si="5"/>
        <v>0.98039215686274506</v>
      </c>
    </row>
    <row r="16" spans="1:30" ht="15">
      <c r="A16" s="428"/>
      <c r="B16" s="446"/>
      <c r="C16" s="447" t="s">
        <v>3298</v>
      </c>
      <c r="D16" s="448"/>
      <c r="E16" s="2597" t="s">
        <v>3323</v>
      </c>
      <c r="F16" s="448"/>
      <c r="G16" s="2597" t="s">
        <v>3323</v>
      </c>
      <c r="H16" s="450"/>
      <c r="I16" s="2596" t="s">
        <v>3300</v>
      </c>
      <c r="J16" s="448"/>
      <c r="K16" s="672"/>
      <c r="L16" s="1139"/>
      <c r="M16" s="1130"/>
      <c r="N16" s="1130"/>
      <c r="O16" s="1138"/>
      <c r="P16" s="3218"/>
      <c r="Q16" s="1808"/>
      <c r="R16" s="773"/>
      <c r="S16" s="774"/>
      <c r="T16" s="773"/>
      <c r="U16" s="774"/>
      <c r="V16" s="773"/>
      <c r="W16" s="774"/>
      <c r="X16" s="1811"/>
      <c r="Y16" s="3218"/>
      <c r="Z16" s="1812"/>
      <c r="AA16" s="1809">
        <v>1</v>
      </c>
      <c r="AB16" s="1809">
        <v>1</v>
      </c>
      <c r="AC16" s="1809">
        <v>1</v>
      </c>
    </row>
    <row r="17" spans="1:29" ht="71.25">
      <c r="A17" s="428"/>
      <c r="B17" s="451" t="s">
        <v>2641</v>
      </c>
      <c r="C17" s="2656" t="str">
        <f>估价对象房地状况!C16</f>
        <v>估价对象所在区域商业中心较少，商业氛围较差，综合评价商业繁华度较差。</v>
      </c>
      <c r="D17" s="450">
        <v>100</v>
      </c>
      <c r="E17" s="3354" t="s">
        <v>3535</v>
      </c>
      <c r="F17" s="450">
        <f>SUMIF(90:90,E18,91:91)-SUMIF(90:90,C18,91:91)+100</f>
        <v>102</v>
      </c>
      <c r="G17" s="3354" t="s">
        <v>3535</v>
      </c>
      <c r="H17" s="455">
        <f>SUMIF(90:90,G18,91:91)-SUMIF(90:90,C18,91:91)+100</f>
        <v>102</v>
      </c>
      <c r="I17" s="3352" t="s">
        <v>3534</v>
      </c>
      <c r="J17" s="455">
        <f>SUMIF(90:90,I18,91:91)-SUMIF(90:90,C18,91:91)+100</f>
        <v>100</v>
      </c>
      <c r="K17" s="673">
        <v>2</v>
      </c>
      <c r="L17" s="1139"/>
      <c r="M17" s="1130"/>
      <c r="N17" s="1130"/>
      <c r="O17" s="1138"/>
      <c r="P17" s="3218"/>
      <c r="Q17" s="1808" t="str">
        <f>B17</f>
        <v>商业繁华度</v>
      </c>
      <c r="R17" s="773" t="s">
        <v>17</v>
      </c>
      <c r="S17" s="774">
        <f>F17</f>
        <v>102</v>
      </c>
      <c r="T17" s="773" t="s">
        <v>17</v>
      </c>
      <c r="U17" s="774">
        <f>H17</f>
        <v>102</v>
      </c>
      <c r="V17" s="773" t="s">
        <v>17</v>
      </c>
      <c r="W17" s="774">
        <f>J17</f>
        <v>100</v>
      </c>
      <c r="X17" s="1811"/>
      <c r="Y17" s="3218"/>
      <c r="Z17" s="1812" t="str">
        <f>Q17</f>
        <v>商业繁华度</v>
      </c>
      <c r="AA17" s="1809">
        <f t="shared" si="3"/>
        <v>0.98039215686274506</v>
      </c>
      <c r="AB17" s="1809">
        <f t="shared" si="4"/>
        <v>0.98039215686274506</v>
      </c>
      <c r="AC17" s="1809">
        <f t="shared" si="5"/>
        <v>1</v>
      </c>
    </row>
    <row r="18" spans="1:29" ht="15">
      <c r="A18" s="428"/>
      <c r="B18" s="456"/>
      <c r="C18" s="2600" t="s">
        <v>3298</v>
      </c>
      <c r="D18" s="450"/>
      <c r="E18" s="2602" t="s">
        <v>3300</v>
      </c>
      <c r="F18" s="450"/>
      <c r="G18" s="2602" t="s">
        <v>3300</v>
      </c>
      <c r="H18" s="448"/>
      <c r="I18" s="2601" t="s">
        <v>3298</v>
      </c>
      <c r="J18" s="448"/>
      <c r="K18" s="672"/>
      <c r="L18" s="1139"/>
      <c r="M18" s="1130"/>
      <c r="N18" s="1130"/>
      <c r="O18" s="1138"/>
      <c r="P18" s="3218"/>
      <c r="Q18" s="1808"/>
      <c r="R18" s="773"/>
      <c r="S18" s="774"/>
      <c r="T18" s="773"/>
      <c r="U18" s="774"/>
      <c r="V18" s="773"/>
      <c r="W18" s="774"/>
      <c r="X18" s="1811"/>
      <c r="Y18" s="3218"/>
      <c r="Z18" s="1812"/>
      <c r="AA18" s="1809">
        <v>1</v>
      </c>
      <c r="AB18" s="1809">
        <v>1</v>
      </c>
      <c r="AC18" s="1809">
        <v>1</v>
      </c>
    </row>
    <row r="19" spans="1:29" ht="15">
      <c r="A19" s="428"/>
      <c r="B19" s="451" t="s">
        <v>2675</v>
      </c>
      <c r="C19" s="2656"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v>0</v>
      </c>
      <c r="L19" s="1139"/>
      <c r="M19" s="1130"/>
      <c r="N19" s="1130"/>
      <c r="O19" s="1138"/>
      <c r="P19" s="3218"/>
      <c r="Q19" s="1808" t="str">
        <f>B19</f>
        <v>办公集聚程度</v>
      </c>
      <c r="R19" s="773" t="s">
        <v>17</v>
      </c>
      <c r="S19" s="774">
        <f>F19</f>
        <v>100</v>
      </c>
      <c r="T19" s="773" t="s">
        <v>17</v>
      </c>
      <c r="U19" s="774">
        <f>H19</f>
        <v>100</v>
      </c>
      <c r="V19" s="773" t="s">
        <v>17</v>
      </c>
      <c r="W19" s="774">
        <f>J19</f>
        <v>100</v>
      </c>
      <c r="X19" s="1811"/>
      <c r="Y19" s="3218"/>
      <c r="Z19" s="1812" t="str">
        <f>Q19</f>
        <v>办公集聚程度</v>
      </c>
      <c r="AA19" s="1809">
        <f t="shared" si="3"/>
        <v>1</v>
      </c>
      <c r="AB19" s="1809">
        <f t="shared" si="4"/>
        <v>1</v>
      </c>
      <c r="AC19" s="1809">
        <f t="shared" si="5"/>
        <v>1</v>
      </c>
    </row>
    <row r="20" spans="1:29" ht="15">
      <c r="A20" s="428"/>
      <c r="B20" s="456"/>
      <c r="C20" s="447"/>
      <c r="D20" s="448"/>
      <c r="E20" s="2597"/>
      <c r="F20" s="448"/>
      <c r="G20" s="2597"/>
      <c r="H20" s="448"/>
      <c r="I20" s="2596"/>
      <c r="J20" s="448"/>
      <c r="K20" s="672"/>
      <c r="L20" s="1139"/>
      <c r="M20" s="1130"/>
      <c r="N20" s="1130"/>
      <c r="O20" s="1138"/>
      <c r="P20" s="3218"/>
      <c r="Q20" s="1808"/>
      <c r="R20" s="773"/>
      <c r="S20" s="774"/>
      <c r="T20" s="773"/>
      <c r="U20" s="774"/>
      <c r="V20" s="773"/>
      <c r="W20" s="774"/>
      <c r="X20" s="1811"/>
      <c r="Y20" s="3218"/>
      <c r="Z20" s="1812"/>
      <c r="AA20" s="1809">
        <v>1</v>
      </c>
      <c r="AB20" s="1809">
        <v>1</v>
      </c>
      <c r="AC20" s="1809">
        <v>1</v>
      </c>
    </row>
    <row r="21" spans="1:29" ht="108.75">
      <c r="A21" s="428"/>
      <c r="B21" s="451" t="s">
        <v>2697</v>
      </c>
      <c r="C21" s="2599" t="str">
        <f>估价对象房地状况!C18</f>
        <v>估价对象邻近昆磨高速，公共交通线路较少，路网密集度一般，停车便捷程度较好，综合评价交通便捷度一般。</v>
      </c>
      <c r="D21" s="450">
        <v>100</v>
      </c>
      <c r="E21" s="452" t="s">
        <v>3536</v>
      </c>
      <c r="F21" s="455">
        <f>SUMIF(94:94,E22,95:95)-SUMIF(94:94,C22,95:95)+100</f>
        <v>102</v>
      </c>
      <c r="G21" s="452" t="s">
        <v>3537</v>
      </c>
      <c r="H21" s="450">
        <f>SUMIF(94:94,G22,95:95)-SUMIF(94:94,C22,95:95)+100</f>
        <v>102</v>
      </c>
      <c r="I21" s="452" t="s">
        <v>3538</v>
      </c>
      <c r="J21" s="450">
        <f>SUMIF(94:94,I22,95:95)-SUMIF(94:94,C22,95:95)+100</f>
        <v>100</v>
      </c>
      <c r="K21" s="673">
        <v>2</v>
      </c>
      <c r="L21" s="1139"/>
      <c r="M21" s="1130"/>
      <c r="N21" s="1130"/>
      <c r="O21" s="1138"/>
      <c r="P21" s="3218"/>
      <c r="Q21" s="1808" t="str">
        <f>B21</f>
        <v>交通便捷度</v>
      </c>
      <c r="R21" s="773" t="s">
        <v>17</v>
      </c>
      <c r="S21" s="774">
        <f>F21</f>
        <v>102</v>
      </c>
      <c r="T21" s="773" t="s">
        <v>17</v>
      </c>
      <c r="U21" s="774">
        <f>H21</f>
        <v>102</v>
      </c>
      <c r="V21" s="773" t="s">
        <v>17</v>
      </c>
      <c r="W21" s="774">
        <f>J21</f>
        <v>100</v>
      </c>
      <c r="X21" s="1811"/>
      <c r="Y21" s="3218"/>
      <c r="Z21" s="1812" t="str">
        <f>Q21</f>
        <v>交通便捷度</v>
      </c>
      <c r="AA21" s="1809">
        <f t="shared" si="3"/>
        <v>0.98039215686274506</v>
      </c>
      <c r="AB21" s="1809">
        <f t="shared" si="4"/>
        <v>0.98039215686274506</v>
      </c>
      <c r="AC21" s="1809">
        <f t="shared" si="5"/>
        <v>1</v>
      </c>
    </row>
    <row r="22" spans="1:29" ht="15">
      <c r="A22" s="428"/>
      <c r="B22" s="1383"/>
      <c r="C22" s="447" t="s">
        <v>3300</v>
      </c>
      <c r="D22" s="450"/>
      <c r="E22" s="2597" t="s">
        <v>3323</v>
      </c>
      <c r="F22" s="448"/>
      <c r="G22" s="2597" t="s">
        <v>3323</v>
      </c>
      <c r="H22" s="448"/>
      <c r="I22" s="2596" t="s">
        <v>3300</v>
      </c>
      <c r="J22" s="448"/>
      <c r="K22" s="672"/>
      <c r="L22" s="1139"/>
      <c r="M22" s="1130"/>
      <c r="N22" s="1130"/>
      <c r="O22" s="1138"/>
      <c r="P22" s="3218"/>
      <c r="Q22" s="1808"/>
      <c r="R22" s="773"/>
      <c r="S22" s="774"/>
      <c r="T22" s="773"/>
      <c r="U22" s="774"/>
      <c r="V22" s="773"/>
      <c r="W22" s="774"/>
      <c r="X22" s="1811"/>
      <c r="Y22" s="3218"/>
      <c r="Z22" s="1812"/>
      <c r="AA22" s="1809">
        <v>1</v>
      </c>
      <c r="AB22" s="1809">
        <v>1</v>
      </c>
      <c r="AC22" s="1809">
        <v>1</v>
      </c>
    </row>
    <row r="23" spans="1:29" ht="42.75">
      <c r="A23" s="404"/>
      <c r="B23" s="451" t="s">
        <v>2736</v>
      </c>
      <c r="C23" s="1388" t="str">
        <f>估价对象房地状况!C19</f>
        <v>零星有他用地，对本宗地无不利影响。</v>
      </c>
      <c r="D23" s="455">
        <v>100</v>
      </c>
      <c r="E23" s="452" t="s">
        <v>3528</v>
      </c>
      <c r="F23" s="455">
        <f>SUMIF(96:96,E24,97:97)-SUMIF(96:96,C24,97:97)+100</f>
        <v>100</v>
      </c>
      <c r="G23" s="454" t="s">
        <v>3528</v>
      </c>
      <c r="H23" s="455">
        <f>SUMIF(96:96,G24,97:97)-SUMIF(96:96,C24,97:97)+100</f>
        <v>100</v>
      </c>
      <c r="I23" s="454" t="s">
        <v>3528</v>
      </c>
      <c r="J23" s="455">
        <f>SUMIF(96:96,I24,97:97)-SUMIF(96:96,C24,97:97)+100</f>
        <v>100</v>
      </c>
      <c r="K23" s="673">
        <v>2</v>
      </c>
      <c r="L23" s="1139"/>
      <c r="M23" s="1130"/>
      <c r="N23" s="1130"/>
      <c r="O23" s="1138"/>
      <c r="P23" s="3218"/>
      <c r="Q23" s="1808" t="str">
        <f t="shared" ref="Q23:Q37" si="8">B23</f>
        <v>区域土地利用方向</v>
      </c>
      <c r="R23" s="773" t="s">
        <v>17</v>
      </c>
      <c r="S23" s="774">
        <f>F23</f>
        <v>100</v>
      </c>
      <c r="T23" s="773" t="s">
        <v>17</v>
      </c>
      <c r="U23" s="774">
        <f>H23</f>
        <v>100</v>
      </c>
      <c r="V23" s="773" t="s">
        <v>17</v>
      </c>
      <c r="W23" s="774">
        <f>J23</f>
        <v>100</v>
      </c>
      <c r="X23" s="1811"/>
      <c r="Y23" s="3218"/>
      <c r="Z23" s="1812" t="str">
        <f>Q23</f>
        <v>区域土地利用方向</v>
      </c>
      <c r="AA23" s="1809">
        <f t="shared" si="3"/>
        <v>1</v>
      </c>
      <c r="AB23" s="1809">
        <f t="shared" si="4"/>
        <v>1</v>
      </c>
      <c r="AC23" s="1809">
        <f t="shared" si="5"/>
        <v>1</v>
      </c>
    </row>
    <row r="24" spans="1:29" ht="15">
      <c r="A24" s="404"/>
      <c r="B24" s="456"/>
      <c r="C24" s="616" t="s">
        <v>3323</v>
      </c>
      <c r="D24" s="448"/>
      <c r="E24" s="2597" t="s">
        <v>3323</v>
      </c>
      <c r="F24" s="448"/>
      <c r="G24" s="2596" t="s">
        <v>3323</v>
      </c>
      <c r="H24" s="448"/>
      <c r="I24" s="2596" t="s">
        <v>3323</v>
      </c>
      <c r="J24" s="448"/>
      <c r="K24" s="811"/>
      <c r="L24" s="1139"/>
      <c r="M24" s="1130"/>
      <c r="N24" s="1130"/>
      <c r="O24" s="1138"/>
      <c r="P24" s="3218"/>
      <c r="Q24" s="1808"/>
      <c r="R24" s="773"/>
      <c r="S24" s="774"/>
      <c r="T24" s="773"/>
      <c r="U24" s="774"/>
      <c r="V24" s="773"/>
      <c r="W24" s="774"/>
      <c r="X24" s="1811"/>
      <c r="Y24" s="3218"/>
      <c r="Z24" s="1812"/>
      <c r="AA24" s="1809"/>
      <c r="AB24" s="1809"/>
      <c r="AC24" s="1809"/>
    </row>
    <row r="25" spans="1:29" ht="128.25">
      <c r="A25" s="404"/>
      <c r="B25" s="1383" t="s">
        <v>2737</v>
      </c>
      <c r="C25" s="2656" t="str">
        <f>估价对象房地状况!C20</f>
        <v>估价对象所在区域无公园等自然环境设施，自然环境较差；所在区域无博物馆等人文设施，人文设施较差，综合评价自然及人文环境状况较差。</v>
      </c>
      <c r="D25" s="450">
        <v>100</v>
      </c>
      <c r="E25" s="3354" t="s">
        <v>3539</v>
      </c>
      <c r="F25" s="450">
        <f>SUMIF(98:98,E26,99:99)-SUMIF(98:98,C26,99:99)+100</f>
        <v>100</v>
      </c>
      <c r="G25" s="3354" t="s">
        <v>3539</v>
      </c>
      <c r="H25" s="450">
        <f>SUMIF(98:98,G26,99:99)-SUMIF(98:98,C26,99:99)+100</f>
        <v>100</v>
      </c>
      <c r="I25" s="3354" t="s">
        <v>3539</v>
      </c>
      <c r="J25" s="450">
        <f>SUMIF(98:98,I26,99:99)-SUMIF(98:98,C26,99:99)+100</f>
        <v>100</v>
      </c>
      <c r="K25" s="673">
        <v>2</v>
      </c>
      <c r="L25" s="1139"/>
      <c r="M25" s="1130"/>
      <c r="N25" s="1130"/>
      <c r="O25" s="1138"/>
      <c r="P25" s="3218"/>
      <c r="Q25" s="1808" t="str">
        <f t="shared" si="8"/>
        <v>自然及人文环境状况</v>
      </c>
      <c r="R25" s="773" t="s">
        <v>17</v>
      </c>
      <c r="S25" s="774">
        <f>F25</f>
        <v>100</v>
      </c>
      <c r="T25" s="773" t="s">
        <v>17</v>
      </c>
      <c r="U25" s="774">
        <f>H25</f>
        <v>100</v>
      </c>
      <c r="V25" s="773" t="s">
        <v>17</v>
      </c>
      <c r="W25" s="774">
        <f>J25</f>
        <v>100</v>
      </c>
      <c r="X25" s="1811"/>
      <c r="Y25" s="3218"/>
      <c r="Z25" s="1812" t="str">
        <f>Q25</f>
        <v>自然及人文环境状况</v>
      </c>
      <c r="AA25" s="1809">
        <f t="shared" si="3"/>
        <v>1</v>
      </c>
      <c r="AB25" s="1809">
        <f t="shared" si="4"/>
        <v>1</v>
      </c>
      <c r="AC25" s="1809">
        <f t="shared" si="5"/>
        <v>1</v>
      </c>
    </row>
    <row r="26" spans="1:29" ht="15">
      <c r="A26" s="404"/>
      <c r="B26" s="456"/>
      <c r="C26" s="447" t="s">
        <v>3298</v>
      </c>
      <c r="D26" s="448"/>
      <c r="E26" s="2603" t="s">
        <v>3298</v>
      </c>
      <c r="F26" s="448"/>
      <c r="G26" s="2603" t="s">
        <v>3298</v>
      </c>
      <c r="H26" s="448"/>
      <c r="I26" s="447" t="s">
        <v>3298</v>
      </c>
      <c r="J26" s="448"/>
      <c r="K26" s="672"/>
      <c r="L26" s="1139"/>
      <c r="M26" s="1130"/>
      <c r="N26" s="1130"/>
      <c r="O26" s="1138"/>
      <c r="P26" s="3218"/>
      <c r="Q26" s="1808"/>
      <c r="R26" s="773"/>
      <c r="S26" s="774"/>
      <c r="T26" s="773"/>
      <c r="U26" s="774"/>
      <c r="V26" s="773"/>
      <c r="W26" s="774"/>
      <c r="X26" s="1811"/>
      <c r="Y26" s="3218"/>
      <c r="Z26" s="1812"/>
      <c r="AA26" s="1809">
        <v>1</v>
      </c>
      <c r="AB26" s="1809">
        <v>1</v>
      </c>
      <c r="AC26" s="1809">
        <v>1</v>
      </c>
    </row>
    <row r="27" spans="1:29" s="117" customFormat="1" ht="42.75">
      <c r="A27" s="649"/>
      <c r="B27" s="1383" t="s">
        <v>2642</v>
      </c>
      <c r="C27" s="2599" t="str">
        <f>估价对象房地状况!C21</f>
        <v>估价对象所在区域公共配套设施齐备情况较差。</v>
      </c>
      <c r="D27" s="450">
        <v>100</v>
      </c>
      <c r="E27" s="3354" t="s">
        <v>3541</v>
      </c>
      <c r="F27" s="450">
        <f>SUMIF(100:100,E28,101:101)-SUMIF(100:100,C28,101:101)+100</f>
        <v>104</v>
      </c>
      <c r="G27" s="3354" t="s">
        <v>3541</v>
      </c>
      <c r="H27" s="450">
        <f>SUMIF(100:100,G28,101:101)-SUMIF(100:100,C28,101:101)+100</f>
        <v>104</v>
      </c>
      <c r="I27" s="3354" t="s">
        <v>3542</v>
      </c>
      <c r="J27" s="450">
        <f>SUMIF(100:100,I28,101:101)-SUMIF(100:100,C28,101:101)+100</f>
        <v>102</v>
      </c>
      <c r="K27" s="673">
        <v>2</v>
      </c>
      <c r="L27" s="1131"/>
      <c r="M27" s="1132"/>
      <c r="N27" s="1132"/>
      <c r="O27" s="1133"/>
      <c r="P27" s="3218"/>
      <c r="Q27" s="1793" t="str">
        <f t="shared" si="8"/>
        <v>公共配套设施</v>
      </c>
      <c r="R27" s="769" t="s">
        <v>17</v>
      </c>
      <c r="S27" s="770">
        <f>F27</f>
        <v>104</v>
      </c>
      <c r="T27" s="769" t="s">
        <v>17</v>
      </c>
      <c r="U27" s="770">
        <f>H27</f>
        <v>104</v>
      </c>
      <c r="V27" s="769" t="s">
        <v>17</v>
      </c>
      <c r="W27" s="770">
        <f>J27</f>
        <v>102</v>
      </c>
      <c r="X27" s="771"/>
      <c r="Y27" s="3218"/>
      <c r="Z27" s="55" t="str">
        <f>Q27</f>
        <v>公共配套设施</v>
      </c>
      <c r="AA27" s="1809">
        <f>D27/F27</f>
        <v>0.96153846153846156</v>
      </c>
      <c r="AB27" s="1809">
        <f>D27/H27</f>
        <v>0.96153846153846156</v>
      </c>
      <c r="AC27" s="1809">
        <f>D27/J27</f>
        <v>0.98039215686274506</v>
      </c>
    </row>
    <row r="28" spans="1:29" s="117" customFormat="1" ht="15">
      <c r="A28" s="649"/>
      <c r="B28" s="456"/>
      <c r="C28" s="2692" t="s">
        <v>3298</v>
      </c>
      <c r="D28" s="448"/>
      <c r="E28" s="2603" t="s">
        <v>3323</v>
      </c>
      <c r="F28" s="448"/>
      <c r="G28" s="2603" t="s">
        <v>3323</v>
      </c>
      <c r="H28" s="448"/>
      <c r="I28" s="447" t="s">
        <v>3300</v>
      </c>
      <c r="J28" s="448"/>
      <c r="K28" s="672"/>
      <c r="L28" s="1131"/>
      <c r="M28" s="1132"/>
      <c r="N28" s="1132"/>
      <c r="O28" s="1133"/>
      <c r="P28" s="3218"/>
      <c r="Q28" s="1793"/>
      <c r="R28" s="769"/>
      <c r="S28" s="770"/>
      <c r="T28" s="769"/>
      <c r="U28" s="770"/>
      <c r="V28" s="769"/>
      <c r="W28" s="770"/>
      <c r="X28" s="771"/>
      <c r="Y28" s="3218"/>
      <c r="Z28" s="55"/>
      <c r="AA28" s="1809">
        <v>1</v>
      </c>
      <c r="AB28" s="1809">
        <v>1</v>
      </c>
      <c r="AC28" s="1809">
        <v>1</v>
      </c>
    </row>
    <row r="29" spans="1:29" s="117" customFormat="1" ht="42.75">
      <c r="A29" s="649"/>
      <c r="B29" s="1383" t="s">
        <v>2643</v>
      </c>
      <c r="C29" s="2599" t="str">
        <f>估价对象房地状况!C22</f>
        <v>估价对象所在区域基础设施水平达“六通”。</v>
      </c>
      <c r="D29" s="450">
        <v>100</v>
      </c>
      <c r="E29" s="452" t="s">
        <v>3543</v>
      </c>
      <c r="F29" s="450">
        <f>SUMIF(102:102,E30,103:103)-SUMIF(102:102,C30,103:103)+100</f>
        <v>100</v>
      </c>
      <c r="G29" s="452" t="s">
        <v>3543</v>
      </c>
      <c r="H29" s="450">
        <f>SUMIF(102:102,G30,103:103)-SUMIF(102:102,C30,103:103)+100</f>
        <v>100</v>
      </c>
      <c r="I29" s="452" t="s">
        <v>3543</v>
      </c>
      <c r="J29" s="450">
        <f>SUMIF(102:102,I30,103:103)-SUMIF(102:102,C30,103:103)+100</f>
        <v>100</v>
      </c>
      <c r="K29" s="673">
        <v>2</v>
      </c>
      <c r="L29" s="1131"/>
      <c r="M29" s="1132"/>
      <c r="N29" s="1132"/>
      <c r="O29" s="1133"/>
      <c r="P29" s="3218"/>
      <c r="Q29" s="1793" t="str">
        <f t="shared" ref="Q29" si="9">B29</f>
        <v>基础设施水平</v>
      </c>
      <c r="R29" s="769" t="s">
        <v>17</v>
      </c>
      <c r="S29" s="770">
        <f>F29</f>
        <v>100</v>
      </c>
      <c r="T29" s="769" t="s">
        <v>17</v>
      </c>
      <c r="U29" s="770">
        <f>H29</f>
        <v>100</v>
      </c>
      <c r="V29" s="769" t="s">
        <v>17</v>
      </c>
      <c r="W29" s="770">
        <f>J29</f>
        <v>100</v>
      </c>
      <c r="X29" s="771"/>
      <c r="Y29" s="3218"/>
      <c r="Z29" s="55" t="str">
        <f>Q29</f>
        <v>基础设施水平</v>
      </c>
      <c r="AA29" s="1809">
        <f>D29/F29</f>
        <v>1</v>
      </c>
      <c r="AB29" s="1809">
        <f>D29/H29</f>
        <v>1</v>
      </c>
      <c r="AC29" s="1809">
        <f>D29/J29</f>
        <v>1</v>
      </c>
    </row>
    <row r="30" spans="1:29" s="117" customFormat="1" ht="15">
      <c r="A30" s="649"/>
      <c r="B30" s="456"/>
      <c r="C30" s="2692" t="s">
        <v>3292</v>
      </c>
      <c r="D30" s="448"/>
      <c r="E30" s="2693" t="s">
        <v>3292</v>
      </c>
      <c r="F30" s="448"/>
      <c r="G30" s="2693" t="s">
        <v>3292</v>
      </c>
      <c r="H30" s="448"/>
      <c r="I30" s="2693" t="s">
        <v>3292</v>
      </c>
      <c r="J30" s="448"/>
      <c r="K30" s="672"/>
      <c r="L30" s="1131"/>
      <c r="M30" s="1132"/>
      <c r="N30" s="1132"/>
      <c r="O30" s="1133"/>
      <c r="P30" s="3218"/>
      <c r="Q30" s="1793"/>
      <c r="R30" s="769"/>
      <c r="S30" s="770"/>
      <c r="T30" s="769"/>
      <c r="U30" s="770"/>
      <c r="V30" s="769"/>
      <c r="W30" s="770"/>
      <c r="X30" s="771"/>
      <c r="Y30" s="3218"/>
      <c r="Z30" s="55"/>
      <c r="AA30" s="1809">
        <v>1</v>
      </c>
      <c r="AB30" s="1809">
        <v>1</v>
      </c>
      <c r="AC30" s="1809">
        <v>1</v>
      </c>
    </row>
    <row r="31" spans="1:29" ht="15">
      <c r="A31" s="428"/>
      <c r="B31" s="456" t="s">
        <v>2644</v>
      </c>
      <c r="C31" s="616" t="s">
        <v>3331</v>
      </c>
      <c r="D31" s="435">
        <v>100</v>
      </c>
      <c r="E31" s="634" t="s">
        <v>3331</v>
      </c>
      <c r="F31" s="435">
        <f>SUMIF(104:104,E31,105:105)-SUMIF(104:104,C31,105:105)+100</f>
        <v>100</v>
      </c>
      <c r="G31" s="634" t="s">
        <v>3331</v>
      </c>
      <c r="H31" s="435">
        <f>SUMIF(104:104,G31,105:105)-SUMIF(104:104,C31,105:105)+100</f>
        <v>100</v>
      </c>
      <c r="I31" s="634" t="s">
        <v>3331</v>
      </c>
      <c r="J31" s="435">
        <f>SUMIF(104:104,I31,105:105)-SUMIF(104:104,C31,105:105)+100</f>
        <v>100</v>
      </c>
      <c r="K31" s="673">
        <v>2</v>
      </c>
      <c r="L31" s="1139"/>
      <c r="M31" s="1130"/>
      <c r="N31" s="1130"/>
      <c r="O31" s="1138"/>
      <c r="P31" s="3218"/>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18"/>
      <c r="Z31" s="1812" t="str">
        <f t="shared" ref="Z31:Z45" si="13">Q31</f>
        <v>临街状况</v>
      </c>
      <c r="AA31" s="1809">
        <f t="shared" si="3"/>
        <v>1</v>
      </c>
      <c r="AB31" s="1809">
        <f t="shared" si="4"/>
        <v>1</v>
      </c>
      <c r="AC31" s="1809">
        <f t="shared" si="5"/>
        <v>1</v>
      </c>
    </row>
    <row r="32" spans="1:29" ht="27">
      <c r="A32" s="428"/>
      <c r="B32" s="1383" t="s">
        <v>2679</v>
      </c>
      <c r="C32" s="3352" t="s">
        <v>3530</v>
      </c>
      <c r="D32" s="450">
        <v>100</v>
      </c>
      <c r="E32" s="3354" t="s">
        <v>3544</v>
      </c>
      <c r="F32" s="450">
        <f>SUMIF(106:106,E33,107:107)-SUMIF(106:106,C33,107:107)+100</f>
        <v>100</v>
      </c>
      <c r="G32" s="3354" t="s">
        <v>3545</v>
      </c>
      <c r="H32" s="450">
        <f>SUMIF(106:106,G33,107:107)-SUMIF(106:106,C33,107:107)+100</f>
        <v>100</v>
      </c>
      <c r="I32" s="3352" t="s">
        <v>3530</v>
      </c>
      <c r="J32" s="450">
        <f>SUMIF(106:106,I33,107:107)-SUMIF(106:106,C33,107:107)+100</f>
        <v>100</v>
      </c>
      <c r="K32" s="673">
        <v>2</v>
      </c>
      <c r="L32" s="1139"/>
      <c r="M32" s="1130"/>
      <c r="N32" s="1130"/>
      <c r="O32" s="1138"/>
      <c r="P32" s="3218"/>
      <c r="Q32" s="1808" t="str">
        <f t="shared" si="8"/>
        <v>毗邻道路的类型与等级</v>
      </c>
      <c r="R32" s="773" t="s">
        <v>17</v>
      </c>
      <c r="S32" s="774">
        <f t="shared" si="10"/>
        <v>100</v>
      </c>
      <c r="T32" s="773" t="s">
        <v>17</v>
      </c>
      <c r="U32" s="774">
        <f t="shared" si="11"/>
        <v>100</v>
      </c>
      <c r="V32" s="773" t="s">
        <v>17</v>
      </c>
      <c r="W32" s="774">
        <f t="shared" si="12"/>
        <v>100</v>
      </c>
      <c r="X32" s="1811"/>
      <c r="Y32" s="3218"/>
      <c r="Z32" s="1812" t="str">
        <f t="shared" si="13"/>
        <v>毗邻道路的类型与等级</v>
      </c>
      <c r="AA32" s="1809">
        <f t="shared" si="3"/>
        <v>1</v>
      </c>
      <c r="AB32" s="1809">
        <f t="shared" si="4"/>
        <v>1</v>
      </c>
      <c r="AC32" s="1809">
        <f t="shared" si="5"/>
        <v>1</v>
      </c>
    </row>
    <row r="33" spans="1:29" ht="15.75" thickBot="1">
      <c r="A33" s="428"/>
      <c r="B33" s="456"/>
      <c r="C33" s="447" t="s">
        <v>3448</v>
      </c>
      <c r="D33" s="448"/>
      <c r="E33" s="2603" t="s">
        <v>3448</v>
      </c>
      <c r="F33" s="448"/>
      <c r="G33" s="2603" t="s">
        <v>3448</v>
      </c>
      <c r="H33" s="448"/>
      <c r="I33" s="447" t="s">
        <v>3448</v>
      </c>
      <c r="J33" s="448"/>
      <c r="K33" s="613"/>
      <c r="L33" s="1139"/>
      <c r="M33" s="1130"/>
      <c r="N33" s="1130"/>
      <c r="O33" s="1138"/>
      <c r="P33" s="3218"/>
      <c r="Q33" s="1808"/>
      <c r="R33" s="773"/>
      <c r="S33" s="774"/>
      <c r="T33" s="773"/>
      <c r="U33" s="774"/>
      <c r="V33" s="773"/>
      <c r="W33" s="774"/>
      <c r="X33" s="1811"/>
      <c r="Y33" s="3218"/>
      <c r="Z33" s="1812"/>
      <c r="AA33" s="1809">
        <v>1</v>
      </c>
      <c r="AB33" s="1809">
        <v>1</v>
      </c>
      <c r="AC33" s="1809">
        <v>1</v>
      </c>
    </row>
    <row r="34" spans="1:29" ht="15" hidden="1">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39"/>
      <c r="M34" s="1130"/>
      <c r="N34" s="1130"/>
      <c r="O34" s="1138"/>
      <c r="P34" s="3218"/>
      <c r="Q34" s="1808" t="str">
        <f t="shared" si="8"/>
        <v>土地级别</v>
      </c>
      <c r="R34" s="773" t="s">
        <v>17</v>
      </c>
      <c r="S34" s="774">
        <f t="shared" si="10"/>
        <v>100</v>
      </c>
      <c r="T34" s="773" t="s">
        <v>17</v>
      </c>
      <c r="U34" s="774">
        <f t="shared" si="11"/>
        <v>100</v>
      </c>
      <c r="V34" s="773" t="s">
        <v>17</v>
      </c>
      <c r="W34" s="774">
        <f t="shared" si="12"/>
        <v>100</v>
      </c>
      <c r="X34" s="1811"/>
      <c r="Y34" s="3218"/>
      <c r="Z34" s="1812" t="str">
        <f t="shared" si="13"/>
        <v>土地级别</v>
      </c>
      <c r="AA34" s="1809">
        <f t="shared" si="3"/>
        <v>1</v>
      </c>
      <c r="AB34" s="1809">
        <f t="shared" si="4"/>
        <v>1</v>
      </c>
      <c r="AC34" s="1809">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18"/>
      <c r="Q35" s="1808">
        <f t="shared" si="8"/>
        <v>111</v>
      </c>
      <c r="R35" s="773" t="s">
        <v>17</v>
      </c>
      <c r="S35" s="774">
        <f t="shared" si="10"/>
        <v>100</v>
      </c>
      <c r="T35" s="773" t="s">
        <v>17</v>
      </c>
      <c r="U35" s="774">
        <f t="shared" si="11"/>
        <v>100</v>
      </c>
      <c r="V35" s="773" t="s">
        <v>17</v>
      </c>
      <c r="W35" s="774">
        <f t="shared" si="12"/>
        <v>100</v>
      </c>
      <c r="X35" s="1811"/>
      <c r="Y35" s="3218"/>
      <c r="Z35" s="1812">
        <f t="shared" si="13"/>
        <v>111</v>
      </c>
      <c r="AA35" s="1809">
        <f t="shared" si="3"/>
        <v>1</v>
      </c>
      <c r="AB35" s="1809">
        <f t="shared" si="4"/>
        <v>1</v>
      </c>
      <c r="AC35" s="1809">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19" t="s">
        <v>2553</v>
      </c>
      <c r="Q36" s="1808">
        <f t="shared" si="8"/>
        <v>111</v>
      </c>
      <c r="R36" s="773" t="s">
        <v>17</v>
      </c>
      <c r="S36" s="774">
        <f t="shared" si="10"/>
        <v>100</v>
      </c>
      <c r="T36" s="773" t="s">
        <v>17</v>
      </c>
      <c r="U36" s="774">
        <f t="shared" si="11"/>
        <v>100</v>
      </c>
      <c r="V36" s="773" t="s">
        <v>17</v>
      </c>
      <c r="W36" s="774">
        <f t="shared" si="12"/>
        <v>100</v>
      </c>
      <c r="X36" s="1811"/>
      <c r="Y36" s="3220" t="s">
        <v>2553</v>
      </c>
      <c r="Z36" s="1812">
        <f t="shared" si="13"/>
        <v>111</v>
      </c>
      <c r="AA36" s="1809">
        <f t="shared" si="3"/>
        <v>1</v>
      </c>
      <c r="AB36" s="1809">
        <f t="shared" si="4"/>
        <v>1</v>
      </c>
      <c r="AC36" s="1809">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20"/>
      <c r="Q37" s="1808">
        <f t="shared" si="8"/>
        <v>111</v>
      </c>
      <c r="R37" s="776" t="s">
        <v>17</v>
      </c>
      <c r="S37" s="777">
        <f t="shared" si="10"/>
        <v>100</v>
      </c>
      <c r="T37" s="776" t="s">
        <v>17</v>
      </c>
      <c r="U37" s="777">
        <f t="shared" si="11"/>
        <v>100</v>
      </c>
      <c r="V37" s="776" t="s">
        <v>17</v>
      </c>
      <c r="W37" s="777">
        <f t="shared" si="12"/>
        <v>100</v>
      </c>
      <c r="X37" s="778"/>
      <c r="Y37" s="3220"/>
      <c r="Z37" s="779">
        <f t="shared" si="13"/>
        <v>111</v>
      </c>
      <c r="AA37" s="1809">
        <f t="shared" si="3"/>
        <v>1</v>
      </c>
      <c r="AB37" s="1809">
        <f t="shared" si="4"/>
        <v>1</v>
      </c>
      <c r="AC37" s="1809">
        <f t="shared" si="5"/>
        <v>1</v>
      </c>
    </row>
    <row r="38" spans="1:29" ht="15">
      <c r="A38" s="472" t="s">
        <v>2551</v>
      </c>
      <c r="B38" s="2994" t="s">
        <v>2739</v>
      </c>
      <c r="C38" s="679">
        <f>'数据-汇总表'!D3</f>
        <v>63995.17</v>
      </c>
      <c r="D38" s="467">
        <v>100</v>
      </c>
      <c r="E38" s="679">
        <f>安宁市土地案例!D3</f>
        <v>13023.31</v>
      </c>
      <c r="F38" s="467">
        <f>LOOKUP(E38,117:117,118:118)-LOOKUP(C38,117:117,118:118)+100</f>
        <v>97</v>
      </c>
      <c r="G38" s="679">
        <f>安宁市土地案例!D6</f>
        <v>39807.040000000001</v>
      </c>
      <c r="H38" s="467">
        <f>LOOKUP(G38,117:117,118:118)-LOOKUP(C38,117:117,118:118)+100</f>
        <v>99</v>
      </c>
      <c r="I38" s="530">
        <f>安宁市土地案例!D19</f>
        <v>6836.24</v>
      </c>
      <c r="J38" s="467">
        <f>LOOKUP(I38,117:117,118:118)-LOOKUP(C38,117:117,118:118)+100</f>
        <v>96</v>
      </c>
      <c r="K38" s="613"/>
      <c r="L38" s="1139"/>
      <c r="M38" s="1130"/>
      <c r="N38" s="1130"/>
      <c r="O38" s="1138"/>
      <c r="P38" s="3220"/>
      <c r="Q38" s="1808" t="str">
        <f>B38</f>
        <v>宗地面积</v>
      </c>
      <c r="R38" s="773" t="s">
        <v>17</v>
      </c>
      <c r="S38" s="774">
        <f t="shared" si="10"/>
        <v>97</v>
      </c>
      <c r="T38" s="773" t="s">
        <v>17</v>
      </c>
      <c r="U38" s="774">
        <f t="shared" si="11"/>
        <v>99</v>
      </c>
      <c r="V38" s="773" t="s">
        <v>17</v>
      </c>
      <c r="W38" s="774">
        <f t="shared" si="12"/>
        <v>96</v>
      </c>
      <c r="X38" s="1811"/>
      <c r="Y38" s="3220"/>
      <c r="Z38" s="1812" t="str">
        <f t="shared" si="13"/>
        <v>宗地面积</v>
      </c>
      <c r="AA38" s="1809">
        <f t="shared" si="3"/>
        <v>1.0309278350515463</v>
      </c>
      <c r="AB38" s="1809">
        <f t="shared" si="4"/>
        <v>1.0101010101010102</v>
      </c>
      <c r="AC38" s="1809">
        <f t="shared" si="5"/>
        <v>1.0416666666666667</v>
      </c>
    </row>
    <row r="39" spans="1:29" ht="15">
      <c r="A39" s="472"/>
      <c r="B39" s="422" t="s">
        <v>2740</v>
      </c>
      <c r="C39" s="2605" t="s">
        <v>3306</v>
      </c>
      <c r="D39" s="435">
        <v>100</v>
      </c>
      <c r="E39" s="2605" t="s">
        <v>3308</v>
      </c>
      <c r="F39" s="435">
        <f>SUMIF(119:119,E39,120:120)-SUMIF(119:119,C39,120:120)+100</f>
        <v>98</v>
      </c>
      <c r="G39" s="2605" t="s">
        <v>3308</v>
      </c>
      <c r="H39" s="435">
        <f>SUMIF(119:119,G39,120:120)-SUMIF(119:119,C39,120:120)+100</f>
        <v>98</v>
      </c>
      <c r="I39" s="2605" t="s">
        <v>3308</v>
      </c>
      <c r="J39" s="435">
        <f>SUMIF(119:119,I39,120:120)-SUMIF(119:119,C39,120:120)+100</f>
        <v>98</v>
      </c>
      <c r="K39" s="2960">
        <v>2</v>
      </c>
      <c r="L39" s="1139"/>
      <c r="M39" s="1130"/>
      <c r="N39" s="1130"/>
      <c r="O39" s="1138"/>
      <c r="P39" s="3220"/>
      <c r="Q39" s="1808" t="str">
        <f t="shared" ref="Q39:Q45" si="14">B39</f>
        <v>宗地形状</v>
      </c>
      <c r="R39" s="773" t="s">
        <v>17</v>
      </c>
      <c r="S39" s="774">
        <f t="shared" si="10"/>
        <v>98</v>
      </c>
      <c r="T39" s="773" t="s">
        <v>17</v>
      </c>
      <c r="U39" s="774">
        <f t="shared" si="11"/>
        <v>98</v>
      </c>
      <c r="V39" s="773" t="s">
        <v>17</v>
      </c>
      <c r="W39" s="774">
        <f t="shared" si="12"/>
        <v>98</v>
      </c>
      <c r="X39" s="1811"/>
      <c r="Y39" s="3220"/>
      <c r="Z39" s="1812" t="str">
        <f t="shared" si="13"/>
        <v>宗地形状</v>
      </c>
      <c r="AA39" s="1809">
        <f t="shared" si="3"/>
        <v>1.0204081632653061</v>
      </c>
      <c r="AB39" s="1809">
        <f t="shared" si="4"/>
        <v>1.0204081632653061</v>
      </c>
      <c r="AC39" s="1809">
        <f t="shared" si="5"/>
        <v>1.0204081632653061</v>
      </c>
    </row>
    <row r="40" spans="1:29" ht="15">
      <c r="A40" s="472"/>
      <c r="B40" s="422" t="s">
        <v>2741</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v>0</v>
      </c>
      <c r="L40" s="1139"/>
      <c r="M40" s="1130"/>
      <c r="N40" s="1130"/>
      <c r="O40" s="1138"/>
      <c r="P40" s="3220"/>
      <c r="Q40" s="1808" t="str">
        <f t="shared" si="14"/>
        <v>临街宽度及深度</v>
      </c>
      <c r="R40" s="773" t="s">
        <v>17</v>
      </c>
      <c r="S40" s="774">
        <f t="shared" si="10"/>
        <v>100</v>
      </c>
      <c r="T40" s="773" t="s">
        <v>17</v>
      </c>
      <c r="U40" s="774">
        <f t="shared" si="11"/>
        <v>100</v>
      </c>
      <c r="V40" s="773" t="s">
        <v>17</v>
      </c>
      <c r="W40" s="774">
        <f t="shared" si="12"/>
        <v>100</v>
      </c>
      <c r="X40" s="1811"/>
      <c r="Y40" s="3220"/>
      <c r="Z40" s="1812" t="str">
        <f t="shared" si="13"/>
        <v>临街宽度及深度</v>
      </c>
      <c r="AA40" s="1809">
        <f t="shared" si="3"/>
        <v>1</v>
      </c>
      <c r="AB40" s="1809">
        <f t="shared" si="4"/>
        <v>1</v>
      </c>
      <c r="AC40" s="1809">
        <f t="shared" si="5"/>
        <v>1</v>
      </c>
    </row>
    <row r="41" spans="1:29" s="117" customFormat="1" ht="15">
      <c r="A41" s="473"/>
      <c r="B41" s="422" t="s">
        <v>2742</v>
      </c>
      <c r="C41" s="2694" t="s">
        <v>3292</v>
      </c>
      <c r="D41" s="136">
        <v>100</v>
      </c>
      <c r="E41" s="2694" t="s">
        <v>3296</v>
      </c>
      <c r="F41" s="435">
        <f>SUMIF(123:123,E41,124:124)-SUMIF(123:123,C41,124:124)+100</f>
        <v>94</v>
      </c>
      <c r="G41" s="2694" t="s">
        <v>3296</v>
      </c>
      <c r="H41" s="435">
        <f>SUMIF(123:123,G41,124:124)-SUMIF(123:123,C41,124:124)+100</f>
        <v>94</v>
      </c>
      <c r="I41" s="2694" t="s">
        <v>3296</v>
      </c>
      <c r="J41" s="435">
        <f>SUMIF(123:123,I41,124:124)-SUMIF(123:123,C41,124:124)+100</f>
        <v>94</v>
      </c>
      <c r="K41" s="612">
        <v>2</v>
      </c>
      <c r="L41" s="1131"/>
      <c r="M41" s="1132"/>
      <c r="N41" s="1132"/>
      <c r="O41" s="1133"/>
      <c r="P41" s="3220"/>
      <c r="Q41" s="1808" t="str">
        <f t="shared" si="14"/>
        <v>宗地开发程度</v>
      </c>
      <c r="R41" s="769" t="s">
        <v>17</v>
      </c>
      <c r="S41" s="770">
        <f t="shared" si="10"/>
        <v>94</v>
      </c>
      <c r="T41" s="769" t="s">
        <v>17</v>
      </c>
      <c r="U41" s="770">
        <f t="shared" si="11"/>
        <v>94</v>
      </c>
      <c r="V41" s="769" t="s">
        <v>17</v>
      </c>
      <c r="W41" s="770">
        <f t="shared" si="12"/>
        <v>94</v>
      </c>
      <c r="X41" s="771"/>
      <c r="Y41" s="3220"/>
      <c r="Z41" s="55" t="str">
        <f t="shared" si="13"/>
        <v>宗地开发程度</v>
      </c>
      <c r="AA41" s="772">
        <f t="shared" si="3"/>
        <v>1.0638297872340425</v>
      </c>
      <c r="AB41" s="772">
        <f t="shared" si="4"/>
        <v>1.0638297872340425</v>
      </c>
      <c r="AC41" s="772">
        <f t="shared" si="5"/>
        <v>1.0638297872340425</v>
      </c>
    </row>
    <row r="42" spans="1:29" ht="15">
      <c r="A42" s="472"/>
      <c r="B42" s="422" t="s">
        <v>2743</v>
      </c>
      <c r="C42" s="2605" t="s">
        <v>3323</v>
      </c>
      <c r="D42" s="435">
        <v>100</v>
      </c>
      <c r="E42" s="2605" t="s">
        <v>3323</v>
      </c>
      <c r="F42" s="435">
        <f>SUMIF(125:125,E42,126:126)-SUMIF(125:125,C42,126:126)+100</f>
        <v>100</v>
      </c>
      <c r="G42" s="2605" t="s">
        <v>3323</v>
      </c>
      <c r="H42" s="435">
        <f>SUMIF(125:125,G42,126:126)-SUMIF(125:125,C42,126:126)+100</f>
        <v>100</v>
      </c>
      <c r="I42" s="2605" t="s">
        <v>3323</v>
      </c>
      <c r="J42" s="435">
        <f>SUMIF(125:125,I42,126:126)-SUMIF(125:125,C42,126:126)+100</f>
        <v>100</v>
      </c>
      <c r="K42" s="612">
        <v>2</v>
      </c>
      <c r="L42" s="1139"/>
      <c r="M42" s="1130"/>
      <c r="N42" s="1130"/>
      <c r="O42" s="1138"/>
      <c r="P42" s="3220" t="s">
        <v>2553</v>
      </c>
      <c r="Q42" s="1808" t="str">
        <f t="shared" si="14"/>
        <v>工程地质条件</v>
      </c>
      <c r="R42" s="773" t="s">
        <v>17</v>
      </c>
      <c r="S42" s="774">
        <f t="shared" si="10"/>
        <v>100</v>
      </c>
      <c r="T42" s="773" t="s">
        <v>17</v>
      </c>
      <c r="U42" s="774">
        <f t="shared" si="11"/>
        <v>100</v>
      </c>
      <c r="V42" s="773" t="s">
        <v>17</v>
      </c>
      <c r="W42" s="774">
        <f t="shared" si="12"/>
        <v>100</v>
      </c>
      <c r="X42" s="1811"/>
      <c r="Y42" s="3220" t="s">
        <v>2553</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20"/>
      <c r="Q43" s="1808">
        <f t="shared" si="14"/>
        <v>111</v>
      </c>
      <c r="R43" s="773" t="s">
        <v>17</v>
      </c>
      <c r="S43" s="774">
        <f t="shared" si="10"/>
        <v>100</v>
      </c>
      <c r="T43" s="773" t="s">
        <v>17</v>
      </c>
      <c r="U43" s="774">
        <f t="shared" si="11"/>
        <v>100</v>
      </c>
      <c r="V43" s="773" t="s">
        <v>17</v>
      </c>
      <c r="W43" s="774">
        <f t="shared" si="12"/>
        <v>100</v>
      </c>
      <c r="X43" s="1811"/>
      <c r="Y43" s="3220"/>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20"/>
      <c r="Q44" s="1808">
        <f t="shared" si="14"/>
        <v>111</v>
      </c>
      <c r="R44" s="773" t="s">
        <v>17</v>
      </c>
      <c r="S44" s="774">
        <f t="shared" si="10"/>
        <v>100</v>
      </c>
      <c r="T44" s="773" t="s">
        <v>17</v>
      </c>
      <c r="U44" s="774">
        <f t="shared" si="11"/>
        <v>100</v>
      </c>
      <c r="V44" s="773" t="s">
        <v>17</v>
      </c>
      <c r="W44" s="774">
        <f t="shared" si="12"/>
        <v>100</v>
      </c>
      <c r="X44" s="1811"/>
      <c r="Y44" s="3220"/>
      <c r="Z44" s="1812">
        <f t="shared" si="13"/>
        <v>111</v>
      </c>
      <c r="AA44" s="1809">
        <f t="shared" si="3"/>
        <v>1</v>
      </c>
      <c r="AB44" s="1809">
        <f t="shared" si="4"/>
        <v>1</v>
      </c>
      <c r="AC44" s="1809">
        <f t="shared" si="5"/>
        <v>1</v>
      </c>
    </row>
    <row r="45" spans="1:29" s="471" customFormat="1" ht="15.75" thickBot="1">
      <c r="A45" s="468"/>
      <c r="B45" s="1386">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20"/>
      <c r="Q45" s="1808">
        <f t="shared" si="14"/>
        <v>111</v>
      </c>
      <c r="R45" s="776" t="s">
        <v>17</v>
      </c>
      <c r="S45" s="777">
        <f t="shared" si="10"/>
        <v>100</v>
      </c>
      <c r="T45" s="776" t="s">
        <v>17</v>
      </c>
      <c r="U45" s="777">
        <f t="shared" si="11"/>
        <v>100</v>
      </c>
      <c r="V45" s="776" t="s">
        <v>17</v>
      </c>
      <c r="W45" s="777">
        <f t="shared" si="12"/>
        <v>100</v>
      </c>
      <c r="X45" s="778"/>
      <c r="Y45" s="3220"/>
      <c r="Z45" s="779">
        <f t="shared" si="13"/>
        <v>111</v>
      </c>
      <c r="AA45" s="1809">
        <f t="shared" si="3"/>
        <v>1</v>
      </c>
      <c r="AB45" s="1809">
        <f t="shared" si="4"/>
        <v>1</v>
      </c>
      <c r="AC45" s="1809">
        <f t="shared" si="5"/>
        <v>1</v>
      </c>
    </row>
    <row r="46" spans="1:29" ht="15">
      <c r="A46" s="479" t="s">
        <v>2708</v>
      </c>
      <c r="B46" s="2696" t="s">
        <v>2744</v>
      </c>
      <c r="C46" s="682" t="s">
        <v>1</v>
      </c>
      <c r="D46" s="481"/>
      <c r="E46" s="482">
        <f>ROUND(安宁市土地案例!K3,0)</f>
        <v>979</v>
      </c>
      <c r="F46" s="483"/>
      <c r="G46" s="484">
        <f>ROUND(安宁市土地案例!K6,0)</f>
        <v>1023</v>
      </c>
      <c r="H46" s="485"/>
      <c r="I46" s="482">
        <f>ROUND(安宁市土地案例!K19,0)</f>
        <v>915</v>
      </c>
      <c r="J46" s="485"/>
      <c r="K46" s="782"/>
      <c r="L46" s="1142"/>
      <c r="M46" s="1143"/>
      <c r="N46" s="1130"/>
      <c r="O46" s="1143"/>
      <c r="P46" s="3215" t="str">
        <f>A46</f>
        <v>成交单价</v>
      </c>
      <c r="Q46" s="3215"/>
      <c r="R46" s="3221">
        <f>E46</f>
        <v>979</v>
      </c>
      <c r="S46" s="3221"/>
      <c r="T46" s="3221">
        <f>G46</f>
        <v>1023</v>
      </c>
      <c r="U46" s="3221"/>
      <c r="V46" s="3221">
        <f>I46</f>
        <v>915</v>
      </c>
      <c r="W46" s="3221"/>
      <c r="X46" s="758"/>
      <c r="Y46" s="780"/>
      <c r="Z46" s="758"/>
      <c r="AA46" s="758"/>
      <c r="AB46" s="758"/>
      <c r="AC46" s="758"/>
    </row>
    <row r="47" spans="1:29" ht="15.75" thickBot="1">
      <c r="A47" s="486" t="s">
        <v>2657</v>
      </c>
      <c r="B47" s="683"/>
      <c r="C47" s="490">
        <f>R48</f>
        <v>1015</v>
      </c>
      <c r="D47" s="489"/>
      <c r="E47" s="490">
        <f>R47</f>
        <v>993</v>
      </c>
      <c r="F47" s="491"/>
      <c r="G47" s="488">
        <f>T47</f>
        <v>1027</v>
      </c>
      <c r="H47" s="489"/>
      <c r="I47" s="490">
        <f>V47</f>
        <v>1026</v>
      </c>
      <c r="J47" s="489"/>
      <c r="K47" s="783"/>
      <c r="L47" s="1142"/>
      <c r="M47" s="1143"/>
      <c r="N47" s="1143"/>
      <c r="O47" s="1143"/>
      <c r="P47" s="3215" t="str">
        <f>A47</f>
        <v>比较价值（元/平方米）</v>
      </c>
      <c r="Q47" s="3215"/>
      <c r="R47" s="3208">
        <f>ROUND(PRODUCT(R46,AA7:AA45),0)</f>
        <v>993</v>
      </c>
      <c r="S47" s="3208"/>
      <c r="T47" s="3208">
        <f>ROUND(PRODUCT(T46,AB7:AB45),0)</f>
        <v>1027</v>
      </c>
      <c r="U47" s="3208"/>
      <c r="V47" s="3208">
        <f>ROUND(PRODUCT(V46,AC7:AC45),0)</f>
        <v>1026</v>
      </c>
      <c r="W47" s="3208"/>
      <c r="X47" s="758"/>
      <c r="Y47" s="758"/>
      <c r="Z47" s="758"/>
      <c r="AA47" s="758"/>
      <c r="AB47" s="758"/>
      <c r="AC47" s="758"/>
    </row>
    <row r="48" spans="1:29" ht="15.75" thickBot="1">
      <c r="A48" s="492" t="s">
        <v>2745</v>
      </c>
      <c r="B48" s="493"/>
      <c r="C48" s="494">
        <f>R48</f>
        <v>1015</v>
      </c>
      <c r="D48" s="494"/>
      <c r="E48" s="494"/>
      <c r="F48" s="494"/>
      <c r="G48" s="494"/>
      <c r="H48" s="494"/>
      <c r="I48" s="494"/>
      <c r="J48" s="494"/>
      <c r="K48" s="784"/>
      <c r="L48" s="1142"/>
      <c r="M48" s="1143"/>
      <c r="N48" s="1143"/>
      <c r="O48" s="1143"/>
      <c r="P48" s="3209" t="str">
        <f>A48</f>
        <v>估价对象XX用房的比较价值（楼面单价，元/平方米）</v>
      </c>
      <c r="Q48" s="3210"/>
      <c r="R48" s="3211">
        <f>ROUND(AVERAGE(R47:V47),0)</f>
        <v>1015</v>
      </c>
      <c r="S48" s="3211"/>
      <c r="T48" s="3211"/>
      <c r="U48" s="3211"/>
      <c r="V48" s="3211"/>
      <c r="W48" s="3211"/>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2659</v>
      </c>
      <c r="D51" s="498"/>
      <c r="E51" s="499">
        <f>IF(E46&lt;E47,E47/E46-1,E46/E47-1)</f>
        <v>1.4300306435137911E-2</v>
      </c>
      <c r="F51" s="500" t="str">
        <f>IF(OR(E51&gt;=0.3,E51&lt;=-0.3),"超过30%","")</f>
        <v/>
      </c>
      <c r="G51" s="499">
        <f>IF(G46&lt;G47,G47/G46-1,G46/G47-1)</f>
        <v>3.910068426197455E-3</v>
      </c>
      <c r="H51" s="500" t="str">
        <f>IF(OR(G51&gt;=0.3,G51&lt;=-0.3),"超过30%","")</f>
        <v/>
      </c>
      <c r="I51" s="499">
        <f>IF(I46&lt;I47,I47/I46-1,I46/I47-1)</f>
        <v>0.12131147540983611</v>
      </c>
      <c r="J51" s="500" t="str">
        <f>IF(OR(I51&gt;=0.3,I51&lt;=-0.3),"超过30%","")</f>
        <v/>
      </c>
      <c r="K51" s="1104"/>
      <c r="L51" s="1105"/>
      <c r="M51" s="1143"/>
      <c r="N51" s="1143"/>
      <c r="O51" s="1143"/>
    </row>
    <row r="52" spans="1:15" ht="13.5" customHeight="1">
      <c r="A52" s="1143"/>
      <c r="B52" s="1143"/>
      <c r="C52" s="497" t="s">
        <v>2660</v>
      </c>
      <c r="D52" s="501"/>
      <c r="E52" s="499">
        <f>IF(E47&lt;G47,G47/E47-1,E47/G47-1)</f>
        <v>3.4239677744209551E-2</v>
      </c>
      <c r="F52" s="500" t="str">
        <f>IF(OR(E52&gt;=0.2,E52&lt;=-0.2),"超过20%","")</f>
        <v/>
      </c>
      <c r="G52" s="499">
        <f>IF(G47&lt;I47,I47/G47-1,G47/I47-1)</f>
        <v>9.746588693957392E-4</v>
      </c>
      <c r="H52" s="500" t="str">
        <f>IF(OR(G52&gt;=0.2,G52&lt;=-0.2),"超过20%","")</f>
        <v/>
      </c>
      <c r="I52" s="499">
        <f>IF(I47&lt;E47,E47/I47-1,I47/E47-1)</f>
        <v>3.3232628398791597E-2</v>
      </c>
      <c r="J52" s="500" t="str">
        <f>IF(OR(I52&gt;=0.2,I52&lt;=-0.2),"超过20%","")</f>
        <v/>
      </c>
      <c r="K52" s="1104"/>
      <c r="L52" s="1105"/>
      <c r="M52" s="1143"/>
      <c r="N52" s="1143"/>
      <c r="O52" s="1143"/>
    </row>
    <row r="53" spans="1:15" s="502" customFormat="1" ht="13.5" customHeight="1">
      <c r="A53" s="1144"/>
      <c r="B53" s="1144"/>
      <c r="C53" s="497" t="s">
        <v>2661</v>
      </c>
      <c r="D53" s="501"/>
      <c r="E53" s="499">
        <f>IF(E46&lt;G46,G46/E46-1,E46/G46-1)</f>
        <v>4.4943820224719211E-2</v>
      </c>
      <c r="F53" s="500" t="str">
        <f>IF(OR(E53&gt;=0.3,E53&lt;=-0.3),"超过30%","")</f>
        <v/>
      </c>
      <c r="G53" s="499">
        <f>IF(G46&lt;I46,I46/G46-1,G46/I46-1)</f>
        <v>0.11803278688524599</v>
      </c>
      <c r="H53" s="500" t="str">
        <f>IF(OR(G53&gt;=0.3,G53&lt;=-0.3),"超过30%","")</f>
        <v/>
      </c>
      <c r="I53" s="499">
        <f>IF(I46&lt;E46,E46/I46-1,I46/E46-1)</f>
        <v>6.9945355191256775E-2</v>
      </c>
      <c r="J53" s="500" t="str">
        <f>IF(OR(I53&gt;=0.3,I53&lt;=-0.3),"超过30%","")</f>
        <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2746</v>
      </c>
      <c r="B55" s="685" t="s">
        <v>2747</v>
      </c>
      <c r="C55" s="2697" t="s">
        <v>2748</v>
      </c>
      <c r="D55" s="2698" t="s">
        <v>2749</v>
      </c>
      <c r="E55" s="686" t="s">
        <v>2750</v>
      </c>
      <c r="F55" s="1106" t="s">
        <v>2751</v>
      </c>
      <c r="G55" s="3212" t="s">
        <v>2752</v>
      </c>
      <c r="H55" s="3213"/>
      <c r="I55" s="144" t="s">
        <v>2753</v>
      </c>
      <c r="J55" s="2699" t="str">
        <f>项目基本情况!F35</f>
        <v>云南省昆明市</v>
      </c>
      <c r="K55" s="2700" t="s">
        <v>2754</v>
      </c>
      <c r="L55" s="1105"/>
      <c r="M55" s="1143"/>
      <c r="N55" s="1143"/>
      <c r="O55" s="1143"/>
    </row>
    <row r="56" spans="1:15" s="692" customFormat="1">
      <c r="A56" s="688" t="s">
        <v>2755</v>
      </c>
      <c r="B56" s="689">
        <f>C48</f>
        <v>1015</v>
      </c>
      <c r="C56" s="690">
        <v>1</v>
      </c>
      <c r="D56" s="1162">
        <v>1</v>
      </c>
      <c r="E56" s="690">
        <f>'数据-汇总表'!E8+'数据-汇总表'!E9</f>
        <v>186488.71</v>
      </c>
      <c r="F56" s="1102">
        <f t="shared" ref="F56:F65" si="15">ROUND(B56*E56/10000,0)</f>
        <v>18929</v>
      </c>
      <c r="G56" s="3214"/>
      <c r="H56" s="3215"/>
      <c r="I56" s="1107">
        <v>1</v>
      </c>
      <c r="J56" s="1110">
        <v>1</v>
      </c>
      <c r="K56" s="1144"/>
      <c r="L56" s="940"/>
      <c r="M56" s="940"/>
      <c r="N56" s="940"/>
      <c r="O56" s="940"/>
    </row>
    <row r="57" spans="1:15" s="692" customFormat="1">
      <c r="A57" s="693" t="s">
        <v>2756</v>
      </c>
      <c r="B57" s="262">
        <f>ROUND($C$48*C57*D57,0)</f>
        <v>0</v>
      </c>
      <c r="C57" s="200">
        <f t="shared" ref="C57:C65" si="16">IF($C$55="北京市系数",I57,J57)</f>
        <v>0</v>
      </c>
      <c r="D57" s="1163">
        <v>0.25</v>
      </c>
      <c r="E57" s="694"/>
      <c r="F57" s="1102">
        <f t="shared" si="15"/>
        <v>0</v>
      </c>
      <c r="G57" s="3216" t="s">
        <v>2757</v>
      </c>
      <c r="H57" s="1103">
        <f>项目基本情况!B37</f>
        <v>0</v>
      </c>
      <c r="I57" s="1107">
        <f>SUMIF(修正!A45:A56,H57,修正!B45:B56)</f>
        <v>0</v>
      </c>
      <c r="J57" s="1111"/>
      <c r="K57" s="1143"/>
      <c r="L57" s="940"/>
      <c r="M57" s="940"/>
      <c r="N57" s="940"/>
      <c r="O57" s="940"/>
    </row>
    <row r="58" spans="1:15" s="692" customFormat="1">
      <c r="A58" s="693" t="s">
        <v>2758</v>
      </c>
      <c r="B58" s="262">
        <f t="shared" ref="B58:B65" si="17">ROUND($C$48*C58*D58,0)</f>
        <v>0</v>
      </c>
      <c r="C58" s="200">
        <f t="shared" si="16"/>
        <v>0</v>
      </c>
      <c r="D58" s="1163">
        <v>0.25</v>
      </c>
      <c r="E58" s="694"/>
      <c r="F58" s="1102">
        <f t="shared" si="15"/>
        <v>0</v>
      </c>
      <c r="G58" s="3216"/>
      <c r="H58" s="1103">
        <f>项目基本情况!B37</f>
        <v>0</v>
      </c>
      <c r="I58" s="1107">
        <f>SUMIF(修正!A45:A56,H58,修正!C45:C56)</f>
        <v>0</v>
      </c>
      <c r="J58" s="1111"/>
      <c r="K58" s="1144"/>
      <c r="L58" s="940"/>
      <c r="M58" s="940"/>
      <c r="N58" s="940"/>
      <c r="O58" s="940"/>
    </row>
    <row r="59" spans="1:15" s="692" customFormat="1">
      <c r="A59" s="693" t="s">
        <v>2759</v>
      </c>
      <c r="B59" s="262">
        <f t="shared" si="17"/>
        <v>0</v>
      </c>
      <c r="C59" s="200">
        <f t="shared" si="16"/>
        <v>0</v>
      </c>
      <c r="D59" s="1163">
        <v>0.25</v>
      </c>
      <c r="E59" s="694"/>
      <c r="F59" s="1102">
        <f t="shared" si="15"/>
        <v>0</v>
      </c>
      <c r="G59" s="3216"/>
      <c r="H59" s="1103">
        <f>项目基本情况!B37</f>
        <v>0</v>
      </c>
      <c r="I59" s="1107">
        <f>SUMIF(修正!A45:A56,H59,修正!D45:D56)</f>
        <v>0</v>
      </c>
      <c r="J59" s="1111"/>
      <c r="K59" s="1143"/>
      <c r="L59" s="940"/>
      <c r="M59" s="940"/>
      <c r="N59" s="940"/>
      <c r="O59" s="940"/>
    </row>
    <row r="60" spans="1:15" s="692" customFormat="1">
      <c r="A60" s="693" t="s">
        <v>2760</v>
      </c>
      <c r="B60" s="262">
        <f t="shared" si="17"/>
        <v>0</v>
      </c>
      <c r="C60" s="200">
        <f t="shared" si="16"/>
        <v>0</v>
      </c>
      <c r="D60" s="1163">
        <v>0.25</v>
      </c>
      <c r="E60" s="694"/>
      <c r="F60" s="1102">
        <f t="shared" si="15"/>
        <v>0</v>
      </c>
      <c r="G60" s="3216"/>
      <c r="H60" s="1103">
        <f>项目基本情况!B37</f>
        <v>0</v>
      </c>
      <c r="I60" s="1107">
        <f>SUMIF(修正!A45:A56,H60,修正!E45:E56)</f>
        <v>0</v>
      </c>
      <c r="J60" s="1111"/>
      <c r="K60" s="1144"/>
      <c r="L60" s="940"/>
      <c r="M60" s="940"/>
      <c r="N60" s="940"/>
      <c r="O60" s="940"/>
    </row>
    <row r="61" spans="1:15" s="692" customFormat="1">
      <c r="A61" s="693" t="s">
        <v>2761</v>
      </c>
      <c r="B61" s="262">
        <f t="shared" si="17"/>
        <v>0</v>
      </c>
      <c r="C61" s="200">
        <f t="shared" si="16"/>
        <v>0</v>
      </c>
      <c r="D61" s="1163">
        <v>0.25</v>
      </c>
      <c r="E61" s="261">
        <f>'数据-汇总表'!E11</f>
        <v>281.08000000000004</v>
      </c>
      <c r="F61" s="1102">
        <f t="shared" si="15"/>
        <v>0</v>
      </c>
      <c r="G61" s="2701" t="s">
        <v>2762</v>
      </c>
      <c r="H61" s="1103">
        <f>项目基本情况!C37</f>
        <v>0</v>
      </c>
      <c r="I61" s="1107">
        <f>SUMIF(修正!A45:A56,H61,修正!F45:F56)</f>
        <v>0</v>
      </c>
      <c r="J61" s="1111"/>
      <c r="K61" s="1143"/>
      <c r="L61" s="940"/>
      <c r="M61" s="940"/>
      <c r="N61" s="940"/>
      <c r="O61" s="940"/>
    </row>
    <row r="62" spans="1:15" s="692" customFormat="1">
      <c r="A62" s="693" t="s">
        <v>2763</v>
      </c>
      <c r="B62" s="262">
        <f t="shared" si="17"/>
        <v>0</v>
      </c>
      <c r="C62" s="200">
        <f t="shared" si="16"/>
        <v>0</v>
      </c>
      <c r="D62" s="1163">
        <v>0.25</v>
      </c>
      <c r="E62" s="261">
        <f>'数据-汇总表'!E12</f>
        <v>0</v>
      </c>
      <c r="F62" s="1102">
        <f t="shared" si="15"/>
        <v>0</v>
      </c>
      <c r="G62" s="1108" t="s">
        <v>2764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2765</v>
      </c>
      <c r="B63" s="262">
        <f t="shared" si="17"/>
        <v>0</v>
      </c>
      <c r="C63" s="200">
        <f t="shared" si="16"/>
        <v>0</v>
      </c>
      <c r="D63" s="1163">
        <v>0.25</v>
      </c>
      <c r="E63" s="261">
        <f>'数据-汇总表'!E13</f>
        <v>54445.270000000004</v>
      </c>
      <c r="F63" s="1102">
        <f t="shared" si="15"/>
        <v>0</v>
      </c>
      <c r="G63" s="1108" t="s">
        <v>2766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2767</v>
      </c>
      <c r="B64" s="262">
        <f t="shared" si="17"/>
        <v>0</v>
      </c>
      <c r="C64" s="200">
        <f t="shared" si="16"/>
        <v>0</v>
      </c>
      <c r="D64" s="1163">
        <v>0.25</v>
      </c>
      <c r="E64" s="261">
        <f>'数据-汇总表'!E14</f>
        <v>0</v>
      </c>
      <c r="F64" s="1102">
        <f t="shared" si="15"/>
        <v>0</v>
      </c>
      <c r="G64" s="2701" t="s">
        <v>2757</v>
      </c>
      <c r="H64" s="1103">
        <f>项目基本情况!B37</f>
        <v>0</v>
      </c>
      <c r="I64" s="1107">
        <f>SUMIF(修正!A45:A56,H64,修正!H45:H56)</f>
        <v>0</v>
      </c>
      <c r="J64" s="1111"/>
      <c r="K64" s="1144"/>
      <c r="L64" s="940"/>
      <c r="M64" s="940"/>
      <c r="N64" s="940"/>
      <c r="O64" s="940"/>
    </row>
    <row r="65" spans="1:17" s="692" customFormat="1" ht="15" thickBot="1">
      <c r="A65" s="693" t="s">
        <v>2768</v>
      </c>
      <c r="B65" s="262">
        <f t="shared" si="17"/>
        <v>0</v>
      </c>
      <c r="C65" s="200">
        <f t="shared" si="16"/>
        <v>0</v>
      </c>
      <c r="D65" s="1163">
        <v>0.25</v>
      </c>
      <c r="E65" s="261">
        <f>'数据-汇总表'!E15</f>
        <v>0</v>
      </c>
      <c r="F65" s="1102">
        <f t="shared" si="15"/>
        <v>0</v>
      </c>
      <c r="G65" s="2702" t="s">
        <v>2762</v>
      </c>
      <c r="H65" s="1113">
        <f>项目基本情况!C37</f>
        <v>0</v>
      </c>
      <c r="I65" s="1109">
        <f>SUMIF(修正!A45:A56,H65,修正!H45:H56)</f>
        <v>0</v>
      </c>
      <c r="J65" s="1112"/>
      <c r="K65" s="1143"/>
      <c r="L65" s="940"/>
      <c r="M65" s="940"/>
      <c r="N65" s="940"/>
      <c r="O65" s="940"/>
    </row>
    <row r="66" spans="1:17" s="692" customFormat="1" ht="13.5" thickBot="1">
      <c r="A66" s="695" t="s">
        <v>2769</v>
      </c>
      <c r="B66" s="696" t="s">
        <v>28</v>
      </c>
      <c r="C66" s="696" t="s">
        <v>29</v>
      </c>
      <c r="D66" s="696" t="s">
        <v>1026</v>
      </c>
      <c r="E66" s="696">
        <f>IF(B46="楼面地价",SUM(E56:E65),'数据-汇总表'!D3)</f>
        <v>241215.06</v>
      </c>
      <c r="F66" s="697">
        <f>IF(B46="楼面地价",SUM(F56:F65),ROUND(C48*E66/10000,0))</f>
        <v>18929</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2662</v>
      </c>
      <c r="B69" s="758"/>
      <c r="C69" s="763"/>
      <c r="D69" s="763"/>
      <c r="E69" s="763"/>
      <c r="F69" s="764"/>
      <c r="G69" s="764"/>
      <c r="H69" s="763"/>
      <c r="I69" s="763"/>
      <c r="J69" s="1158"/>
      <c r="K69" s="1159"/>
      <c r="L69" s="1160"/>
      <c r="M69" s="1158"/>
      <c r="N69" s="1158"/>
      <c r="O69" s="1158"/>
      <c r="P69" s="503"/>
      <c r="Q69" s="504"/>
    </row>
    <row r="70" spans="1:17" s="508" customFormat="1" ht="15">
      <c r="A70" s="2703" t="s">
        <v>2770</v>
      </c>
      <c r="B70" s="1358"/>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04" t="s">
        <v>2771</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2573</v>
      </c>
      <c r="B72" s="516"/>
      <c r="C72" s="517"/>
      <c r="D72" s="518"/>
      <c r="E72" s="518"/>
      <c r="F72" s="518"/>
      <c r="G72" s="518"/>
      <c r="H72" s="518"/>
      <c r="I72" s="518"/>
      <c r="J72" s="518"/>
      <c r="K72" s="518"/>
      <c r="L72" s="518"/>
      <c r="M72" s="519"/>
      <c r="N72" s="518"/>
      <c r="O72" s="1161"/>
      <c r="P72" s="504"/>
      <c r="Q72" s="504"/>
    </row>
    <row r="73" spans="1:17" s="117" customFormat="1" ht="15">
      <c r="A73" s="521" t="s">
        <v>2538</v>
      </c>
      <c r="B73" s="510"/>
      <c r="C73" s="522" t="s">
        <v>2640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2576</v>
      </c>
      <c r="B75" s="528" t="s">
        <v>2542</v>
      </c>
      <c r="C75" s="2950" t="s">
        <v>3303</v>
      </c>
      <c r="D75" s="2950" t="s">
        <v>3305</v>
      </c>
      <c r="E75" s="530"/>
      <c r="F75" s="530"/>
      <c r="G75" s="530"/>
      <c r="H75" s="530"/>
      <c r="I75" s="530"/>
      <c r="J75" s="530"/>
      <c r="K75" s="531"/>
      <c r="L75" s="532"/>
      <c r="M75" s="533"/>
      <c r="N75" s="1151"/>
      <c r="O75" s="1151"/>
      <c r="P75" s="45"/>
      <c r="Q75" s="504"/>
    </row>
    <row r="76" spans="1:17" ht="15.75" thickBot="1">
      <c r="A76" s="534"/>
      <c r="B76" s="535"/>
      <c r="C76" s="536">
        <v>100</v>
      </c>
      <c r="D76" s="536">
        <v>103</v>
      </c>
      <c r="E76" s="536"/>
      <c r="F76" s="536"/>
      <c r="G76" s="536"/>
      <c r="H76" s="536"/>
      <c r="I76" s="536"/>
      <c r="J76" s="536"/>
      <c r="K76" s="536"/>
      <c r="L76" s="536"/>
      <c r="M76" s="537"/>
      <c r="N76" s="1152"/>
      <c r="O76" s="1152"/>
      <c r="P76" s="45"/>
      <c r="Q76" s="504"/>
    </row>
    <row r="77" spans="1:17" ht="27.75" thickTop="1">
      <c r="A77" s="534"/>
      <c r="B77" s="538" t="s">
        <v>2545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2546</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v>0</v>
      </c>
      <c r="D80" s="549">
        <v>1</v>
      </c>
      <c r="E80" s="549">
        <v>2</v>
      </c>
      <c r="F80" s="549">
        <v>3</v>
      </c>
      <c r="G80" s="549">
        <v>4</v>
      </c>
      <c r="H80" s="549"/>
      <c r="I80" s="549"/>
      <c r="J80" s="549"/>
      <c r="K80" s="550"/>
      <c r="L80" s="551"/>
      <c r="M80" s="552"/>
      <c r="N80" s="1151"/>
      <c r="O80" s="1151"/>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1"/>
      <c r="O88" s="1151"/>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2"/>
      <c r="O89" s="1152"/>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1"/>
      <c r="O90" s="1151"/>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0"/>
      <c r="O96" s="1150"/>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2"/>
      <c r="O97" s="1152"/>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1"/>
      <c r="O104" s="1151"/>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2"/>
      <c r="O105" s="1152"/>
      <c r="P105" s="45"/>
      <c r="Q105" s="504"/>
    </row>
    <row r="106" spans="1:17" ht="27.75" thickTop="1">
      <c r="A106" s="534"/>
      <c r="B106" s="538" t="s">
        <v>2679</v>
      </c>
      <c r="C106" s="2951" t="s">
        <v>3444</v>
      </c>
      <c r="D106" s="2951" t="s">
        <v>3445</v>
      </c>
      <c r="E106" s="2951" t="s">
        <v>3446</v>
      </c>
      <c r="F106" s="2951" t="s">
        <v>3447</v>
      </c>
      <c r="G106" s="2951" t="s">
        <v>3449</v>
      </c>
      <c r="H106" s="583"/>
      <c r="I106" s="583"/>
      <c r="J106" s="583"/>
      <c r="K106" s="584"/>
      <c r="L106" s="585"/>
      <c r="M106" s="586"/>
      <c r="N106" s="1151"/>
      <c r="O106" s="1151"/>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2"/>
      <c r="O107" s="1152"/>
      <c r="P107" s="45"/>
      <c r="Q107" s="504"/>
    </row>
    <row r="108" spans="1:17" ht="15.75" thickTop="1">
      <c r="A108" s="534"/>
      <c r="B108" s="538" t="s">
        <v>2738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2551</v>
      </c>
      <c r="B116" s="528" t="s">
        <v>2779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10000</v>
      </c>
      <c r="E117" s="2993">
        <v>20000</v>
      </c>
      <c r="F117" s="595">
        <v>30000</v>
      </c>
      <c r="G117" s="595">
        <v>40000</v>
      </c>
      <c r="H117" s="595"/>
      <c r="I117" s="595"/>
      <c r="J117" s="596"/>
      <c r="K117" s="596"/>
      <c r="L117" s="597"/>
      <c r="M117" s="598"/>
      <c r="N117" s="1151"/>
      <c r="O117" s="1151"/>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2"/>
      <c r="O118" s="1152"/>
      <c r="P118" s="45"/>
      <c r="Q118" s="504"/>
    </row>
    <row r="119" spans="1:17" ht="15" thickTop="1">
      <c r="A119" s="599"/>
      <c r="B119" s="538" t="s">
        <v>2780</v>
      </c>
      <c r="C119" s="2952" t="s">
        <v>3307</v>
      </c>
      <c r="D119" s="2952" t="s">
        <v>3309</v>
      </c>
      <c r="E119" s="2952" t="s">
        <v>3310</v>
      </c>
      <c r="F119" s="2952" t="s">
        <v>3311</v>
      </c>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2"/>
      <c r="O120" s="1152"/>
      <c r="P120" s="45"/>
      <c r="Q120" s="504"/>
    </row>
    <row r="121" spans="1:17" ht="15" thickTop="1">
      <c r="A121" s="599"/>
      <c r="B121" s="538" t="s">
        <v>2781</v>
      </c>
      <c r="C121" s="2951" t="s">
        <v>3312</v>
      </c>
      <c r="D121" s="2951" t="s">
        <v>3314</v>
      </c>
      <c r="E121" s="2951" t="s">
        <v>3315</v>
      </c>
      <c r="F121" s="2952" t="s">
        <v>3316</v>
      </c>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2782</v>
      </c>
      <c r="C123" s="2951" t="s">
        <v>3317</v>
      </c>
      <c r="D123" s="2951" t="s">
        <v>3318</v>
      </c>
      <c r="E123" s="2951" t="s">
        <v>3319</v>
      </c>
      <c r="F123" s="2951" t="s">
        <v>3320</v>
      </c>
      <c r="G123" s="2951" t="s">
        <v>3321</v>
      </c>
      <c r="H123" s="583"/>
      <c r="I123" s="583"/>
      <c r="J123" s="583"/>
      <c r="K123" s="584"/>
      <c r="L123" s="585"/>
      <c r="M123" s="586"/>
      <c r="N123" s="1153"/>
      <c r="O123" s="1153"/>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3"/>
      <c r="O124" s="1153"/>
      <c r="P124" s="558"/>
      <c r="Q124" s="559"/>
    </row>
    <row r="125" spans="1:17" ht="15" thickTop="1">
      <c r="A125" s="599"/>
      <c r="B125" s="538" t="s">
        <v>2783</v>
      </c>
      <c r="C125" s="2951" t="s">
        <v>3322</v>
      </c>
      <c r="D125" s="2951" t="s">
        <v>3324</v>
      </c>
      <c r="E125" s="2952" t="s">
        <v>3325</v>
      </c>
      <c r="F125" s="2952" t="s">
        <v>3326</v>
      </c>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49" workbookViewId="0">
      <selection activeCell="A90" sqref="A90"/>
    </sheetView>
  </sheetViews>
  <sheetFormatPr defaultRowHeight="13.5"/>
  <cols>
    <col min="1" max="1" width="42" style="1633" customWidth="1"/>
    <col min="2" max="2" width="6.25" style="1633" customWidth="1"/>
    <col min="3" max="3" width="7.875" style="1633" customWidth="1"/>
    <col min="4" max="4" width="6.25" style="1633" customWidth="1"/>
    <col min="5" max="5" width="4.625" style="1633" customWidth="1"/>
    <col min="6" max="6" width="42" style="1633" customWidth="1"/>
    <col min="7" max="7" width="7.875" style="1633" customWidth="1"/>
    <col min="8" max="8" width="11.625" style="1633" hidden="1" customWidth="1"/>
    <col min="9" max="9" width="17.75" style="1633" customWidth="1"/>
    <col min="10" max="10" width="11.125" style="1633" customWidth="1"/>
    <col min="11" max="11" width="10" style="1633" customWidth="1"/>
    <col min="12" max="12" width="19.875" style="1633" customWidth="1"/>
    <col min="13" max="13" width="7.875" style="1633" hidden="1" customWidth="1"/>
    <col min="14" max="14" width="11.25" style="1633" hidden="1" customWidth="1"/>
    <col min="15" max="15" width="7.875" style="1633" hidden="1" customWidth="1"/>
    <col min="16" max="16" width="9.625" style="1633" hidden="1" customWidth="1"/>
    <col min="17" max="18" width="15.5" style="1633" hidden="1" customWidth="1"/>
    <col min="19" max="19" width="12.875" style="1633" hidden="1" customWidth="1"/>
    <col min="20" max="21" width="11.25" style="1633" hidden="1" customWidth="1"/>
    <col min="22" max="22" width="17.75" style="1633" hidden="1" customWidth="1"/>
    <col min="23" max="23" width="7.875" style="1633" hidden="1" customWidth="1"/>
    <col min="24" max="26" width="9" style="1633" hidden="1" customWidth="1"/>
    <col min="27" max="27" width="10.25" style="1633" customWidth="1"/>
    <col min="28" max="28" width="18.625" style="1633" hidden="1" customWidth="1"/>
    <col min="29" max="29" width="7.875" style="1633" hidden="1" customWidth="1"/>
    <col min="30" max="30" width="31" style="1633" customWidth="1"/>
    <col min="31" max="33" width="10.625" style="1633" hidden="1" customWidth="1"/>
    <col min="34" max="34" width="16" style="1633" hidden="1" customWidth="1"/>
    <col min="35" max="35" width="16" style="1633" customWidth="1"/>
    <col min="36" max="36" width="14.25" style="1633" hidden="1" customWidth="1"/>
    <col min="37" max="37" width="14.25" style="1633" customWidth="1"/>
    <col min="38" max="39" width="21.875" style="1633" hidden="1" customWidth="1"/>
    <col min="40" max="40" width="6.25" style="1633" customWidth="1"/>
    <col min="41" max="41" width="7.875" style="1633" customWidth="1"/>
    <col min="42" max="42" width="16.875" style="1633" hidden="1" customWidth="1"/>
    <col min="43" max="44" width="20.125" style="1633" hidden="1" customWidth="1"/>
    <col min="45" max="45" width="7.875" style="1633" customWidth="1"/>
    <col min="46" max="256" width="9" style="1633"/>
    <col min="257" max="257" width="42" style="1633" customWidth="1"/>
    <col min="258" max="258" width="6.25" style="1633" customWidth="1"/>
    <col min="259" max="259" width="7.875" style="1633" customWidth="1"/>
    <col min="260" max="260" width="6.25" style="1633" customWidth="1"/>
    <col min="261" max="261" width="4.625" style="1633" customWidth="1"/>
    <col min="262" max="262" width="42" style="1633" customWidth="1"/>
    <col min="263" max="263" width="7.875" style="1633" customWidth="1"/>
    <col min="264" max="264" width="0" style="1633" hidden="1" customWidth="1"/>
    <col min="265" max="265" width="17.75" style="1633" customWidth="1"/>
    <col min="266" max="266" width="11.125" style="1633" customWidth="1"/>
    <col min="267" max="267" width="10" style="1633" customWidth="1"/>
    <col min="268" max="268" width="19.875" style="1633" customWidth="1"/>
    <col min="269" max="282" width="0" style="1633" hidden="1" customWidth="1"/>
    <col min="283" max="283" width="10.25" style="1633" customWidth="1"/>
    <col min="284" max="285" width="0" style="1633" hidden="1" customWidth="1"/>
    <col min="286" max="286" width="31" style="1633" customWidth="1"/>
    <col min="287" max="290" width="0" style="1633" hidden="1" customWidth="1"/>
    <col min="291" max="291" width="16" style="1633" customWidth="1"/>
    <col min="292" max="292" width="0" style="1633" hidden="1" customWidth="1"/>
    <col min="293" max="293" width="14.25" style="1633" customWidth="1"/>
    <col min="294" max="295" width="0" style="1633" hidden="1" customWidth="1"/>
    <col min="296" max="296" width="6.25" style="1633" customWidth="1"/>
    <col min="297" max="297" width="7.875" style="1633" customWidth="1"/>
    <col min="298" max="300" width="0" style="1633" hidden="1" customWidth="1"/>
    <col min="301" max="301" width="7.875" style="1633" customWidth="1"/>
    <col min="302" max="512" width="9" style="1633"/>
    <col min="513" max="513" width="42" style="1633" customWidth="1"/>
    <col min="514" max="514" width="6.25" style="1633" customWidth="1"/>
    <col min="515" max="515" width="7.875" style="1633" customWidth="1"/>
    <col min="516" max="516" width="6.25" style="1633" customWidth="1"/>
    <col min="517" max="517" width="4.625" style="1633" customWidth="1"/>
    <col min="518" max="518" width="42" style="1633" customWidth="1"/>
    <col min="519" max="519" width="7.875" style="1633" customWidth="1"/>
    <col min="520" max="520" width="0" style="1633" hidden="1" customWidth="1"/>
    <col min="521" max="521" width="17.75" style="1633" customWidth="1"/>
    <col min="522" max="522" width="11.125" style="1633" customWidth="1"/>
    <col min="523" max="523" width="10" style="1633" customWidth="1"/>
    <col min="524" max="524" width="19.875" style="1633" customWidth="1"/>
    <col min="525" max="538" width="0" style="1633" hidden="1" customWidth="1"/>
    <col min="539" max="539" width="10.25" style="1633" customWidth="1"/>
    <col min="540" max="541" width="0" style="1633" hidden="1" customWidth="1"/>
    <col min="542" max="542" width="31" style="1633" customWidth="1"/>
    <col min="543" max="546" width="0" style="1633" hidden="1" customWidth="1"/>
    <col min="547" max="547" width="16" style="1633" customWidth="1"/>
    <col min="548" max="548" width="0" style="1633" hidden="1" customWidth="1"/>
    <col min="549" max="549" width="14.25" style="1633" customWidth="1"/>
    <col min="550" max="551" width="0" style="1633" hidden="1" customWidth="1"/>
    <col min="552" max="552" width="6.25" style="1633" customWidth="1"/>
    <col min="553" max="553" width="7.875" style="1633" customWidth="1"/>
    <col min="554" max="556" width="0" style="1633" hidden="1" customWidth="1"/>
    <col min="557" max="557" width="7.875" style="1633" customWidth="1"/>
    <col min="558" max="768" width="9" style="1633"/>
    <col min="769" max="769" width="42" style="1633" customWidth="1"/>
    <col min="770" max="770" width="6.25" style="1633" customWidth="1"/>
    <col min="771" max="771" width="7.875" style="1633" customWidth="1"/>
    <col min="772" max="772" width="6.25" style="1633" customWidth="1"/>
    <col min="773" max="773" width="4.625" style="1633" customWidth="1"/>
    <col min="774" max="774" width="42" style="1633" customWidth="1"/>
    <col min="775" max="775" width="7.875" style="1633" customWidth="1"/>
    <col min="776" max="776" width="0" style="1633" hidden="1" customWidth="1"/>
    <col min="777" max="777" width="17.75" style="1633" customWidth="1"/>
    <col min="778" max="778" width="11.125" style="1633" customWidth="1"/>
    <col min="779" max="779" width="10" style="1633" customWidth="1"/>
    <col min="780" max="780" width="19.875" style="1633" customWidth="1"/>
    <col min="781" max="794" width="0" style="1633" hidden="1" customWidth="1"/>
    <col min="795" max="795" width="10.25" style="1633" customWidth="1"/>
    <col min="796" max="797" width="0" style="1633" hidden="1" customWidth="1"/>
    <col min="798" max="798" width="31" style="1633" customWidth="1"/>
    <col min="799" max="802" width="0" style="1633" hidden="1" customWidth="1"/>
    <col min="803" max="803" width="16" style="1633" customWidth="1"/>
    <col min="804" max="804" width="0" style="1633" hidden="1" customWidth="1"/>
    <col min="805" max="805" width="14.25" style="1633" customWidth="1"/>
    <col min="806" max="807" width="0" style="1633" hidden="1" customWidth="1"/>
    <col min="808" max="808" width="6.25" style="1633" customWidth="1"/>
    <col min="809" max="809" width="7.875" style="1633" customWidth="1"/>
    <col min="810" max="812" width="0" style="1633" hidden="1" customWidth="1"/>
    <col min="813" max="813" width="7.875" style="1633" customWidth="1"/>
    <col min="814" max="1024" width="9" style="1633"/>
    <col min="1025" max="1025" width="42" style="1633" customWidth="1"/>
    <col min="1026" max="1026" width="6.25" style="1633" customWidth="1"/>
    <col min="1027" max="1027" width="7.875" style="1633" customWidth="1"/>
    <col min="1028" max="1028" width="6.25" style="1633" customWidth="1"/>
    <col min="1029" max="1029" width="4.625" style="1633" customWidth="1"/>
    <col min="1030" max="1030" width="42" style="1633" customWidth="1"/>
    <col min="1031" max="1031" width="7.875" style="1633" customWidth="1"/>
    <col min="1032" max="1032" width="0" style="1633" hidden="1" customWidth="1"/>
    <col min="1033" max="1033" width="17.75" style="1633" customWidth="1"/>
    <col min="1034" max="1034" width="11.125" style="1633" customWidth="1"/>
    <col min="1035" max="1035" width="10" style="1633" customWidth="1"/>
    <col min="1036" max="1036" width="19.875" style="1633" customWidth="1"/>
    <col min="1037" max="1050" width="0" style="1633" hidden="1" customWidth="1"/>
    <col min="1051" max="1051" width="10.25" style="1633" customWidth="1"/>
    <col min="1052" max="1053" width="0" style="1633" hidden="1" customWidth="1"/>
    <col min="1054" max="1054" width="31" style="1633" customWidth="1"/>
    <col min="1055" max="1058" width="0" style="1633" hidden="1" customWidth="1"/>
    <col min="1059" max="1059" width="16" style="1633" customWidth="1"/>
    <col min="1060" max="1060" width="0" style="1633" hidden="1" customWidth="1"/>
    <col min="1061" max="1061" width="14.25" style="1633" customWidth="1"/>
    <col min="1062" max="1063" width="0" style="1633" hidden="1" customWidth="1"/>
    <col min="1064" max="1064" width="6.25" style="1633" customWidth="1"/>
    <col min="1065" max="1065" width="7.875" style="1633" customWidth="1"/>
    <col min="1066" max="1068" width="0" style="1633" hidden="1" customWidth="1"/>
    <col min="1069" max="1069" width="7.875" style="1633" customWidth="1"/>
    <col min="1070" max="1280" width="9" style="1633"/>
    <col min="1281" max="1281" width="42" style="1633" customWidth="1"/>
    <col min="1282" max="1282" width="6.25" style="1633" customWidth="1"/>
    <col min="1283" max="1283" width="7.875" style="1633" customWidth="1"/>
    <col min="1284" max="1284" width="6.25" style="1633" customWidth="1"/>
    <col min="1285" max="1285" width="4.625" style="1633" customWidth="1"/>
    <col min="1286" max="1286" width="42" style="1633" customWidth="1"/>
    <col min="1287" max="1287" width="7.875" style="1633" customWidth="1"/>
    <col min="1288" max="1288" width="0" style="1633" hidden="1" customWidth="1"/>
    <col min="1289" max="1289" width="17.75" style="1633" customWidth="1"/>
    <col min="1290" max="1290" width="11.125" style="1633" customWidth="1"/>
    <col min="1291" max="1291" width="10" style="1633" customWidth="1"/>
    <col min="1292" max="1292" width="19.875" style="1633" customWidth="1"/>
    <col min="1293" max="1306" width="0" style="1633" hidden="1" customWidth="1"/>
    <col min="1307" max="1307" width="10.25" style="1633" customWidth="1"/>
    <col min="1308" max="1309" width="0" style="1633" hidden="1" customWidth="1"/>
    <col min="1310" max="1310" width="31" style="1633" customWidth="1"/>
    <col min="1311" max="1314" width="0" style="1633" hidden="1" customWidth="1"/>
    <col min="1315" max="1315" width="16" style="1633" customWidth="1"/>
    <col min="1316" max="1316" width="0" style="1633" hidden="1" customWidth="1"/>
    <col min="1317" max="1317" width="14.25" style="1633" customWidth="1"/>
    <col min="1318" max="1319" width="0" style="1633" hidden="1" customWidth="1"/>
    <col min="1320" max="1320" width="6.25" style="1633" customWidth="1"/>
    <col min="1321" max="1321" width="7.875" style="1633" customWidth="1"/>
    <col min="1322" max="1324" width="0" style="1633" hidden="1" customWidth="1"/>
    <col min="1325" max="1325" width="7.875" style="1633" customWidth="1"/>
    <col min="1326" max="1536" width="9" style="1633"/>
    <col min="1537" max="1537" width="42" style="1633" customWidth="1"/>
    <col min="1538" max="1538" width="6.25" style="1633" customWidth="1"/>
    <col min="1539" max="1539" width="7.875" style="1633" customWidth="1"/>
    <col min="1540" max="1540" width="6.25" style="1633" customWidth="1"/>
    <col min="1541" max="1541" width="4.625" style="1633" customWidth="1"/>
    <col min="1542" max="1542" width="42" style="1633" customWidth="1"/>
    <col min="1543" max="1543" width="7.875" style="1633" customWidth="1"/>
    <col min="1544" max="1544" width="0" style="1633" hidden="1" customWidth="1"/>
    <col min="1545" max="1545" width="17.75" style="1633" customWidth="1"/>
    <col min="1546" max="1546" width="11.125" style="1633" customWidth="1"/>
    <col min="1547" max="1547" width="10" style="1633" customWidth="1"/>
    <col min="1548" max="1548" width="19.875" style="1633" customWidth="1"/>
    <col min="1549" max="1562" width="0" style="1633" hidden="1" customWidth="1"/>
    <col min="1563" max="1563" width="10.25" style="1633" customWidth="1"/>
    <col min="1564" max="1565" width="0" style="1633" hidden="1" customWidth="1"/>
    <col min="1566" max="1566" width="31" style="1633" customWidth="1"/>
    <col min="1567" max="1570" width="0" style="1633" hidden="1" customWidth="1"/>
    <col min="1571" max="1571" width="16" style="1633" customWidth="1"/>
    <col min="1572" max="1572" width="0" style="1633" hidden="1" customWidth="1"/>
    <col min="1573" max="1573" width="14.25" style="1633" customWidth="1"/>
    <col min="1574" max="1575" width="0" style="1633" hidden="1" customWidth="1"/>
    <col min="1576" max="1576" width="6.25" style="1633" customWidth="1"/>
    <col min="1577" max="1577" width="7.875" style="1633" customWidth="1"/>
    <col min="1578" max="1580" width="0" style="1633" hidden="1" customWidth="1"/>
    <col min="1581" max="1581" width="7.875" style="1633" customWidth="1"/>
    <col min="1582" max="1792" width="9" style="1633"/>
    <col min="1793" max="1793" width="42" style="1633" customWidth="1"/>
    <col min="1794" max="1794" width="6.25" style="1633" customWidth="1"/>
    <col min="1795" max="1795" width="7.875" style="1633" customWidth="1"/>
    <col min="1796" max="1796" width="6.25" style="1633" customWidth="1"/>
    <col min="1797" max="1797" width="4.625" style="1633" customWidth="1"/>
    <col min="1798" max="1798" width="42" style="1633" customWidth="1"/>
    <col min="1799" max="1799" width="7.875" style="1633" customWidth="1"/>
    <col min="1800" max="1800" width="0" style="1633" hidden="1" customWidth="1"/>
    <col min="1801" max="1801" width="17.75" style="1633" customWidth="1"/>
    <col min="1802" max="1802" width="11.125" style="1633" customWidth="1"/>
    <col min="1803" max="1803" width="10" style="1633" customWidth="1"/>
    <col min="1804" max="1804" width="19.875" style="1633" customWidth="1"/>
    <col min="1805" max="1818" width="0" style="1633" hidden="1" customWidth="1"/>
    <col min="1819" max="1819" width="10.25" style="1633" customWidth="1"/>
    <col min="1820" max="1821" width="0" style="1633" hidden="1" customWidth="1"/>
    <col min="1822" max="1822" width="31" style="1633" customWidth="1"/>
    <col min="1823" max="1826" width="0" style="1633" hidden="1" customWidth="1"/>
    <col min="1827" max="1827" width="16" style="1633" customWidth="1"/>
    <col min="1828" max="1828" width="0" style="1633" hidden="1" customWidth="1"/>
    <col min="1829" max="1829" width="14.25" style="1633" customWidth="1"/>
    <col min="1830" max="1831" width="0" style="1633" hidden="1" customWidth="1"/>
    <col min="1832" max="1832" width="6.25" style="1633" customWidth="1"/>
    <col min="1833" max="1833" width="7.875" style="1633" customWidth="1"/>
    <col min="1834" max="1836" width="0" style="1633" hidden="1" customWidth="1"/>
    <col min="1837" max="1837" width="7.875" style="1633" customWidth="1"/>
    <col min="1838" max="2048" width="9" style="1633"/>
    <col min="2049" max="2049" width="42" style="1633" customWidth="1"/>
    <col min="2050" max="2050" width="6.25" style="1633" customWidth="1"/>
    <col min="2051" max="2051" width="7.875" style="1633" customWidth="1"/>
    <col min="2052" max="2052" width="6.25" style="1633" customWidth="1"/>
    <col min="2053" max="2053" width="4.625" style="1633" customWidth="1"/>
    <col min="2054" max="2054" width="42" style="1633" customWidth="1"/>
    <col min="2055" max="2055" width="7.875" style="1633" customWidth="1"/>
    <col min="2056" max="2056" width="0" style="1633" hidden="1" customWidth="1"/>
    <col min="2057" max="2057" width="17.75" style="1633" customWidth="1"/>
    <col min="2058" max="2058" width="11.125" style="1633" customWidth="1"/>
    <col min="2059" max="2059" width="10" style="1633" customWidth="1"/>
    <col min="2060" max="2060" width="19.875" style="1633" customWidth="1"/>
    <col min="2061" max="2074" width="0" style="1633" hidden="1" customWidth="1"/>
    <col min="2075" max="2075" width="10.25" style="1633" customWidth="1"/>
    <col min="2076" max="2077" width="0" style="1633" hidden="1" customWidth="1"/>
    <col min="2078" max="2078" width="31" style="1633" customWidth="1"/>
    <col min="2079" max="2082" width="0" style="1633" hidden="1" customWidth="1"/>
    <col min="2083" max="2083" width="16" style="1633" customWidth="1"/>
    <col min="2084" max="2084" width="0" style="1633" hidden="1" customWidth="1"/>
    <col min="2085" max="2085" width="14.25" style="1633" customWidth="1"/>
    <col min="2086" max="2087" width="0" style="1633" hidden="1" customWidth="1"/>
    <col min="2088" max="2088" width="6.25" style="1633" customWidth="1"/>
    <col min="2089" max="2089" width="7.875" style="1633" customWidth="1"/>
    <col min="2090" max="2092" width="0" style="1633" hidden="1" customWidth="1"/>
    <col min="2093" max="2093" width="7.875" style="1633" customWidth="1"/>
    <col min="2094" max="2304" width="9" style="1633"/>
    <col min="2305" max="2305" width="42" style="1633" customWidth="1"/>
    <col min="2306" max="2306" width="6.25" style="1633" customWidth="1"/>
    <col min="2307" max="2307" width="7.875" style="1633" customWidth="1"/>
    <col min="2308" max="2308" width="6.25" style="1633" customWidth="1"/>
    <col min="2309" max="2309" width="4.625" style="1633" customWidth="1"/>
    <col min="2310" max="2310" width="42" style="1633" customWidth="1"/>
    <col min="2311" max="2311" width="7.875" style="1633" customWidth="1"/>
    <col min="2312" max="2312" width="0" style="1633" hidden="1" customWidth="1"/>
    <col min="2313" max="2313" width="17.75" style="1633" customWidth="1"/>
    <col min="2314" max="2314" width="11.125" style="1633" customWidth="1"/>
    <col min="2315" max="2315" width="10" style="1633" customWidth="1"/>
    <col min="2316" max="2316" width="19.875" style="1633" customWidth="1"/>
    <col min="2317" max="2330" width="0" style="1633" hidden="1" customWidth="1"/>
    <col min="2331" max="2331" width="10.25" style="1633" customWidth="1"/>
    <col min="2332" max="2333" width="0" style="1633" hidden="1" customWidth="1"/>
    <col min="2334" max="2334" width="31" style="1633" customWidth="1"/>
    <col min="2335" max="2338" width="0" style="1633" hidden="1" customWidth="1"/>
    <col min="2339" max="2339" width="16" style="1633" customWidth="1"/>
    <col min="2340" max="2340" width="0" style="1633" hidden="1" customWidth="1"/>
    <col min="2341" max="2341" width="14.25" style="1633" customWidth="1"/>
    <col min="2342" max="2343" width="0" style="1633" hidden="1" customWidth="1"/>
    <col min="2344" max="2344" width="6.25" style="1633" customWidth="1"/>
    <col min="2345" max="2345" width="7.875" style="1633" customWidth="1"/>
    <col min="2346" max="2348" width="0" style="1633" hidden="1" customWidth="1"/>
    <col min="2349" max="2349" width="7.875" style="1633" customWidth="1"/>
    <col min="2350" max="2560" width="9" style="1633"/>
    <col min="2561" max="2561" width="42" style="1633" customWidth="1"/>
    <col min="2562" max="2562" width="6.25" style="1633" customWidth="1"/>
    <col min="2563" max="2563" width="7.875" style="1633" customWidth="1"/>
    <col min="2564" max="2564" width="6.25" style="1633" customWidth="1"/>
    <col min="2565" max="2565" width="4.625" style="1633" customWidth="1"/>
    <col min="2566" max="2566" width="42" style="1633" customWidth="1"/>
    <col min="2567" max="2567" width="7.875" style="1633" customWidth="1"/>
    <col min="2568" max="2568" width="0" style="1633" hidden="1" customWidth="1"/>
    <col min="2569" max="2569" width="17.75" style="1633" customWidth="1"/>
    <col min="2570" max="2570" width="11.125" style="1633" customWidth="1"/>
    <col min="2571" max="2571" width="10" style="1633" customWidth="1"/>
    <col min="2572" max="2572" width="19.875" style="1633" customWidth="1"/>
    <col min="2573" max="2586" width="0" style="1633" hidden="1" customWidth="1"/>
    <col min="2587" max="2587" width="10.25" style="1633" customWidth="1"/>
    <col min="2588" max="2589" width="0" style="1633" hidden="1" customWidth="1"/>
    <col min="2590" max="2590" width="31" style="1633" customWidth="1"/>
    <col min="2591" max="2594" width="0" style="1633" hidden="1" customWidth="1"/>
    <col min="2595" max="2595" width="16" style="1633" customWidth="1"/>
    <col min="2596" max="2596" width="0" style="1633" hidden="1" customWidth="1"/>
    <col min="2597" max="2597" width="14.25" style="1633" customWidth="1"/>
    <col min="2598" max="2599" width="0" style="1633" hidden="1" customWidth="1"/>
    <col min="2600" max="2600" width="6.25" style="1633" customWidth="1"/>
    <col min="2601" max="2601" width="7.875" style="1633" customWidth="1"/>
    <col min="2602" max="2604" width="0" style="1633" hidden="1" customWidth="1"/>
    <col min="2605" max="2605" width="7.875" style="1633" customWidth="1"/>
    <col min="2606" max="2816" width="9" style="1633"/>
    <col min="2817" max="2817" width="42" style="1633" customWidth="1"/>
    <col min="2818" max="2818" width="6.25" style="1633" customWidth="1"/>
    <col min="2819" max="2819" width="7.875" style="1633" customWidth="1"/>
    <col min="2820" max="2820" width="6.25" style="1633" customWidth="1"/>
    <col min="2821" max="2821" width="4.625" style="1633" customWidth="1"/>
    <col min="2822" max="2822" width="42" style="1633" customWidth="1"/>
    <col min="2823" max="2823" width="7.875" style="1633" customWidth="1"/>
    <col min="2824" max="2824" width="0" style="1633" hidden="1" customWidth="1"/>
    <col min="2825" max="2825" width="17.75" style="1633" customWidth="1"/>
    <col min="2826" max="2826" width="11.125" style="1633" customWidth="1"/>
    <col min="2827" max="2827" width="10" style="1633" customWidth="1"/>
    <col min="2828" max="2828" width="19.875" style="1633" customWidth="1"/>
    <col min="2829" max="2842" width="0" style="1633" hidden="1" customWidth="1"/>
    <col min="2843" max="2843" width="10.25" style="1633" customWidth="1"/>
    <col min="2844" max="2845" width="0" style="1633" hidden="1" customWidth="1"/>
    <col min="2846" max="2846" width="31" style="1633" customWidth="1"/>
    <col min="2847" max="2850" width="0" style="1633" hidden="1" customWidth="1"/>
    <col min="2851" max="2851" width="16" style="1633" customWidth="1"/>
    <col min="2852" max="2852" width="0" style="1633" hidden="1" customWidth="1"/>
    <col min="2853" max="2853" width="14.25" style="1633" customWidth="1"/>
    <col min="2854" max="2855" width="0" style="1633" hidden="1" customWidth="1"/>
    <col min="2856" max="2856" width="6.25" style="1633" customWidth="1"/>
    <col min="2857" max="2857" width="7.875" style="1633" customWidth="1"/>
    <col min="2858" max="2860" width="0" style="1633" hidden="1" customWidth="1"/>
    <col min="2861" max="2861" width="7.875" style="1633" customWidth="1"/>
    <col min="2862" max="3072" width="9" style="1633"/>
    <col min="3073" max="3073" width="42" style="1633" customWidth="1"/>
    <col min="3074" max="3074" width="6.25" style="1633" customWidth="1"/>
    <col min="3075" max="3075" width="7.875" style="1633" customWidth="1"/>
    <col min="3076" max="3076" width="6.25" style="1633" customWidth="1"/>
    <col min="3077" max="3077" width="4.625" style="1633" customWidth="1"/>
    <col min="3078" max="3078" width="42" style="1633" customWidth="1"/>
    <col min="3079" max="3079" width="7.875" style="1633" customWidth="1"/>
    <col min="3080" max="3080" width="0" style="1633" hidden="1" customWidth="1"/>
    <col min="3081" max="3081" width="17.75" style="1633" customWidth="1"/>
    <col min="3082" max="3082" width="11.125" style="1633" customWidth="1"/>
    <col min="3083" max="3083" width="10" style="1633" customWidth="1"/>
    <col min="3084" max="3084" width="19.875" style="1633" customWidth="1"/>
    <col min="3085" max="3098" width="0" style="1633" hidden="1" customWidth="1"/>
    <col min="3099" max="3099" width="10.25" style="1633" customWidth="1"/>
    <col min="3100" max="3101" width="0" style="1633" hidden="1" customWidth="1"/>
    <col min="3102" max="3102" width="31" style="1633" customWidth="1"/>
    <col min="3103" max="3106" width="0" style="1633" hidden="1" customWidth="1"/>
    <col min="3107" max="3107" width="16" style="1633" customWidth="1"/>
    <col min="3108" max="3108" width="0" style="1633" hidden="1" customWidth="1"/>
    <col min="3109" max="3109" width="14.25" style="1633" customWidth="1"/>
    <col min="3110" max="3111" width="0" style="1633" hidden="1" customWidth="1"/>
    <col min="3112" max="3112" width="6.25" style="1633" customWidth="1"/>
    <col min="3113" max="3113" width="7.875" style="1633" customWidth="1"/>
    <col min="3114" max="3116" width="0" style="1633" hidden="1" customWidth="1"/>
    <col min="3117" max="3117" width="7.875" style="1633" customWidth="1"/>
    <col min="3118" max="3328" width="9" style="1633"/>
    <col min="3329" max="3329" width="42" style="1633" customWidth="1"/>
    <col min="3330" max="3330" width="6.25" style="1633" customWidth="1"/>
    <col min="3331" max="3331" width="7.875" style="1633" customWidth="1"/>
    <col min="3332" max="3332" width="6.25" style="1633" customWidth="1"/>
    <col min="3333" max="3333" width="4.625" style="1633" customWidth="1"/>
    <col min="3334" max="3334" width="42" style="1633" customWidth="1"/>
    <col min="3335" max="3335" width="7.875" style="1633" customWidth="1"/>
    <col min="3336" max="3336" width="0" style="1633" hidden="1" customWidth="1"/>
    <col min="3337" max="3337" width="17.75" style="1633" customWidth="1"/>
    <col min="3338" max="3338" width="11.125" style="1633" customWidth="1"/>
    <col min="3339" max="3339" width="10" style="1633" customWidth="1"/>
    <col min="3340" max="3340" width="19.875" style="1633" customWidth="1"/>
    <col min="3341" max="3354" width="0" style="1633" hidden="1" customWidth="1"/>
    <col min="3355" max="3355" width="10.25" style="1633" customWidth="1"/>
    <col min="3356" max="3357" width="0" style="1633" hidden="1" customWidth="1"/>
    <col min="3358" max="3358" width="31" style="1633" customWidth="1"/>
    <col min="3359" max="3362" width="0" style="1633" hidden="1" customWidth="1"/>
    <col min="3363" max="3363" width="16" style="1633" customWidth="1"/>
    <col min="3364" max="3364" width="0" style="1633" hidden="1" customWidth="1"/>
    <col min="3365" max="3365" width="14.25" style="1633" customWidth="1"/>
    <col min="3366" max="3367" width="0" style="1633" hidden="1" customWidth="1"/>
    <col min="3368" max="3368" width="6.25" style="1633" customWidth="1"/>
    <col min="3369" max="3369" width="7.875" style="1633" customWidth="1"/>
    <col min="3370" max="3372" width="0" style="1633" hidden="1" customWidth="1"/>
    <col min="3373" max="3373" width="7.875" style="1633" customWidth="1"/>
    <col min="3374" max="3584" width="9" style="1633"/>
    <col min="3585" max="3585" width="42" style="1633" customWidth="1"/>
    <col min="3586" max="3586" width="6.25" style="1633" customWidth="1"/>
    <col min="3587" max="3587" width="7.875" style="1633" customWidth="1"/>
    <col min="3588" max="3588" width="6.25" style="1633" customWidth="1"/>
    <col min="3589" max="3589" width="4.625" style="1633" customWidth="1"/>
    <col min="3590" max="3590" width="42" style="1633" customWidth="1"/>
    <col min="3591" max="3591" width="7.875" style="1633" customWidth="1"/>
    <col min="3592" max="3592" width="0" style="1633" hidden="1" customWidth="1"/>
    <col min="3593" max="3593" width="17.75" style="1633" customWidth="1"/>
    <col min="3594" max="3594" width="11.125" style="1633" customWidth="1"/>
    <col min="3595" max="3595" width="10" style="1633" customWidth="1"/>
    <col min="3596" max="3596" width="19.875" style="1633" customWidth="1"/>
    <col min="3597" max="3610" width="0" style="1633" hidden="1" customWidth="1"/>
    <col min="3611" max="3611" width="10.25" style="1633" customWidth="1"/>
    <col min="3612" max="3613" width="0" style="1633" hidden="1" customWidth="1"/>
    <col min="3614" max="3614" width="31" style="1633" customWidth="1"/>
    <col min="3615" max="3618" width="0" style="1633" hidden="1" customWidth="1"/>
    <col min="3619" max="3619" width="16" style="1633" customWidth="1"/>
    <col min="3620" max="3620" width="0" style="1633" hidden="1" customWidth="1"/>
    <col min="3621" max="3621" width="14.25" style="1633" customWidth="1"/>
    <col min="3622" max="3623" width="0" style="1633" hidden="1" customWidth="1"/>
    <col min="3624" max="3624" width="6.25" style="1633" customWidth="1"/>
    <col min="3625" max="3625" width="7.875" style="1633" customWidth="1"/>
    <col min="3626" max="3628" width="0" style="1633" hidden="1" customWidth="1"/>
    <col min="3629" max="3629" width="7.875" style="1633" customWidth="1"/>
    <col min="3630" max="3840" width="9" style="1633"/>
    <col min="3841" max="3841" width="42" style="1633" customWidth="1"/>
    <col min="3842" max="3842" width="6.25" style="1633" customWidth="1"/>
    <col min="3843" max="3843" width="7.875" style="1633" customWidth="1"/>
    <col min="3844" max="3844" width="6.25" style="1633" customWidth="1"/>
    <col min="3845" max="3845" width="4.625" style="1633" customWidth="1"/>
    <col min="3846" max="3846" width="42" style="1633" customWidth="1"/>
    <col min="3847" max="3847" width="7.875" style="1633" customWidth="1"/>
    <col min="3848" max="3848" width="0" style="1633" hidden="1" customWidth="1"/>
    <col min="3849" max="3849" width="17.75" style="1633" customWidth="1"/>
    <col min="3850" max="3850" width="11.125" style="1633" customWidth="1"/>
    <col min="3851" max="3851" width="10" style="1633" customWidth="1"/>
    <col min="3852" max="3852" width="19.875" style="1633" customWidth="1"/>
    <col min="3853" max="3866" width="0" style="1633" hidden="1" customWidth="1"/>
    <col min="3867" max="3867" width="10.25" style="1633" customWidth="1"/>
    <col min="3868" max="3869" width="0" style="1633" hidden="1" customWidth="1"/>
    <col min="3870" max="3870" width="31" style="1633" customWidth="1"/>
    <col min="3871" max="3874" width="0" style="1633" hidden="1" customWidth="1"/>
    <col min="3875" max="3875" width="16" style="1633" customWidth="1"/>
    <col min="3876" max="3876" width="0" style="1633" hidden="1" customWidth="1"/>
    <col min="3877" max="3877" width="14.25" style="1633" customWidth="1"/>
    <col min="3878" max="3879" width="0" style="1633" hidden="1" customWidth="1"/>
    <col min="3880" max="3880" width="6.25" style="1633" customWidth="1"/>
    <col min="3881" max="3881" width="7.875" style="1633" customWidth="1"/>
    <col min="3882" max="3884" width="0" style="1633" hidden="1" customWidth="1"/>
    <col min="3885" max="3885" width="7.875" style="1633" customWidth="1"/>
    <col min="3886" max="4096" width="9" style="1633"/>
    <col min="4097" max="4097" width="42" style="1633" customWidth="1"/>
    <col min="4098" max="4098" width="6.25" style="1633" customWidth="1"/>
    <col min="4099" max="4099" width="7.875" style="1633" customWidth="1"/>
    <col min="4100" max="4100" width="6.25" style="1633" customWidth="1"/>
    <col min="4101" max="4101" width="4.625" style="1633" customWidth="1"/>
    <col min="4102" max="4102" width="42" style="1633" customWidth="1"/>
    <col min="4103" max="4103" width="7.875" style="1633" customWidth="1"/>
    <col min="4104" max="4104" width="0" style="1633" hidden="1" customWidth="1"/>
    <col min="4105" max="4105" width="17.75" style="1633" customWidth="1"/>
    <col min="4106" max="4106" width="11.125" style="1633" customWidth="1"/>
    <col min="4107" max="4107" width="10" style="1633" customWidth="1"/>
    <col min="4108" max="4108" width="19.875" style="1633" customWidth="1"/>
    <col min="4109" max="4122" width="0" style="1633" hidden="1" customWidth="1"/>
    <col min="4123" max="4123" width="10.25" style="1633" customWidth="1"/>
    <col min="4124" max="4125" width="0" style="1633" hidden="1" customWidth="1"/>
    <col min="4126" max="4126" width="31" style="1633" customWidth="1"/>
    <col min="4127" max="4130" width="0" style="1633" hidden="1" customWidth="1"/>
    <col min="4131" max="4131" width="16" style="1633" customWidth="1"/>
    <col min="4132" max="4132" width="0" style="1633" hidden="1" customWidth="1"/>
    <col min="4133" max="4133" width="14.25" style="1633" customWidth="1"/>
    <col min="4134" max="4135" width="0" style="1633" hidden="1" customWidth="1"/>
    <col min="4136" max="4136" width="6.25" style="1633" customWidth="1"/>
    <col min="4137" max="4137" width="7.875" style="1633" customWidth="1"/>
    <col min="4138" max="4140" width="0" style="1633" hidden="1" customWidth="1"/>
    <col min="4141" max="4141" width="7.875" style="1633" customWidth="1"/>
    <col min="4142" max="4352" width="9" style="1633"/>
    <col min="4353" max="4353" width="42" style="1633" customWidth="1"/>
    <col min="4354" max="4354" width="6.25" style="1633" customWidth="1"/>
    <col min="4355" max="4355" width="7.875" style="1633" customWidth="1"/>
    <col min="4356" max="4356" width="6.25" style="1633" customWidth="1"/>
    <col min="4357" max="4357" width="4.625" style="1633" customWidth="1"/>
    <col min="4358" max="4358" width="42" style="1633" customWidth="1"/>
    <col min="4359" max="4359" width="7.875" style="1633" customWidth="1"/>
    <col min="4360" max="4360" width="0" style="1633" hidden="1" customWidth="1"/>
    <col min="4361" max="4361" width="17.75" style="1633" customWidth="1"/>
    <col min="4362" max="4362" width="11.125" style="1633" customWidth="1"/>
    <col min="4363" max="4363" width="10" style="1633" customWidth="1"/>
    <col min="4364" max="4364" width="19.875" style="1633" customWidth="1"/>
    <col min="4365" max="4378" width="0" style="1633" hidden="1" customWidth="1"/>
    <col min="4379" max="4379" width="10.25" style="1633" customWidth="1"/>
    <col min="4380" max="4381" width="0" style="1633" hidden="1" customWidth="1"/>
    <col min="4382" max="4382" width="31" style="1633" customWidth="1"/>
    <col min="4383" max="4386" width="0" style="1633" hidden="1" customWidth="1"/>
    <col min="4387" max="4387" width="16" style="1633" customWidth="1"/>
    <col min="4388" max="4388" width="0" style="1633" hidden="1" customWidth="1"/>
    <col min="4389" max="4389" width="14.25" style="1633" customWidth="1"/>
    <col min="4390" max="4391" width="0" style="1633" hidden="1" customWidth="1"/>
    <col min="4392" max="4392" width="6.25" style="1633" customWidth="1"/>
    <col min="4393" max="4393" width="7.875" style="1633" customWidth="1"/>
    <col min="4394" max="4396" width="0" style="1633" hidden="1" customWidth="1"/>
    <col min="4397" max="4397" width="7.875" style="1633" customWidth="1"/>
    <col min="4398" max="4608" width="9" style="1633"/>
    <col min="4609" max="4609" width="42" style="1633" customWidth="1"/>
    <col min="4610" max="4610" width="6.25" style="1633" customWidth="1"/>
    <col min="4611" max="4611" width="7.875" style="1633" customWidth="1"/>
    <col min="4612" max="4612" width="6.25" style="1633" customWidth="1"/>
    <col min="4613" max="4613" width="4.625" style="1633" customWidth="1"/>
    <col min="4614" max="4614" width="42" style="1633" customWidth="1"/>
    <col min="4615" max="4615" width="7.875" style="1633" customWidth="1"/>
    <col min="4616" max="4616" width="0" style="1633" hidden="1" customWidth="1"/>
    <col min="4617" max="4617" width="17.75" style="1633" customWidth="1"/>
    <col min="4618" max="4618" width="11.125" style="1633" customWidth="1"/>
    <col min="4619" max="4619" width="10" style="1633" customWidth="1"/>
    <col min="4620" max="4620" width="19.875" style="1633" customWidth="1"/>
    <col min="4621" max="4634" width="0" style="1633" hidden="1" customWidth="1"/>
    <col min="4635" max="4635" width="10.25" style="1633" customWidth="1"/>
    <col min="4636" max="4637" width="0" style="1633" hidden="1" customWidth="1"/>
    <col min="4638" max="4638" width="31" style="1633" customWidth="1"/>
    <col min="4639" max="4642" width="0" style="1633" hidden="1" customWidth="1"/>
    <col min="4643" max="4643" width="16" style="1633" customWidth="1"/>
    <col min="4644" max="4644" width="0" style="1633" hidden="1" customWidth="1"/>
    <col min="4645" max="4645" width="14.25" style="1633" customWidth="1"/>
    <col min="4646" max="4647" width="0" style="1633" hidden="1" customWidth="1"/>
    <col min="4648" max="4648" width="6.25" style="1633" customWidth="1"/>
    <col min="4649" max="4649" width="7.875" style="1633" customWidth="1"/>
    <col min="4650" max="4652" width="0" style="1633" hidden="1" customWidth="1"/>
    <col min="4653" max="4653" width="7.875" style="1633" customWidth="1"/>
    <col min="4654" max="4864" width="9" style="1633"/>
    <col min="4865" max="4865" width="42" style="1633" customWidth="1"/>
    <col min="4866" max="4866" width="6.25" style="1633" customWidth="1"/>
    <col min="4867" max="4867" width="7.875" style="1633" customWidth="1"/>
    <col min="4868" max="4868" width="6.25" style="1633" customWidth="1"/>
    <col min="4869" max="4869" width="4.625" style="1633" customWidth="1"/>
    <col min="4870" max="4870" width="42" style="1633" customWidth="1"/>
    <col min="4871" max="4871" width="7.875" style="1633" customWidth="1"/>
    <col min="4872" max="4872" width="0" style="1633" hidden="1" customWidth="1"/>
    <col min="4873" max="4873" width="17.75" style="1633" customWidth="1"/>
    <col min="4874" max="4874" width="11.125" style="1633" customWidth="1"/>
    <col min="4875" max="4875" width="10" style="1633" customWidth="1"/>
    <col min="4876" max="4876" width="19.875" style="1633" customWidth="1"/>
    <col min="4877" max="4890" width="0" style="1633" hidden="1" customWidth="1"/>
    <col min="4891" max="4891" width="10.25" style="1633" customWidth="1"/>
    <col min="4892" max="4893" width="0" style="1633" hidden="1" customWidth="1"/>
    <col min="4894" max="4894" width="31" style="1633" customWidth="1"/>
    <col min="4895" max="4898" width="0" style="1633" hidden="1" customWidth="1"/>
    <col min="4899" max="4899" width="16" style="1633" customWidth="1"/>
    <col min="4900" max="4900" width="0" style="1633" hidden="1" customWidth="1"/>
    <col min="4901" max="4901" width="14.25" style="1633" customWidth="1"/>
    <col min="4902" max="4903" width="0" style="1633" hidden="1" customWidth="1"/>
    <col min="4904" max="4904" width="6.25" style="1633" customWidth="1"/>
    <col min="4905" max="4905" width="7.875" style="1633" customWidth="1"/>
    <col min="4906" max="4908" width="0" style="1633" hidden="1" customWidth="1"/>
    <col min="4909" max="4909" width="7.875" style="1633" customWidth="1"/>
    <col min="4910" max="5120" width="9" style="1633"/>
    <col min="5121" max="5121" width="42" style="1633" customWidth="1"/>
    <col min="5122" max="5122" width="6.25" style="1633" customWidth="1"/>
    <col min="5123" max="5123" width="7.875" style="1633" customWidth="1"/>
    <col min="5124" max="5124" width="6.25" style="1633" customWidth="1"/>
    <col min="5125" max="5125" width="4.625" style="1633" customWidth="1"/>
    <col min="5126" max="5126" width="42" style="1633" customWidth="1"/>
    <col min="5127" max="5127" width="7.875" style="1633" customWidth="1"/>
    <col min="5128" max="5128" width="0" style="1633" hidden="1" customWidth="1"/>
    <col min="5129" max="5129" width="17.75" style="1633" customWidth="1"/>
    <col min="5130" max="5130" width="11.125" style="1633" customWidth="1"/>
    <col min="5131" max="5131" width="10" style="1633" customWidth="1"/>
    <col min="5132" max="5132" width="19.875" style="1633" customWidth="1"/>
    <col min="5133" max="5146" width="0" style="1633" hidden="1" customWidth="1"/>
    <col min="5147" max="5147" width="10.25" style="1633" customWidth="1"/>
    <col min="5148" max="5149" width="0" style="1633" hidden="1" customWidth="1"/>
    <col min="5150" max="5150" width="31" style="1633" customWidth="1"/>
    <col min="5151" max="5154" width="0" style="1633" hidden="1" customWidth="1"/>
    <col min="5155" max="5155" width="16" style="1633" customWidth="1"/>
    <col min="5156" max="5156" width="0" style="1633" hidden="1" customWidth="1"/>
    <col min="5157" max="5157" width="14.25" style="1633" customWidth="1"/>
    <col min="5158" max="5159" width="0" style="1633" hidden="1" customWidth="1"/>
    <col min="5160" max="5160" width="6.25" style="1633" customWidth="1"/>
    <col min="5161" max="5161" width="7.875" style="1633" customWidth="1"/>
    <col min="5162" max="5164" width="0" style="1633" hidden="1" customWidth="1"/>
    <col min="5165" max="5165" width="7.875" style="1633" customWidth="1"/>
    <col min="5166" max="5376" width="9" style="1633"/>
    <col min="5377" max="5377" width="42" style="1633" customWidth="1"/>
    <col min="5378" max="5378" width="6.25" style="1633" customWidth="1"/>
    <col min="5379" max="5379" width="7.875" style="1633" customWidth="1"/>
    <col min="5380" max="5380" width="6.25" style="1633" customWidth="1"/>
    <col min="5381" max="5381" width="4.625" style="1633" customWidth="1"/>
    <col min="5382" max="5382" width="42" style="1633" customWidth="1"/>
    <col min="5383" max="5383" width="7.875" style="1633" customWidth="1"/>
    <col min="5384" max="5384" width="0" style="1633" hidden="1" customWidth="1"/>
    <col min="5385" max="5385" width="17.75" style="1633" customWidth="1"/>
    <col min="5386" max="5386" width="11.125" style="1633" customWidth="1"/>
    <col min="5387" max="5387" width="10" style="1633" customWidth="1"/>
    <col min="5388" max="5388" width="19.875" style="1633" customWidth="1"/>
    <col min="5389" max="5402" width="0" style="1633" hidden="1" customWidth="1"/>
    <col min="5403" max="5403" width="10.25" style="1633" customWidth="1"/>
    <col min="5404" max="5405" width="0" style="1633" hidden="1" customWidth="1"/>
    <col min="5406" max="5406" width="31" style="1633" customWidth="1"/>
    <col min="5407" max="5410" width="0" style="1633" hidden="1" customWidth="1"/>
    <col min="5411" max="5411" width="16" style="1633" customWidth="1"/>
    <col min="5412" max="5412" width="0" style="1633" hidden="1" customWidth="1"/>
    <col min="5413" max="5413" width="14.25" style="1633" customWidth="1"/>
    <col min="5414" max="5415" width="0" style="1633" hidden="1" customWidth="1"/>
    <col min="5416" max="5416" width="6.25" style="1633" customWidth="1"/>
    <col min="5417" max="5417" width="7.875" style="1633" customWidth="1"/>
    <col min="5418" max="5420" width="0" style="1633" hidden="1" customWidth="1"/>
    <col min="5421" max="5421" width="7.875" style="1633" customWidth="1"/>
    <col min="5422" max="5632" width="9" style="1633"/>
    <col min="5633" max="5633" width="42" style="1633" customWidth="1"/>
    <col min="5634" max="5634" width="6.25" style="1633" customWidth="1"/>
    <col min="5635" max="5635" width="7.875" style="1633" customWidth="1"/>
    <col min="5636" max="5636" width="6.25" style="1633" customWidth="1"/>
    <col min="5637" max="5637" width="4.625" style="1633" customWidth="1"/>
    <col min="5638" max="5638" width="42" style="1633" customWidth="1"/>
    <col min="5639" max="5639" width="7.875" style="1633" customWidth="1"/>
    <col min="5640" max="5640" width="0" style="1633" hidden="1" customWidth="1"/>
    <col min="5641" max="5641" width="17.75" style="1633" customWidth="1"/>
    <col min="5642" max="5642" width="11.125" style="1633" customWidth="1"/>
    <col min="5643" max="5643" width="10" style="1633" customWidth="1"/>
    <col min="5644" max="5644" width="19.875" style="1633" customWidth="1"/>
    <col min="5645" max="5658" width="0" style="1633" hidden="1" customWidth="1"/>
    <col min="5659" max="5659" width="10.25" style="1633" customWidth="1"/>
    <col min="5660" max="5661" width="0" style="1633" hidden="1" customWidth="1"/>
    <col min="5662" max="5662" width="31" style="1633" customWidth="1"/>
    <col min="5663" max="5666" width="0" style="1633" hidden="1" customWidth="1"/>
    <col min="5667" max="5667" width="16" style="1633" customWidth="1"/>
    <col min="5668" max="5668" width="0" style="1633" hidden="1" customWidth="1"/>
    <col min="5669" max="5669" width="14.25" style="1633" customWidth="1"/>
    <col min="5670" max="5671" width="0" style="1633" hidden="1" customWidth="1"/>
    <col min="5672" max="5672" width="6.25" style="1633" customWidth="1"/>
    <col min="5673" max="5673" width="7.875" style="1633" customWidth="1"/>
    <col min="5674" max="5676" width="0" style="1633" hidden="1" customWidth="1"/>
    <col min="5677" max="5677" width="7.875" style="1633" customWidth="1"/>
    <col min="5678" max="5888" width="9" style="1633"/>
    <col min="5889" max="5889" width="42" style="1633" customWidth="1"/>
    <col min="5890" max="5890" width="6.25" style="1633" customWidth="1"/>
    <col min="5891" max="5891" width="7.875" style="1633" customWidth="1"/>
    <col min="5892" max="5892" width="6.25" style="1633" customWidth="1"/>
    <col min="5893" max="5893" width="4.625" style="1633" customWidth="1"/>
    <col min="5894" max="5894" width="42" style="1633" customWidth="1"/>
    <col min="5895" max="5895" width="7.875" style="1633" customWidth="1"/>
    <col min="5896" max="5896" width="0" style="1633" hidden="1" customWidth="1"/>
    <col min="5897" max="5897" width="17.75" style="1633" customWidth="1"/>
    <col min="5898" max="5898" width="11.125" style="1633" customWidth="1"/>
    <col min="5899" max="5899" width="10" style="1633" customWidth="1"/>
    <col min="5900" max="5900" width="19.875" style="1633" customWidth="1"/>
    <col min="5901" max="5914" width="0" style="1633" hidden="1" customWidth="1"/>
    <col min="5915" max="5915" width="10.25" style="1633" customWidth="1"/>
    <col min="5916" max="5917" width="0" style="1633" hidden="1" customWidth="1"/>
    <col min="5918" max="5918" width="31" style="1633" customWidth="1"/>
    <col min="5919" max="5922" width="0" style="1633" hidden="1" customWidth="1"/>
    <col min="5923" max="5923" width="16" style="1633" customWidth="1"/>
    <col min="5924" max="5924" width="0" style="1633" hidden="1" customWidth="1"/>
    <col min="5925" max="5925" width="14.25" style="1633" customWidth="1"/>
    <col min="5926" max="5927" width="0" style="1633" hidden="1" customWidth="1"/>
    <col min="5928" max="5928" width="6.25" style="1633" customWidth="1"/>
    <col min="5929" max="5929" width="7.875" style="1633" customWidth="1"/>
    <col min="5930" max="5932" width="0" style="1633" hidden="1" customWidth="1"/>
    <col min="5933" max="5933" width="7.875" style="1633" customWidth="1"/>
    <col min="5934" max="6144" width="9" style="1633"/>
    <col min="6145" max="6145" width="42" style="1633" customWidth="1"/>
    <col min="6146" max="6146" width="6.25" style="1633" customWidth="1"/>
    <col min="6147" max="6147" width="7.875" style="1633" customWidth="1"/>
    <col min="6148" max="6148" width="6.25" style="1633" customWidth="1"/>
    <col min="6149" max="6149" width="4.625" style="1633" customWidth="1"/>
    <col min="6150" max="6150" width="42" style="1633" customWidth="1"/>
    <col min="6151" max="6151" width="7.875" style="1633" customWidth="1"/>
    <col min="6152" max="6152" width="0" style="1633" hidden="1" customWidth="1"/>
    <col min="6153" max="6153" width="17.75" style="1633" customWidth="1"/>
    <col min="6154" max="6154" width="11.125" style="1633" customWidth="1"/>
    <col min="6155" max="6155" width="10" style="1633" customWidth="1"/>
    <col min="6156" max="6156" width="19.875" style="1633" customWidth="1"/>
    <col min="6157" max="6170" width="0" style="1633" hidden="1" customWidth="1"/>
    <col min="6171" max="6171" width="10.25" style="1633" customWidth="1"/>
    <col min="6172" max="6173" width="0" style="1633" hidden="1" customWidth="1"/>
    <col min="6174" max="6174" width="31" style="1633" customWidth="1"/>
    <col min="6175" max="6178" width="0" style="1633" hidden="1" customWidth="1"/>
    <col min="6179" max="6179" width="16" style="1633" customWidth="1"/>
    <col min="6180" max="6180" width="0" style="1633" hidden="1" customWidth="1"/>
    <col min="6181" max="6181" width="14.25" style="1633" customWidth="1"/>
    <col min="6182" max="6183" width="0" style="1633" hidden="1" customWidth="1"/>
    <col min="6184" max="6184" width="6.25" style="1633" customWidth="1"/>
    <col min="6185" max="6185" width="7.875" style="1633" customWidth="1"/>
    <col min="6186" max="6188" width="0" style="1633" hidden="1" customWidth="1"/>
    <col min="6189" max="6189" width="7.875" style="1633" customWidth="1"/>
    <col min="6190" max="6400" width="9" style="1633"/>
    <col min="6401" max="6401" width="42" style="1633" customWidth="1"/>
    <col min="6402" max="6402" width="6.25" style="1633" customWidth="1"/>
    <col min="6403" max="6403" width="7.875" style="1633" customWidth="1"/>
    <col min="6404" max="6404" width="6.25" style="1633" customWidth="1"/>
    <col min="6405" max="6405" width="4.625" style="1633" customWidth="1"/>
    <col min="6406" max="6406" width="42" style="1633" customWidth="1"/>
    <col min="6407" max="6407" width="7.875" style="1633" customWidth="1"/>
    <col min="6408" max="6408" width="0" style="1633" hidden="1" customWidth="1"/>
    <col min="6409" max="6409" width="17.75" style="1633" customWidth="1"/>
    <col min="6410" max="6410" width="11.125" style="1633" customWidth="1"/>
    <col min="6411" max="6411" width="10" style="1633" customWidth="1"/>
    <col min="6412" max="6412" width="19.875" style="1633" customWidth="1"/>
    <col min="6413" max="6426" width="0" style="1633" hidden="1" customWidth="1"/>
    <col min="6427" max="6427" width="10.25" style="1633" customWidth="1"/>
    <col min="6428" max="6429" width="0" style="1633" hidden="1" customWidth="1"/>
    <col min="6430" max="6430" width="31" style="1633" customWidth="1"/>
    <col min="6431" max="6434" width="0" style="1633" hidden="1" customWidth="1"/>
    <col min="6435" max="6435" width="16" style="1633" customWidth="1"/>
    <col min="6436" max="6436" width="0" style="1633" hidden="1" customWidth="1"/>
    <col min="6437" max="6437" width="14.25" style="1633" customWidth="1"/>
    <col min="6438" max="6439" width="0" style="1633" hidden="1" customWidth="1"/>
    <col min="6440" max="6440" width="6.25" style="1633" customWidth="1"/>
    <col min="6441" max="6441" width="7.875" style="1633" customWidth="1"/>
    <col min="6442" max="6444" width="0" style="1633" hidden="1" customWidth="1"/>
    <col min="6445" max="6445" width="7.875" style="1633" customWidth="1"/>
    <col min="6446" max="6656" width="9" style="1633"/>
    <col min="6657" max="6657" width="42" style="1633" customWidth="1"/>
    <col min="6658" max="6658" width="6.25" style="1633" customWidth="1"/>
    <col min="6659" max="6659" width="7.875" style="1633" customWidth="1"/>
    <col min="6660" max="6660" width="6.25" style="1633" customWidth="1"/>
    <col min="6661" max="6661" width="4.625" style="1633" customWidth="1"/>
    <col min="6662" max="6662" width="42" style="1633" customWidth="1"/>
    <col min="6663" max="6663" width="7.875" style="1633" customWidth="1"/>
    <col min="6664" max="6664" width="0" style="1633" hidden="1" customWidth="1"/>
    <col min="6665" max="6665" width="17.75" style="1633" customWidth="1"/>
    <col min="6666" max="6666" width="11.125" style="1633" customWidth="1"/>
    <col min="6667" max="6667" width="10" style="1633" customWidth="1"/>
    <col min="6668" max="6668" width="19.875" style="1633" customWidth="1"/>
    <col min="6669" max="6682" width="0" style="1633" hidden="1" customWidth="1"/>
    <col min="6683" max="6683" width="10.25" style="1633" customWidth="1"/>
    <col min="6684" max="6685" width="0" style="1633" hidden="1" customWidth="1"/>
    <col min="6686" max="6686" width="31" style="1633" customWidth="1"/>
    <col min="6687" max="6690" width="0" style="1633" hidden="1" customWidth="1"/>
    <col min="6691" max="6691" width="16" style="1633" customWidth="1"/>
    <col min="6692" max="6692" width="0" style="1633" hidden="1" customWidth="1"/>
    <col min="6693" max="6693" width="14.25" style="1633" customWidth="1"/>
    <col min="6694" max="6695" width="0" style="1633" hidden="1" customWidth="1"/>
    <col min="6696" max="6696" width="6.25" style="1633" customWidth="1"/>
    <col min="6697" max="6697" width="7.875" style="1633" customWidth="1"/>
    <col min="6698" max="6700" width="0" style="1633" hidden="1" customWidth="1"/>
    <col min="6701" max="6701" width="7.875" style="1633" customWidth="1"/>
    <col min="6702" max="6912" width="9" style="1633"/>
    <col min="6913" max="6913" width="42" style="1633" customWidth="1"/>
    <col min="6914" max="6914" width="6.25" style="1633" customWidth="1"/>
    <col min="6915" max="6915" width="7.875" style="1633" customWidth="1"/>
    <col min="6916" max="6916" width="6.25" style="1633" customWidth="1"/>
    <col min="6917" max="6917" width="4.625" style="1633" customWidth="1"/>
    <col min="6918" max="6918" width="42" style="1633" customWidth="1"/>
    <col min="6919" max="6919" width="7.875" style="1633" customWidth="1"/>
    <col min="6920" max="6920" width="0" style="1633" hidden="1" customWidth="1"/>
    <col min="6921" max="6921" width="17.75" style="1633" customWidth="1"/>
    <col min="6922" max="6922" width="11.125" style="1633" customWidth="1"/>
    <col min="6923" max="6923" width="10" style="1633" customWidth="1"/>
    <col min="6924" max="6924" width="19.875" style="1633" customWidth="1"/>
    <col min="6925" max="6938" width="0" style="1633" hidden="1" customWidth="1"/>
    <col min="6939" max="6939" width="10.25" style="1633" customWidth="1"/>
    <col min="6940" max="6941" width="0" style="1633" hidden="1" customWidth="1"/>
    <col min="6942" max="6942" width="31" style="1633" customWidth="1"/>
    <col min="6943" max="6946" width="0" style="1633" hidden="1" customWidth="1"/>
    <col min="6947" max="6947" width="16" style="1633" customWidth="1"/>
    <col min="6948" max="6948" width="0" style="1633" hidden="1" customWidth="1"/>
    <col min="6949" max="6949" width="14.25" style="1633" customWidth="1"/>
    <col min="6950" max="6951" width="0" style="1633" hidden="1" customWidth="1"/>
    <col min="6952" max="6952" width="6.25" style="1633" customWidth="1"/>
    <col min="6953" max="6953" width="7.875" style="1633" customWidth="1"/>
    <col min="6954" max="6956" width="0" style="1633" hidden="1" customWidth="1"/>
    <col min="6957" max="6957" width="7.875" style="1633" customWidth="1"/>
    <col min="6958" max="7168" width="9" style="1633"/>
    <col min="7169" max="7169" width="42" style="1633" customWidth="1"/>
    <col min="7170" max="7170" width="6.25" style="1633" customWidth="1"/>
    <col min="7171" max="7171" width="7.875" style="1633" customWidth="1"/>
    <col min="7172" max="7172" width="6.25" style="1633" customWidth="1"/>
    <col min="7173" max="7173" width="4.625" style="1633" customWidth="1"/>
    <col min="7174" max="7174" width="42" style="1633" customWidth="1"/>
    <col min="7175" max="7175" width="7.875" style="1633" customWidth="1"/>
    <col min="7176" max="7176" width="0" style="1633" hidden="1" customWidth="1"/>
    <col min="7177" max="7177" width="17.75" style="1633" customWidth="1"/>
    <col min="7178" max="7178" width="11.125" style="1633" customWidth="1"/>
    <col min="7179" max="7179" width="10" style="1633" customWidth="1"/>
    <col min="7180" max="7180" width="19.875" style="1633" customWidth="1"/>
    <col min="7181" max="7194" width="0" style="1633" hidden="1" customWidth="1"/>
    <col min="7195" max="7195" width="10.25" style="1633" customWidth="1"/>
    <col min="7196" max="7197" width="0" style="1633" hidden="1" customWidth="1"/>
    <col min="7198" max="7198" width="31" style="1633" customWidth="1"/>
    <col min="7199" max="7202" width="0" style="1633" hidden="1" customWidth="1"/>
    <col min="7203" max="7203" width="16" style="1633" customWidth="1"/>
    <col min="7204" max="7204" width="0" style="1633" hidden="1" customWidth="1"/>
    <col min="7205" max="7205" width="14.25" style="1633" customWidth="1"/>
    <col min="7206" max="7207" width="0" style="1633" hidden="1" customWidth="1"/>
    <col min="7208" max="7208" width="6.25" style="1633" customWidth="1"/>
    <col min="7209" max="7209" width="7.875" style="1633" customWidth="1"/>
    <col min="7210" max="7212" width="0" style="1633" hidden="1" customWidth="1"/>
    <col min="7213" max="7213" width="7.875" style="1633" customWidth="1"/>
    <col min="7214" max="7424" width="9" style="1633"/>
    <col min="7425" max="7425" width="42" style="1633" customWidth="1"/>
    <col min="7426" max="7426" width="6.25" style="1633" customWidth="1"/>
    <col min="7427" max="7427" width="7.875" style="1633" customWidth="1"/>
    <col min="7428" max="7428" width="6.25" style="1633" customWidth="1"/>
    <col min="7429" max="7429" width="4.625" style="1633" customWidth="1"/>
    <col min="7430" max="7430" width="42" style="1633" customWidth="1"/>
    <col min="7431" max="7431" width="7.875" style="1633" customWidth="1"/>
    <col min="7432" max="7432" width="0" style="1633" hidden="1" customWidth="1"/>
    <col min="7433" max="7433" width="17.75" style="1633" customWidth="1"/>
    <col min="7434" max="7434" width="11.125" style="1633" customWidth="1"/>
    <col min="7435" max="7435" width="10" style="1633" customWidth="1"/>
    <col min="7436" max="7436" width="19.875" style="1633" customWidth="1"/>
    <col min="7437" max="7450" width="0" style="1633" hidden="1" customWidth="1"/>
    <col min="7451" max="7451" width="10.25" style="1633" customWidth="1"/>
    <col min="7452" max="7453" width="0" style="1633" hidden="1" customWidth="1"/>
    <col min="7454" max="7454" width="31" style="1633" customWidth="1"/>
    <col min="7455" max="7458" width="0" style="1633" hidden="1" customWidth="1"/>
    <col min="7459" max="7459" width="16" style="1633" customWidth="1"/>
    <col min="7460" max="7460" width="0" style="1633" hidden="1" customWidth="1"/>
    <col min="7461" max="7461" width="14.25" style="1633" customWidth="1"/>
    <col min="7462" max="7463" width="0" style="1633" hidden="1" customWidth="1"/>
    <col min="7464" max="7464" width="6.25" style="1633" customWidth="1"/>
    <col min="7465" max="7465" width="7.875" style="1633" customWidth="1"/>
    <col min="7466" max="7468" width="0" style="1633" hidden="1" customWidth="1"/>
    <col min="7469" max="7469" width="7.875" style="1633" customWidth="1"/>
    <col min="7470" max="7680" width="9" style="1633"/>
    <col min="7681" max="7681" width="42" style="1633" customWidth="1"/>
    <col min="7682" max="7682" width="6.25" style="1633" customWidth="1"/>
    <col min="7683" max="7683" width="7.875" style="1633" customWidth="1"/>
    <col min="7684" max="7684" width="6.25" style="1633" customWidth="1"/>
    <col min="7685" max="7685" width="4.625" style="1633" customWidth="1"/>
    <col min="7686" max="7686" width="42" style="1633" customWidth="1"/>
    <col min="7687" max="7687" width="7.875" style="1633" customWidth="1"/>
    <col min="7688" max="7688" width="0" style="1633" hidden="1" customWidth="1"/>
    <col min="7689" max="7689" width="17.75" style="1633" customWidth="1"/>
    <col min="7690" max="7690" width="11.125" style="1633" customWidth="1"/>
    <col min="7691" max="7691" width="10" style="1633" customWidth="1"/>
    <col min="7692" max="7692" width="19.875" style="1633" customWidth="1"/>
    <col min="7693" max="7706" width="0" style="1633" hidden="1" customWidth="1"/>
    <col min="7707" max="7707" width="10.25" style="1633" customWidth="1"/>
    <col min="7708" max="7709" width="0" style="1633" hidden="1" customWidth="1"/>
    <col min="7710" max="7710" width="31" style="1633" customWidth="1"/>
    <col min="7711" max="7714" width="0" style="1633" hidden="1" customWidth="1"/>
    <col min="7715" max="7715" width="16" style="1633" customWidth="1"/>
    <col min="7716" max="7716" width="0" style="1633" hidden="1" customWidth="1"/>
    <col min="7717" max="7717" width="14.25" style="1633" customWidth="1"/>
    <col min="7718" max="7719" width="0" style="1633" hidden="1" customWidth="1"/>
    <col min="7720" max="7720" width="6.25" style="1633" customWidth="1"/>
    <col min="7721" max="7721" width="7.875" style="1633" customWidth="1"/>
    <col min="7722" max="7724" width="0" style="1633" hidden="1" customWidth="1"/>
    <col min="7725" max="7725" width="7.875" style="1633" customWidth="1"/>
    <col min="7726" max="7936" width="9" style="1633"/>
    <col min="7937" max="7937" width="42" style="1633" customWidth="1"/>
    <col min="7938" max="7938" width="6.25" style="1633" customWidth="1"/>
    <col min="7939" max="7939" width="7.875" style="1633" customWidth="1"/>
    <col min="7940" max="7940" width="6.25" style="1633" customWidth="1"/>
    <col min="7941" max="7941" width="4.625" style="1633" customWidth="1"/>
    <col min="7942" max="7942" width="42" style="1633" customWidth="1"/>
    <col min="7943" max="7943" width="7.875" style="1633" customWidth="1"/>
    <col min="7944" max="7944" width="0" style="1633" hidden="1" customWidth="1"/>
    <col min="7945" max="7945" width="17.75" style="1633" customWidth="1"/>
    <col min="7946" max="7946" width="11.125" style="1633" customWidth="1"/>
    <col min="7947" max="7947" width="10" style="1633" customWidth="1"/>
    <col min="7948" max="7948" width="19.875" style="1633" customWidth="1"/>
    <col min="7949" max="7962" width="0" style="1633" hidden="1" customWidth="1"/>
    <col min="7963" max="7963" width="10.25" style="1633" customWidth="1"/>
    <col min="7964" max="7965" width="0" style="1633" hidden="1" customWidth="1"/>
    <col min="7966" max="7966" width="31" style="1633" customWidth="1"/>
    <col min="7967" max="7970" width="0" style="1633" hidden="1" customWidth="1"/>
    <col min="7971" max="7971" width="16" style="1633" customWidth="1"/>
    <col min="7972" max="7972" width="0" style="1633" hidden="1" customWidth="1"/>
    <col min="7973" max="7973" width="14.25" style="1633" customWidth="1"/>
    <col min="7974" max="7975" width="0" style="1633" hidden="1" customWidth="1"/>
    <col min="7976" max="7976" width="6.25" style="1633" customWidth="1"/>
    <col min="7977" max="7977" width="7.875" style="1633" customWidth="1"/>
    <col min="7978" max="7980" width="0" style="1633" hidden="1" customWidth="1"/>
    <col min="7981" max="7981" width="7.875" style="1633" customWidth="1"/>
    <col min="7982" max="8192" width="9" style="1633"/>
    <col min="8193" max="8193" width="42" style="1633" customWidth="1"/>
    <col min="8194" max="8194" width="6.25" style="1633" customWidth="1"/>
    <col min="8195" max="8195" width="7.875" style="1633" customWidth="1"/>
    <col min="8196" max="8196" width="6.25" style="1633" customWidth="1"/>
    <col min="8197" max="8197" width="4.625" style="1633" customWidth="1"/>
    <col min="8198" max="8198" width="42" style="1633" customWidth="1"/>
    <col min="8199" max="8199" width="7.875" style="1633" customWidth="1"/>
    <col min="8200" max="8200" width="0" style="1633" hidden="1" customWidth="1"/>
    <col min="8201" max="8201" width="17.75" style="1633" customWidth="1"/>
    <col min="8202" max="8202" width="11.125" style="1633" customWidth="1"/>
    <col min="8203" max="8203" width="10" style="1633" customWidth="1"/>
    <col min="8204" max="8204" width="19.875" style="1633" customWidth="1"/>
    <col min="8205" max="8218" width="0" style="1633" hidden="1" customWidth="1"/>
    <col min="8219" max="8219" width="10.25" style="1633" customWidth="1"/>
    <col min="8220" max="8221" width="0" style="1633" hidden="1" customWidth="1"/>
    <col min="8222" max="8222" width="31" style="1633" customWidth="1"/>
    <col min="8223" max="8226" width="0" style="1633" hidden="1" customWidth="1"/>
    <col min="8227" max="8227" width="16" style="1633" customWidth="1"/>
    <col min="8228" max="8228" width="0" style="1633" hidden="1" customWidth="1"/>
    <col min="8229" max="8229" width="14.25" style="1633" customWidth="1"/>
    <col min="8230" max="8231" width="0" style="1633" hidden="1" customWidth="1"/>
    <col min="8232" max="8232" width="6.25" style="1633" customWidth="1"/>
    <col min="8233" max="8233" width="7.875" style="1633" customWidth="1"/>
    <col min="8234" max="8236" width="0" style="1633" hidden="1" customWidth="1"/>
    <col min="8237" max="8237" width="7.875" style="1633" customWidth="1"/>
    <col min="8238" max="8448" width="9" style="1633"/>
    <col min="8449" max="8449" width="42" style="1633" customWidth="1"/>
    <col min="8450" max="8450" width="6.25" style="1633" customWidth="1"/>
    <col min="8451" max="8451" width="7.875" style="1633" customWidth="1"/>
    <col min="8452" max="8452" width="6.25" style="1633" customWidth="1"/>
    <col min="8453" max="8453" width="4.625" style="1633" customWidth="1"/>
    <col min="8454" max="8454" width="42" style="1633" customWidth="1"/>
    <col min="8455" max="8455" width="7.875" style="1633" customWidth="1"/>
    <col min="8456" max="8456" width="0" style="1633" hidden="1" customWidth="1"/>
    <col min="8457" max="8457" width="17.75" style="1633" customWidth="1"/>
    <col min="8458" max="8458" width="11.125" style="1633" customWidth="1"/>
    <col min="8459" max="8459" width="10" style="1633" customWidth="1"/>
    <col min="8460" max="8460" width="19.875" style="1633" customWidth="1"/>
    <col min="8461" max="8474" width="0" style="1633" hidden="1" customWidth="1"/>
    <col min="8475" max="8475" width="10.25" style="1633" customWidth="1"/>
    <col min="8476" max="8477" width="0" style="1633" hidden="1" customWidth="1"/>
    <col min="8478" max="8478" width="31" style="1633" customWidth="1"/>
    <col min="8479" max="8482" width="0" style="1633" hidden="1" customWidth="1"/>
    <col min="8483" max="8483" width="16" style="1633" customWidth="1"/>
    <col min="8484" max="8484" width="0" style="1633" hidden="1" customWidth="1"/>
    <col min="8485" max="8485" width="14.25" style="1633" customWidth="1"/>
    <col min="8486" max="8487" width="0" style="1633" hidden="1" customWidth="1"/>
    <col min="8488" max="8488" width="6.25" style="1633" customWidth="1"/>
    <col min="8489" max="8489" width="7.875" style="1633" customWidth="1"/>
    <col min="8490" max="8492" width="0" style="1633" hidden="1" customWidth="1"/>
    <col min="8493" max="8493" width="7.875" style="1633" customWidth="1"/>
    <col min="8494" max="8704" width="9" style="1633"/>
    <col min="8705" max="8705" width="42" style="1633" customWidth="1"/>
    <col min="8706" max="8706" width="6.25" style="1633" customWidth="1"/>
    <col min="8707" max="8707" width="7.875" style="1633" customWidth="1"/>
    <col min="8708" max="8708" width="6.25" style="1633" customWidth="1"/>
    <col min="8709" max="8709" width="4.625" style="1633" customWidth="1"/>
    <col min="8710" max="8710" width="42" style="1633" customWidth="1"/>
    <col min="8711" max="8711" width="7.875" style="1633" customWidth="1"/>
    <col min="8712" max="8712" width="0" style="1633" hidden="1" customWidth="1"/>
    <col min="8713" max="8713" width="17.75" style="1633" customWidth="1"/>
    <col min="8714" max="8714" width="11.125" style="1633" customWidth="1"/>
    <col min="8715" max="8715" width="10" style="1633" customWidth="1"/>
    <col min="8716" max="8716" width="19.875" style="1633" customWidth="1"/>
    <col min="8717" max="8730" width="0" style="1633" hidden="1" customWidth="1"/>
    <col min="8731" max="8731" width="10.25" style="1633" customWidth="1"/>
    <col min="8732" max="8733" width="0" style="1633" hidden="1" customWidth="1"/>
    <col min="8734" max="8734" width="31" style="1633" customWidth="1"/>
    <col min="8735" max="8738" width="0" style="1633" hidden="1" customWidth="1"/>
    <col min="8739" max="8739" width="16" style="1633" customWidth="1"/>
    <col min="8740" max="8740" width="0" style="1633" hidden="1" customWidth="1"/>
    <col min="8741" max="8741" width="14.25" style="1633" customWidth="1"/>
    <col min="8742" max="8743" width="0" style="1633" hidden="1" customWidth="1"/>
    <col min="8744" max="8744" width="6.25" style="1633" customWidth="1"/>
    <col min="8745" max="8745" width="7.875" style="1633" customWidth="1"/>
    <col min="8746" max="8748" width="0" style="1633" hidden="1" customWidth="1"/>
    <col min="8749" max="8749" width="7.875" style="1633" customWidth="1"/>
    <col min="8750" max="8960" width="9" style="1633"/>
    <col min="8961" max="8961" width="42" style="1633" customWidth="1"/>
    <col min="8962" max="8962" width="6.25" style="1633" customWidth="1"/>
    <col min="8963" max="8963" width="7.875" style="1633" customWidth="1"/>
    <col min="8964" max="8964" width="6.25" style="1633" customWidth="1"/>
    <col min="8965" max="8965" width="4.625" style="1633" customWidth="1"/>
    <col min="8966" max="8966" width="42" style="1633" customWidth="1"/>
    <col min="8967" max="8967" width="7.875" style="1633" customWidth="1"/>
    <col min="8968" max="8968" width="0" style="1633" hidden="1" customWidth="1"/>
    <col min="8969" max="8969" width="17.75" style="1633" customWidth="1"/>
    <col min="8970" max="8970" width="11.125" style="1633" customWidth="1"/>
    <col min="8971" max="8971" width="10" style="1633" customWidth="1"/>
    <col min="8972" max="8972" width="19.875" style="1633" customWidth="1"/>
    <col min="8973" max="8986" width="0" style="1633" hidden="1" customWidth="1"/>
    <col min="8987" max="8987" width="10.25" style="1633" customWidth="1"/>
    <col min="8988" max="8989" width="0" style="1633" hidden="1" customWidth="1"/>
    <col min="8990" max="8990" width="31" style="1633" customWidth="1"/>
    <col min="8991" max="8994" width="0" style="1633" hidden="1" customWidth="1"/>
    <col min="8995" max="8995" width="16" style="1633" customWidth="1"/>
    <col min="8996" max="8996" width="0" style="1633" hidden="1" customWidth="1"/>
    <col min="8997" max="8997" width="14.25" style="1633" customWidth="1"/>
    <col min="8998" max="8999" width="0" style="1633" hidden="1" customWidth="1"/>
    <col min="9000" max="9000" width="6.25" style="1633" customWidth="1"/>
    <col min="9001" max="9001" width="7.875" style="1633" customWidth="1"/>
    <col min="9002" max="9004" width="0" style="1633" hidden="1" customWidth="1"/>
    <col min="9005" max="9005" width="7.875" style="1633" customWidth="1"/>
    <col min="9006" max="9216" width="9" style="1633"/>
    <col min="9217" max="9217" width="42" style="1633" customWidth="1"/>
    <col min="9218" max="9218" width="6.25" style="1633" customWidth="1"/>
    <col min="9219" max="9219" width="7.875" style="1633" customWidth="1"/>
    <col min="9220" max="9220" width="6.25" style="1633" customWidth="1"/>
    <col min="9221" max="9221" width="4.625" style="1633" customWidth="1"/>
    <col min="9222" max="9222" width="42" style="1633" customWidth="1"/>
    <col min="9223" max="9223" width="7.875" style="1633" customWidth="1"/>
    <col min="9224" max="9224" width="0" style="1633" hidden="1" customWidth="1"/>
    <col min="9225" max="9225" width="17.75" style="1633" customWidth="1"/>
    <col min="9226" max="9226" width="11.125" style="1633" customWidth="1"/>
    <col min="9227" max="9227" width="10" style="1633" customWidth="1"/>
    <col min="9228" max="9228" width="19.875" style="1633" customWidth="1"/>
    <col min="9229" max="9242" width="0" style="1633" hidden="1" customWidth="1"/>
    <col min="9243" max="9243" width="10.25" style="1633" customWidth="1"/>
    <col min="9244" max="9245" width="0" style="1633" hidden="1" customWidth="1"/>
    <col min="9246" max="9246" width="31" style="1633" customWidth="1"/>
    <col min="9247" max="9250" width="0" style="1633" hidden="1" customWidth="1"/>
    <col min="9251" max="9251" width="16" style="1633" customWidth="1"/>
    <col min="9252" max="9252" width="0" style="1633" hidden="1" customWidth="1"/>
    <col min="9253" max="9253" width="14.25" style="1633" customWidth="1"/>
    <col min="9254" max="9255" width="0" style="1633" hidden="1" customWidth="1"/>
    <col min="9256" max="9256" width="6.25" style="1633" customWidth="1"/>
    <col min="9257" max="9257" width="7.875" style="1633" customWidth="1"/>
    <col min="9258" max="9260" width="0" style="1633" hidden="1" customWidth="1"/>
    <col min="9261" max="9261" width="7.875" style="1633" customWidth="1"/>
    <col min="9262" max="9472" width="9" style="1633"/>
    <col min="9473" max="9473" width="42" style="1633" customWidth="1"/>
    <col min="9474" max="9474" width="6.25" style="1633" customWidth="1"/>
    <col min="9475" max="9475" width="7.875" style="1633" customWidth="1"/>
    <col min="9476" max="9476" width="6.25" style="1633" customWidth="1"/>
    <col min="9477" max="9477" width="4.625" style="1633" customWidth="1"/>
    <col min="9478" max="9478" width="42" style="1633" customWidth="1"/>
    <col min="9479" max="9479" width="7.875" style="1633" customWidth="1"/>
    <col min="9480" max="9480" width="0" style="1633" hidden="1" customWidth="1"/>
    <col min="9481" max="9481" width="17.75" style="1633" customWidth="1"/>
    <col min="9482" max="9482" width="11.125" style="1633" customWidth="1"/>
    <col min="9483" max="9483" width="10" style="1633" customWidth="1"/>
    <col min="9484" max="9484" width="19.875" style="1633" customWidth="1"/>
    <col min="9485" max="9498" width="0" style="1633" hidden="1" customWidth="1"/>
    <col min="9499" max="9499" width="10.25" style="1633" customWidth="1"/>
    <col min="9500" max="9501" width="0" style="1633" hidden="1" customWidth="1"/>
    <col min="9502" max="9502" width="31" style="1633" customWidth="1"/>
    <col min="9503" max="9506" width="0" style="1633" hidden="1" customWidth="1"/>
    <col min="9507" max="9507" width="16" style="1633" customWidth="1"/>
    <col min="9508" max="9508" width="0" style="1633" hidden="1" customWidth="1"/>
    <col min="9509" max="9509" width="14.25" style="1633" customWidth="1"/>
    <col min="9510" max="9511" width="0" style="1633" hidden="1" customWidth="1"/>
    <col min="9512" max="9512" width="6.25" style="1633" customWidth="1"/>
    <col min="9513" max="9513" width="7.875" style="1633" customWidth="1"/>
    <col min="9514" max="9516" width="0" style="1633" hidden="1" customWidth="1"/>
    <col min="9517" max="9517" width="7.875" style="1633" customWidth="1"/>
    <col min="9518" max="9728" width="9" style="1633"/>
    <col min="9729" max="9729" width="42" style="1633" customWidth="1"/>
    <col min="9730" max="9730" width="6.25" style="1633" customWidth="1"/>
    <col min="9731" max="9731" width="7.875" style="1633" customWidth="1"/>
    <col min="9732" max="9732" width="6.25" style="1633" customWidth="1"/>
    <col min="9733" max="9733" width="4.625" style="1633" customWidth="1"/>
    <col min="9734" max="9734" width="42" style="1633" customWidth="1"/>
    <col min="9735" max="9735" width="7.875" style="1633" customWidth="1"/>
    <col min="9736" max="9736" width="0" style="1633" hidden="1" customWidth="1"/>
    <col min="9737" max="9737" width="17.75" style="1633" customWidth="1"/>
    <col min="9738" max="9738" width="11.125" style="1633" customWidth="1"/>
    <col min="9739" max="9739" width="10" style="1633" customWidth="1"/>
    <col min="9740" max="9740" width="19.875" style="1633" customWidth="1"/>
    <col min="9741" max="9754" width="0" style="1633" hidden="1" customWidth="1"/>
    <col min="9755" max="9755" width="10.25" style="1633" customWidth="1"/>
    <col min="9756" max="9757" width="0" style="1633" hidden="1" customWidth="1"/>
    <col min="9758" max="9758" width="31" style="1633" customWidth="1"/>
    <col min="9759" max="9762" width="0" style="1633" hidden="1" customWidth="1"/>
    <col min="9763" max="9763" width="16" style="1633" customWidth="1"/>
    <col min="9764" max="9764" width="0" style="1633" hidden="1" customWidth="1"/>
    <col min="9765" max="9765" width="14.25" style="1633" customWidth="1"/>
    <col min="9766" max="9767" width="0" style="1633" hidden="1" customWidth="1"/>
    <col min="9768" max="9768" width="6.25" style="1633" customWidth="1"/>
    <col min="9769" max="9769" width="7.875" style="1633" customWidth="1"/>
    <col min="9770" max="9772" width="0" style="1633" hidden="1" customWidth="1"/>
    <col min="9773" max="9773" width="7.875" style="1633" customWidth="1"/>
    <col min="9774" max="9984" width="9" style="1633"/>
    <col min="9985" max="9985" width="42" style="1633" customWidth="1"/>
    <col min="9986" max="9986" width="6.25" style="1633" customWidth="1"/>
    <col min="9987" max="9987" width="7.875" style="1633" customWidth="1"/>
    <col min="9988" max="9988" width="6.25" style="1633" customWidth="1"/>
    <col min="9989" max="9989" width="4.625" style="1633" customWidth="1"/>
    <col min="9990" max="9990" width="42" style="1633" customWidth="1"/>
    <col min="9991" max="9991" width="7.875" style="1633" customWidth="1"/>
    <col min="9992" max="9992" width="0" style="1633" hidden="1" customWidth="1"/>
    <col min="9993" max="9993" width="17.75" style="1633" customWidth="1"/>
    <col min="9994" max="9994" width="11.125" style="1633" customWidth="1"/>
    <col min="9995" max="9995" width="10" style="1633" customWidth="1"/>
    <col min="9996" max="9996" width="19.875" style="1633" customWidth="1"/>
    <col min="9997" max="10010" width="0" style="1633" hidden="1" customWidth="1"/>
    <col min="10011" max="10011" width="10.25" style="1633" customWidth="1"/>
    <col min="10012" max="10013" width="0" style="1633" hidden="1" customWidth="1"/>
    <col min="10014" max="10014" width="31" style="1633" customWidth="1"/>
    <col min="10015" max="10018" width="0" style="1633" hidden="1" customWidth="1"/>
    <col min="10019" max="10019" width="16" style="1633" customWidth="1"/>
    <col min="10020" max="10020" width="0" style="1633" hidden="1" customWidth="1"/>
    <col min="10021" max="10021" width="14.25" style="1633" customWidth="1"/>
    <col min="10022" max="10023" width="0" style="1633" hidden="1" customWidth="1"/>
    <col min="10024" max="10024" width="6.25" style="1633" customWidth="1"/>
    <col min="10025" max="10025" width="7.875" style="1633" customWidth="1"/>
    <col min="10026" max="10028" width="0" style="1633" hidden="1" customWidth="1"/>
    <col min="10029" max="10029" width="7.875" style="1633" customWidth="1"/>
    <col min="10030" max="10240" width="9" style="1633"/>
    <col min="10241" max="10241" width="42" style="1633" customWidth="1"/>
    <col min="10242" max="10242" width="6.25" style="1633" customWidth="1"/>
    <col min="10243" max="10243" width="7.875" style="1633" customWidth="1"/>
    <col min="10244" max="10244" width="6.25" style="1633" customWidth="1"/>
    <col min="10245" max="10245" width="4.625" style="1633" customWidth="1"/>
    <col min="10246" max="10246" width="42" style="1633" customWidth="1"/>
    <col min="10247" max="10247" width="7.875" style="1633" customWidth="1"/>
    <col min="10248" max="10248" width="0" style="1633" hidden="1" customWidth="1"/>
    <col min="10249" max="10249" width="17.75" style="1633" customWidth="1"/>
    <col min="10250" max="10250" width="11.125" style="1633" customWidth="1"/>
    <col min="10251" max="10251" width="10" style="1633" customWidth="1"/>
    <col min="10252" max="10252" width="19.875" style="1633" customWidth="1"/>
    <col min="10253" max="10266" width="0" style="1633" hidden="1" customWidth="1"/>
    <col min="10267" max="10267" width="10.25" style="1633" customWidth="1"/>
    <col min="10268" max="10269" width="0" style="1633" hidden="1" customWidth="1"/>
    <col min="10270" max="10270" width="31" style="1633" customWidth="1"/>
    <col min="10271" max="10274" width="0" style="1633" hidden="1" customWidth="1"/>
    <col min="10275" max="10275" width="16" style="1633" customWidth="1"/>
    <col min="10276" max="10276" width="0" style="1633" hidden="1" customWidth="1"/>
    <col min="10277" max="10277" width="14.25" style="1633" customWidth="1"/>
    <col min="10278" max="10279" width="0" style="1633" hidden="1" customWidth="1"/>
    <col min="10280" max="10280" width="6.25" style="1633" customWidth="1"/>
    <col min="10281" max="10281" width="7.875" style="1633" customWidth="1"/>
    <col min="10282" max="10284" width="0" style="1633" hidden="1" customWidth="1"/>
    <col min="10285" max="10285" width="7.875" style="1633" customWidth="1"/>
    <col min="10286" max="10496" width="9" style="1633"/>
    <col min="10497" max="10497" width="42" style="1633" customWidth="1"/>
    <col min="10498" max="10498" width="6.25" style="1633" customWidth="1"/>
    <col min="10499" max="10499" width="7.875" style="1633" customWidth="1"/>
    <col min="10500" max="10500" width="6.25" style="1633" customWidth="1"/>
    <col min="10501" max="10501" width="4.625" style="1633" customWidth="1"/>
    <col min="10502" max="10502" width="42" style="1633" customWidth="1"/>
    <col min="10503" max="10503" width="7.875" style="1633" customWidth="1"/>
    <col min="10504" max="10504" width="0" style="1633" hidden="1" customWidth="1"/>
    <col min="10505" max="10505" width="17.75" style="1633" customWidth="1"/>
    <col min="10506" max="10506" width="11.125" style="1633" customWidth="1"/>
    <col min="10507" max="10507" width="10" style="1633" customWidth="1"/>
    <col min="10508" max="10508" width="19.875" style="1633" customWidth="1"/>
    <col min="10509" max="10522" width="0" style="1633" hidden="1" customWidth="1"/>
    <col min="10523" max="10523" width="10.25" style="1633" customWidth="1"/>
    <col min="10524" max="10525" width="0" style="1633" hidden="1" customWidth="1"/>
    <col min="10526" max="10526" width="31" style="1633" customWidth="1"/>
    <col min="10527" max="10530" width="0" style="1633" hidden="1" customWidth="1"/>
    <col min="10531" max="10531" width="16" style="1633" customWidth="1"/>
    <col min="10532" max="10532" width="0" style="1633" hidden="1" customWidth="1"/>
    <col min="10533" max="10533" width="14.25" style="1633" customWidth="1"/>
    <col min="10534" max="10535" width="0" style="1633" hidden="1" customWidth="1"/>
    <col min="10536" max="10536" width="6.25" style="1633" customWidth="1"/>
    <col min="10537" max="10537" width="7.875" style="1633" customWidth="1"/>
    <col min="10538" max="10540" width="0" style="1633" hidden="1" customWidth="1"/>
    <col min="10541" max="10541" width="7.875" style="1633" customWidth="1"/>
    <col min="10542" max="10752" width="9" style="1633"/>
    <col min="10753" max="10753" width="42" style="1633" customWidth="1"/>
    <col min="10754" max="10754" width="6.25" style="1633" customWidth="1"/>
    <col min="10755" max="10755" width="7.875" style="1633" customWidth="1"/>
    <col min="10756" max="10756" width="6.25" style="1633" customWidth="1"/>
    <col min="10757" max="10757" width="4.625" style="1633" customWidth="1"/>
    <col min="10758" max="10758" width="42" style="1633" customWidth="1"/>
    <col min="10759" max="10759" width="7.875" style="1633" customWidth="1"/>
    <col min="10760" max="10760" width="0" style="1633" hidden="1" customWidth="1"/>
    <col min="10761" max="10761" width="17.75" style="1633" customWidth="1"/>
    <col min="10762" max="10762" width="11.125" style="1633" customWidth="1"/>
    <col min="10763" max="10763" width="10" style="1633" customWidth="1"/>
    <col min="10764" max="10764" width="19.875" style="1633" customWidth="1"/>
    <col min="10765" max="10778" width="0" style="1633" hidden="1" customWidth="1"/>
    <col min="10779" max="10779" width="10.25" style="1633" customWidth="1"/>
    <col min="10780" max="10781" width="0" style="1633" hidden="1" customWidth="1"/>
    <col min="10782" max="10782" width="31" style="1633" customWidth="1"/>
    <col min="10783" max="10786" width="0" style="1633" hidden="1" customWidth="1"/>
    <col min="10787" max="10787" width="16" style="1633" customWidth="1"/>
    <col min="10788" max="10788" width="0" style="1633" hidden="1" customWidth="1"/>
    <col min="10789" max="10789" width="14.25" style="1633" customWidth="1"/>
    <col min="10790" max="10791" width="0" style="1633" hidden="1" customWidth="1"/>
    <col min="10792" max="10792" width="6.25" style="1633" customWidth="1"/>
    <col min="10793" max="10793" width="7.875" style="1633" customWidth="1"/>
    <col min="10794" max="10796" width="0" style="1633" hidden="1" customWidth="1"/>
    <col min="10797" max="10797" width="7.875" style="1633" customWidth="1"/>
    <col min="10798" max="11008" width="9" style="1633"/>
    <col min="11009" max="11009" width="42" style="1633" customWidth="1"/>
    <col min="11010" max="11010" width="6.25" style="1633" customWidth="1"/>
    <col min="11011" max="11011" width="7.875" style="1633" customWidth="1"/>
    <col min="11012" max="11012" width="6.25" style="1633" customWidth="1"/>
    <col min="11013" max="11013" width="4.625" style="1633" customWidth="1"/>
    <col min="11014" max="11014" width="42" style="1633" customWidth="1"/>
    <col min="11015" max="11015" width="7.875" style="1633" customWidth="1"/>
    <col min="11016" max="11016" width="0" style="1633" hidden="1" customWidth="1"/>
    <col min="11017" max="11017" width="17.75" style="1633" customWidth="1"/>
    <col min="11018" max="11018" width="11.125" style="1633" customWidth="1"/>
    <col min="11019" max="11019" width="10" style="1633" customWidth="1"/>
    <col min="11020" max="11020" width="19.875" style="1633" customWidth="1"/>
    <col min="11021" max="11034" width="0" style="1633" hidden="1" customWidth="1"/>
    <col min="11035" max="11035" width="10.25" style="1633" customWidth="1"/>
    <col min="11036" max="11037" width="0" style="1633" hidden="1" customWidth="1"/>
    <col min="11038" max="11038" width="31" style="1633" customWidth="1"/>
    <col min="11039" max="11042" width="0" style="1633" hidden="1" customWidth="1"/>
    <col min="11043" max="11043" width="16" style="1633" customWidth="1"/>
    <col min="11044" max="11044" width="0" style="1633" hidden="1" customWidth="1"/>
    <col min="11045" max="11045" width="14.25" style="1633" customWidth="1"/>
    <col min="11046" max="11047" width="0" style="1633" hidden="1" customWidth="1"/>
    <col min="11048" max="11048" width="6.25" style="1633" customWidth="1"/>
    <col min="11049" max="11049" width="7.875" style="1633" customWidth="1"/>
    <col min="11050" max="11052" width="0" style="1633" hidden="1" customWidth="1"/>
    <col min="11053" max="11053" width="7.875" style="1633" customWidth="1"/>
    <col min="11054" max="11264" width="9" style="1633"/>
    <col min="11265" max="11265" width="42" style="1633" customWidth="1"/>
    <col min="11266" max="11266" width="6.25" style="1633" customWidth="1"/>
    <col min="11267" max="11267" width="7.875" style="1633" customWidth="1"/>
    <col min="11268" max="11268" width="6.25" style="1633" customWidth="1"/>
    <col min="11269" max="11269" width="4.625" style="1633" customWidth="1"/>
    <col min="11270" max="11270" width="42" style="1633" customWidth="1"/>
    <col min="11271" max="11271" width="7.875" style="1633" customWidth="1"/>
    <col min="11272" max="11272" width="0" style="1633" hidden="1" customWidth="1"/>
    <col min="11273" max="11273" width="17.75" style="1633" customWidth="1"/>
    <col min="11274" max="11274" width="11.125" style="1633" customWidth="1"/>
    <col min="11275" max="11275" width="10" style="1633" customWidth="1"/>
    <col min="11276" max="11276" width="19.875" style="1633" customWidth="1"/>
    <col min="11277" max="11290" width="0" style="1633" hidden="1" customWidth="1"/>
    <col min="11291" max="11291" width="10.25" style="1633" customWidth="1"/>
    <col min="11292" max="11293" width="0" style="1633" hidden="1" customWidth="1"/>
    <col min="11294" max="11294" width="31" style="1633" customWidth="1"/>
    <col min="11295" max="11298" width="0" style="1633" hidden="1" customWidth="1"/>
    <col min="11299" max="11299" width="16" style="1633" customWidth="1"/>
    <col min="11300" max="11300" width="0" style="1633" hidden="1" customWidth="1"/>
    <col min="11301" max="11301" width="14.25" style="1633" customWidth="1"/>
    <col min="11302" max="11303" width="0" style="1633" hidden="1" customWidth="1"/>
    <col min="11304" max="11304" width="6.25" style="1633" customWidth="1"/>
    <col min="11305" max="11305" width="7.875" style="1633" customWidth="1"/>
    <col min="11306" max="11308" width="0" style="1633" hidden="1" customWidth="1"/>
    <col min="11309" max="11309" width="7.875" style="1633" customWidth="1"/>
    <col min="11310" max="11520" width="9" style="1633"/>
    <col min="11521" max="11521" width="42" style="1633" customWidth="1"/>
    <col min="11522" max="11522" width="6.25" style="1633" customWidth="1"/>
    <col min="11523" max="11523" width="7.875" style="1633" customWidth="1"/>
    <col min="11524" max="11524" width="6.25" style="1633" customWidth="1"/>
    <col min="11525" max="11525" width="4.625" style="1633" customWidth="1"/>
    <col min="11526" max="11526" width="42" style="1633" customWidth="1"/>
    <col min="11527" max="11527" width="7.875" style="1633" customWidth="1"/>
    <col min="11528" max="11528" width="0" style="1633" hidden="1" customWidth="1"/>
    <col min="11529" max="11529" width="17.75" style="1633" customWidth="1"/>
    <col min="11530" max="11530" width="11.125" style="1633" customWidth="1"/>
    <col min="11531" max="11531" width="10" style="1633" customWidth="1"/>
    <col min="11532" max="11532" width="19.875" style="1633" customWidth="1"/>
    <col min="11533" max="11546" width="0" style="1633" hidden="1" customWidth="1"/>
    <col min="11547" max="11547" width="10.25" style="1633" customWidth="1"/>
    <col min="11548" max="11549" width="0" style="1633" hidden="1" customWidth="1"/>
    <col min="11550" max="11550" width="31" style="1633" customWidth="1"/>
    <col min="11551" max="11554" width="0" style="1633" hidden="1" customWidth="1"/>
    <col min="11555" max="11555" width="16" style="1633" customWidth="1"/>
    <col min="11556" max="11556" width="0" style="1633" hidden="1" customWidth="1"/>
    <col min="11557" max="11557" width="14.25" style="1633" customWidth="1"/>
    <col min="11558" max="11559" width="0" style="1633" hidden="1" customWidth="1"/>
    <col min="11560" max="11560" width="6.25" style="1633" customWidth="1"/>
    <col min="11561" max="11561" width="7.875" style="1633" customWidth="1"/>
    <col min="11562" max="11564" width="0" style="1633" hidden="1" customWidth="1"/>
    <col min="11565" max="11565" width="7.875" style="1633" customWidth="1"/>
    <col min="11566" max="11776" width="9" style="1633"/>
    <col min="11777" max="11777" width="42" style="1633" customWidth="1"/>
    <col min="11778" max="11778" width="6.25" style="1633" customWidth="1"/>
    <col min="11779" max="11779" width="7.875" style="1633" customWidth="1"/>
    <col min="11780" max="11780" width="6.25" style="1633" customWidth="1"/>
    <col min="11781" max="11781" width="4.625" style="1633" customWidth="1"/>
    <col min="11782" max="11782" width="42" style="1633" customWidth="1"/>
    <col min="11783" max="11783" width="7.875" style="1633" customWidth="1"/>
    <col min="11784" max="11784" width="0" style="1633" hidden="1" customWidth="1"/>
    <col min="11785" max="11785" width="17.75" style="1633" customWidth="1"/>
    <col min="11786" max="11786" width="11.125" style="1633" customWidth="1"/>
    <col min="11787" max="11787" width="10" style="1633" customWidth="1"/>
    <col min="11788" max="11788" width="19.875" style="1633" customWidth="1"/>
    <col min="11789" max="11802" width="0" style="1633" hidden="1" customWidth="1"/>
    <col min="11803" max="11803" width="10.25" style="1633" customWidth="1"/>
    <col min="11804" max="11805" width="0" style="1633" hidden="1" customWidth="1"/>
    <col min="11806" max="11806" width="31" style="1633" customWidth="1"/>
    <col min="11807" max="11810" width="0" style="1633" hidden="1" customWidth="1"/>
    <col min="11811" max="11811" width="16" style="1633" customWidth="1"/>
    <col min="11812" max="11812" width="0" style="1633" hidden="1" customWidth="1"/>
    <col min="11813" max="11813" width="14.25" style="1633" customWidth="1"/>
    <col min="11814" max="11815" width="0" style="1633" hidden="1" customWidth="1"/>
    <col min="11816" max="11816" width="6.25" style="1633" customWidth="1"/>
    <col min="11817" max="11817" width="7.875" style="1633" customWidth="1"/>
    <col min="11818" max="11820" width="0" style="1633" hidden="1" customWidth="1"/>
    <col min="11821" max="11821" width="7.875" style="1633" customWidth="1"/>
    <col min="11822" max="12032" width="9" style="1633"/>
    <col min="12033" max="12033" width="42" style="1633" customWidth="1"/>
    <col min="12034" max="12034" width="6.25" style="1633" customWidth="1"/>
    <col min="12035" max="12035" width="7.875" style="1633" customWidth="1"/>
    <col min="12036" max="12036" width="6.25" style="1633" customWidth="1"/>
    <col min="12037" max="12037" width="4.625" style="1633" customWidth="1"/>
    <col min="12038" max="12038" width="42" style="1633" customWidth="1"/>
    <col min="12039" max="12039" width="7.875" style="1633" customWidth="1"/>
    <col min="12040" max="12040" width="0" style="1633" hidden="1" customWidth="1"/>
    <col min="12041" max="12041" width="17.75" style="1633" customWidth="1"/>
    <col min="12042" max="12042" width="11.125" style="1633" customWidth="1"/>
    <col min="12043" max="12043" width="10" style="1633" customWidth="1"/>
    <col min="12044" max="12044" width="19.875" style="1633" customWidth="1"/>
    <col min="12045" max="12058" width="0" style="1633" hidden="1" customWidth="1"/>
    <col min="12059" max="12059" width="10.25" style="1633" customWidth="1"/>
    <col min="12060" max="12061" width="0" style="1633" hidden="1" customWidth="1"/>
    <col min="12062" max="12062" width="31" style="1633" customWidth="1"/>
    <col min="12063" max="12066" width="0" style="1633" hidden="1" customWidth="1"/>
    <col min="12067" max="12067" width="16" style="1633" customWidth="1"/>
    <col min="12068" max="12068" width="0" style="1633" hidden="1" customWidth="1"/>
    <col min="12069" max="12069" width="14.25" style="1633" customWidth="1"/>
    <col min="12070" max="12071" width="0" style="1633" hidden="1" customWidth="1"/>
    <col min="12072" max="12072" width="6.25" style="1633" customWidth="1"/>
    <col min="12073" max="12073" width="7.875" style="1633" customWidth="1"/>
    <col min="12074" max="12076" width="0" style="1633" hidden="1" customWidth="1"/>
    <col min="12077" max="12077" width="7.875" style="1633" customWidth="1"/>
    <col min="12078" max="12288" width="9" style="1633"/>
    <col min="12289" max="12289" width="42" style="1633" customWidth="1"/>
    <col min="12290" max="12290" width="6.25" style="1633" customWidth="1"/>
    <col min="12291" max="12291" width="7.875" style="1633" customWidth="1"/>
    <col min="12292" max="12292" width="6.25" style="1633" customWidth="1"/>
    <col min="12293" max="12293" width="4.625" style="1633" customWidth="1"/>
    <col min="12294" max="12294" width="42" style="1633" customWidth="1"/>
    <col min="12295" max="12295" width="7.875" style="1633" customWidth="1"/>
    <col min="12296" max="12296" width="0" style="1633" hidden="1" customWidth="1"/>
    <col min="12297" max="12297" width="17.75" style="1633" customWidth="1"/>
    <col min="12298" max="12298" width="11.125" style="1633" customWidth="1"/>
    <col min="12299" max="12299" width="10" style="1633" customWidth="1"/>
    <col min="12300" max="12300" width="19.875" style="1633" customWidth="1"/>
    <col min="12301" max="12314" width="0" style="1633" hidden="1" customWidth="1"/>
    <col min="12315" max="12315" width="10.25" style="1633" customWidth="1"/>
    <col min="12316" max="12317" width="0" style="1633" hidden="1" customWidth="1"/>
    <col min="12318" max="12318" width="31" style="1633" customWidth="1"/>
    <col min="12319" max="12322" width="0" style="1633" hidden="1" customWidth="1"/>
    <col min="12323" max="12323" width="16" style="1633" customWidth="1"/>
    <col min="12324" max="12324" width="0" style="1633" hidden="1" customWidth="1"/>
    <col min="12325" max="12325" width="14.25" style="1633" customWidth="1"/>
    <col min="12326" max="12327" width="0" style="1633" hidden="1" customWidth="1"/>
    <col min="12328" max="12328" width="6.25" style="1633" customWidth="1"/>
    <col min="12329" max="12329" width="7.875" style="1633" customWidth="1"/>
    <col min="12330" max="12332" width="0" style="1633" hidden="1" customWidth="1"/>
    <col min="12333" max="12333" width="7.875" style="1633" customWidth="1"/>
    <col min="12334" max="12544" width="9" style="1633"/>
    <col min="12545" max="12545" width="42" style="1633" customWidth="1"/>
    <col min="12546" max="12546" width="6.25" style="1633" customWidth="1"/>
    <col min="12547" max="12547" width="7.875" style="1633" customWidth="1"/>
    <col min="12548" max="12548" width="6.25" style="1633" customWidth="1"/>
    <col min="12549" max="12549" width="4.625" style="1633" customWidth="1"/>
    <col min="12550" max="12550" width="42" style="1633" customWidth="1"/>
    <col min="12551" max="12551" width="7.875" style="1633" customWidth="1"/>
    <col min="12552" max="12552" width="0" style="1633" hidden="1" customWidth="1"/>
    <col min="12553" max="12553" width="17.75" style="1633" customWidth="1"/>
    <col min="12554" max="12554" width="11.125" style="1633" customWidth="1"/>
    <col min="12555" max="12555" width="10" style="1633" customWidth="1"/>
    <col min="12556" max="12556" width="19.875" style="1633" customWidth="1"/>
    <col min="12557" max="12570" width="0" style="1633" hidden="1" customWidth="1"/>
    <col min="12571" max="12571" width="10.25" style="1633" customWidth="1"/>
    <col min="12572" max="12573" width="0" style="1633" hidden="1" customWidth="1"/>
    <col min="12574" max="12574" width="31" style="1633" customWidth="1"/>
    <col min="12575" max="12578" width="0" style="1633" hidden="1" customWidth="1"/>
    <col min="12579" max="12579" width="16" style="1633" customWidth="1"/>
    <col min="12580" max="12580" width="0" style="1633" hidden="1" customWidth="1"/>
    <col min="12581" max="12581" width="14.25" style="1633" customWidth="1"/>
    <col min="12582" max="12583" width="0" style="1633" hidden="1" customWidth="1"/>
    <col min="12584" max="12584" width="6.25" style="1633" customWidth="1"/>
    <col min="12585" max="12585" width="7.875" style="1633" customWidth="1"/>
    <col min="12586" max="12588" width="0" style="1633" hidden="1" customWidth="1"/>
    <col min="12589" max="12589" width="7.875" style="1633" customWidth="1"/>
    <col min="12590" max="12800" width="9" style="1633"/>
    <col min="12801" max="12801" width="42" style="1633" customWidth="1"/>
    <col min="12802" max="12802" width="6.25" style="1633" customWidth="1"/>
    <col min="12803" max="12803" width="7.875" style="1633" customWidth="1"/>
    <col min="12804" max="12804" width="6.25" style="1633" customWidth="1"/>
    <col min="12805" max="12805" width="4.625" style="1633" customWidth="1"/>
    <col min="12806" max="12806" width="42" style="1633" customWidth="1"/>
    <col min="12807" max="12807" width="7.875" style="1633" customWidth="1"/>
    <col min="12808" max="12808" width="0" style="1633" hidden="1" customWidth="1"/>
    <col min="12809" max="12809" width="17.75" style="1633" customWidth="1"/>
    <col min="12810" max="12810" width="11.125" style="1633" customWidth="1"/>
    <col min="12811" max="12811" width="10" style="1633" customWidth="1"/>
    <col min="12812" max="12812" width="19.875" style="1633" customWidth="1"/>
    <col min="12813" max="12826" width="0" style="1633" hidden="1" customWidth="1"/>
    <col min="12827" max="12827" width="10.25" style="1633" customWidth="1"/>
    <col min="12828" max="12829" width="0" style="1633" hidden="1" customWidth="1"/>
    <col min="12830" max="12830" width="31" style="1633" customWidth="1"/>
    <col min="12831" max="12834" width="0" style="1633" hidden="1" customWidth="1"/>
    <col min="12835" max="12835" width="16" style="1633" customWidth="1"/>
    <col min="12836" max="12836" width="0" style="1633" hidden="1" customWidth="1"/>
    <col min="12837" max="12837" width="14.25" style="1633" customWidth="1"/>
    <col min="12838" max="12839" width="0" style="1633" hidden="1" customWidth="1"/>
    <col min="12840" max="12840" width="6.25" style="1633" customWidth="1"/>
    <col min="12841" max="12841" width="7.875" style="1633" customWidth="1"/>
    <col min="12842" max="12844" width="0" style="1633" hidden="1" customWidth="1"/>
    <col min="12845" max="12845" width="7.875" style="1633" customWidth="1"/>
    <col min="12846" max="13056" width="9" style="1633"/>
    <col min="13057" max="13057" width="42" style="1633" customWidth="1"/>
    <col min="13058" max="13058" width="6.25" style="1633" customWidth="1"/>
    <col min="13059" max="13059" width="7.875" style="1633" customWidth="1"/>
    <col min="13060" max="13060" width="6.25" style="1633" customWidth="1"/>
    <col min="13061" max="13061" width="4.625" style="1633" customWidth="1"/>
    <col min="13062" max="13062" width="42" style="1633" customWidth="1"/>
    <col min="13063" max="13063" width="7.875" style="1633" customWidth="1"/>
    <col min="13064" max="13064" width="0" style="1633" hidden="1" customWidth="1"/>
    <col min="13065" max="13065" width="17.75" style="1633" customWidth="1"/>
    <col min="13066" max="13066" width="11.125" style="1633" customWidth="1"/>
    <col min="13067" max="13067" width="10" style="1633" customWidth="1"/>
    <col min="13068" max="13068" width="19.875" style="1633" customWidth="1"/>
    <col min="13069" max="13082" width="0" style="1633" hidden="1" customWidth="1"/>
    <col min="13083" max="13083" width="10.25" style="1633" customWidth="1"/>
    <col min="13084" max="13085" width="0" style="1633" hidden="1" customWidth="1"/>
    <col min="13086" max="13086" width="31" style="1633" customWidth="1"/>
    <col min="13087" max="13090" width="0" style="1633" hidden="1" customWidth="1"/>
    <col min="13091" max="13091" width="16" style="1633" customWidth="1"/>
    <col min="13092" max="13092" width="0" style="1633" hidden="1" customWidth="1"/>
    <col min="13093" max="13093" width="14.25" style="1633" customWidth="1"/>
    <col min="13094" max="13095" width="0" style="1633" hidden="1" customWidth="1"/>
    <col min="13096" max="13096" width="6.25" style="1633" customWidth="1"/>
    <col min="13097" max="13097" width="7.875" style="1633" customWidth="1"/>
    <col min="13098" max="13100" width="0" style="1633" hidden="1" customWidth="1"/>
    <col min="13101" max="13101" width="7.875" style="1633" customWidth="1"/>
    <col min="13102" max="13312" width="9" style="1633"/>
    <col min="13313" max="13313" width="42" style="1633" customWidth="1"/>
    <col min="13314" max="13314" width="6.25" style="1633" customWidth="1"/>
    <col min="13315" max="13315" width="7.875" style="1633" customWidth="1"/>
    <col min="13316" max="13316" width="6.25" style="1633" customWidth="1"/>
    <col min="13317" max="13317" width="4.625" style="1633" customWidth="1"/>
    <col min="13318" max="13318" width="42" style="1633" customWidth="1"/>
    <col min="13319" max="13319" width="7.875" style="1633" customWidth="1"/>
    <col min="13320" max="13320" width="0" style="1633" hidden="1" customWidth="1"/>
    <col min="13321" max="13321" width="17.75" style="1633" customWidth="1"/>
    <col min="13322" max="13322" width="11.125" style="1633" customWidth="1"/>
    <col min="13323" max="13323" width="10" style="1633" customWidth="1"/>
    <col min="13324" max="13324" width="19.875" style="1633" customWidth="1"/>
    <col min="13325" max="13338" width="0" style="1633" hidden="1" customWidth="1"/>
    <col min="13339" max="13339" width="10.25" style="1633" customWidth="1"/>
    <col min="13340" max="13341" width="0" style="1633" hidden="1" customWidth="1"/>
    <col min="13342" max="13342" width="31" style="1633" customWidth="1"/>
    <col min="13343" max="13346" width="0" style="1633" hidden="1" customWidth="1"/>
    <col min="13347" max="13347" width="16" style="1633" customWidth="1"/>
    <col min="13348" max="13348" width="0" style="1633" hidden="1" customWidth="1"/>
    <col min="13349" max="13349" width="14.25" style="1633" customWidth="1"/>
    <col min="13350" max="13351" width="0" style="1633" hidden="1" customWidth="1"/>
    <col min="13352" max="13352" width="6.25" style="1633" customWidth="1"/>
    <col min="13353" max="13353" width="7.875" style="1633" customWidth="1"/>
    <col min="13354" max="13356" width="0" style="1633" hidden="1" customWidth="1"/>
    <col min="13357" max="13357" width="7.875" style="1633" customWidth="1"/>
    <col min="13358" max="13568" width="9" style="1633"/>
    <col min="13569" max="13569" width="42" style="1633" customWidth="1"/>
    <col min="13570" max="13570" width="6.25" style="1633" customWidth="1"/>
    <col min="13571" max="13571" width="7.875" style="1633" customWidth="1"/>
    <col min="13572" max="13572" width="6.25" style="1633" customWidth="1"/>
    <col min="13573" max="13573" width="4.625" style="1633" customWidth="1"/>
    <col min="13574" max="13574" width="42" style="1633" customWidth="1"/>
    <col min="13575" max="13575" width="7.875" style="1633" customWidth="1"/>
    <col min="13576" max="13576" width="0" style="1633" hidden="1" customWidth="1"/>
    <col min="13577" max="13577" width="17.75" style="1633" customWidth="1"/>
    <col min="13578" max="13578" width="11.125" style="1633" customWidth="1"/>
    <col min="13579" max="13579" width="10" style="1633" customWidth="1"/>
    <col min="13580" max="13580" width="19.875" style="1633" customWidth="1"/>
    <col min="13581" max="13594" width="0" style="1633" hidden="1" customWidth="1"/>
    <col min="13595" max="13595" width="10.25" style="1633" customWidth="1"/>
    <col min="13596" max="13597" width="0" style="1633" hidden="1" customWidth="1"/>
    <col min="13598" max="13598" width="31" style="1633" customWidth="1"/>
    <col min="13599" max="13602" width="0" style="1633" hidden="1" customWidth="1"/>
    <col min="13603" max="13603" width="16" style="1633" customWidth="1"/>
    <col min="13604" max="13604" width="0" style="1633" hidden="1" customWidth="1"/>
    <col min="13605" max="13605" width="14.25" style="1633" customWidth="1"/>
    <col min="13606" max="13607" width="0" style="1633" hidden="1" customWidth="1"/>
    <col min="13608" max="13608" width="6.25" style="1633" customWidth="1"/>
    <col min="13609" max="13609" width="7.875" style="1633" customWidth="1"/>
    <col min="13610" max="13612" width="0" style="1633" hidden="1" customWidth="1"/>
    <col min="13613" max="13613" width="7.875" style="1633" customWidth="1"/>
    <col min="13614" max="13824" width="9" style="1633"/>
    <col min="13825" max="13825" width="42" style="1633" customWidth="1"/>
    <col min="13826" max="13826" width="6.25" style="1633" customWidth="1"/>
    <col min="13827" max="13827" width="7.875" style="1633" customWidth="1"/>
    <col min="13828" max="13828" width="6.25" style="1633" customWidth="1"/>
    <col min="13829" max="13829" width="4.625" style="1633" customWidth="1"/>
    <col min="13830" max="13830" width="42" style="1633" customWidth="1"/>
    <col min="13831" max="13831" width="7.875" style="1633" customWidth="1"/>
    <col min="13832" max="13832" width="0" style="1633" hidden="1" customWidth="1"/>
    <col min="13833" max="13833" width="17.75" style="1633" customWidth="1"/>
    <col min="13834" max="13834" width="11.125" style="1633" customWidth="1"/>
    <col min="13835" max="13835" width="10" style="1633" customWidth="1"/>
    <col min="13836" max="13836" width="19.875" style="1633" customWidth="1"/>
    <col min="13837" max="13850" width="0" style="1633" hidden="1" customWidth="1"/>
    <col min="13851" max="13851" width="10.25" style="1633" customWidth="1"/>
    <col min="13852" max="13853" width="0" style="1633" hidden="1" customWidth="1"/>
    <col min="13854" max="13854" width="31" style="1633" customWidth="1"/>
    <col min="13855" max="13858" width="0" style="1633" hidden="1" customWidth="1"/>
    <col min="13859" max="13859" width="16" style="1633" customWidth="1"/>
    <col min="13860" max="13860" width="0" style="1633" hidden="1" customWidth="1"/>
    <col min="13861" max="13861" width="14.25" style="1633" customWidth="1"/>
    <col min="13862" max="13863" width="0" style="1633" hidden="1" customWidth="1"/>
    <col min="13864" max="13864" width="6.25" style="1633" customWidth="1"/>
    <col min="13865" max="13865" width="7.875" style="1633" customWidth="1"/>
    <col min="13866" max="13868" width="0" style="1633" hidden="1" customWidth="1"/>
    <col min="13869" max="13869" width="7.875" style="1633" customWidth="1"/>
    <col min="13870" max="14080" width="9" style="1633"/>
    <col min="14081" max="14081" width="42" style="1633" customWidth="1"/>
    <col min="14082" max="14082" width="6.25" style="1633" customWidth="1"/>
    <col min="14083" max="14083" width="7.875" style="1633" customWidth="1"/>
    <col min="14084" max="14084" width="6.25" style="1633" customWidth="1"/>
    <col min="14085" max="14085" width="4.625" style="1633" customWidth="1"/>
    <col min="14086" max="14086" width="42" style="1633" customWidth="1"/>
    <col min="14087" max="14087" width="7.875" style="1633" customWidth="1"/>
    <col min="14088" max="14088" width="0" style="1633" hidden="1" customWidth="1"/>
    <col min="14089" max="14089" width="17.75" style="1633" customWidth="1"/>
    <col min="14090" max="14090" width="11.125" style="1633" customWidth="1"/>
    <col min="14091" max="14091" width="10" style="1633" customWidth="1"/>
    <col min="14092" max="14092" width="19.875" style="1633" customWidth="1"/>
    <col min="14093" max="14106" width="0" style="1633" hidden="1" customWidth="1"/>
    <col min="14107" max="14107" width="10.25" style="1633" customWidth="1"/>
    <col min="14108" max="14109" width="0" style="1633" hidden="1" customWidth="1"/>
    <col min="14110" max="14110" width="31" style="1633" customWidth="1"/>
    <col min="14111" max="14114" width="0" style="1633" hidden="1" customWidth="1"/>
    <col min="14115" max="14115" width="16" style="1633" customWidth="1"/>
    <col min="14116" max="14116" width="0" style="1633" hidden="1" customWidth="1"/>
    <col min="14117" max="14117" width="14.25" style="1633" customWidth="1"/>
    <col min="14118" max="14119" width="0" style="1633" hidden="1" customWidth="1"/>
    <col min="14120" max="14120" width="6.25" style="1633" customWidth="1"/>
    <col min="14121" max="14121" width="7.875" style="1633" customWidth="1"/>
    <col min="14122" max="14124" width="0" style="1633" hidden="1" customWidth="1"/>
    <col min="14125" max="14125" width="7.875" style="1633" customWidth="1"/>
    <col min="14126" max="14336" width="9" style="1633"/>
    <col min="14337" max="14337" width="42" style="1633" customWidth="1"/>
    <col min="14338" max="14338" width="6.25" style="1633" customWidth="1"/>
    <col min="14339" max="14339" width="7.875" style="1633" customWidth="1"/>
    <col min="14340" max="14340" width="6.25" style="1633" customWidth="1"/>
    <col min="14341" max="14341" width="4.625" style="1633" customWidth="1"/>
    <col min="14342" max="14342" width="42" style="1633" customWidth="1"/>
    <col min="14343" max="14343" width="7.875" style="1633" customWidth="1"/>
    <col min="14344" max="14344" width="0" style="1633" hidden="1" customWidth="1"/>
    <col min="14345" max="14345" width="17.75" style="1633" customWidth="1"/>
    <col min="14346" max="14346" width="11.125" style="1633" customWidth="1"/>
    <col min="14347" max="14347" width="10" style="1633" customWidth="1"/>
    <col min="14348" max="14348" width="19.875" style="1633" customWidth="1"/>
    <col min="14349" max="14362" width="0" style="1633" hidden="1" customWidth="1"/>
    <col min="14363" max="14363" width="10.25" style="1633" customWidth="1"/>
    <col min="14364" max="14365" width="0" style="1633" hidden="1" customWidth="1"/>
    <col min="14366" max="14366" width="31" style="1633" customWidth="1"/>
    <col min="14367" max="14370" width="0" style="1633" hidden="1" customWidth="1"/>
    <col min="14371" max="14371" width="16" style="1633" customWidth="1"/>
    <col min="14372" max="14372" width="0" style="1633" hidden="1" customWidth="1"/>
    <col min="14373" max="14373" width="14.25" style="1633" customWidth="1"/>
    <col min="14374" max="14375" width="0" style="1633" hidden="1" customWidth="1"/>
    <col min="14376" max="14376" width="6.25" style="1633" customWidth="1"/>
    <col min="14377" max="14377" width="7.875" style="1633" customWidth="1"/>
    <col min="14378" max="14380" width="0" style="1633" hidden="1" customWidth="1"/>
    <col min="14381" max="14381" width="7.875" style="1633" customWidth="1"/>
    <col min="14382" max="14592" width="9" style="1633"/>
    <col min="14593" max="14593" width="42" style="1633" customWidth="1"/>
    <col min="14594" max="14594" width="6.25" style="1633" customWidth="1"/>
    <col min="14595" max="14595" width="7.875" style="1633" customWidth="1"/>
    <col min="14596" max="14596" width="6.25" style="1633" customWidth="1"/>
    <col min="14597" max="14597" width="4.625" style="1633" customWidth="1"/>
    <col min="14598" max="14598" width="42" style="1633" customWidth="1"/>
    <col min="14599" max="14599" width="7.875" style="1633" customWidth="1"/>
    <col min="14600" max="14600" width="0" style="1633" hidden="1" customWidth="1"/>
    <col min="14601" max="14601" width="17.75" style="1633" customWidth="1"/>
    <col min="14602" max="14602" width="11.125" style="1633" customWidth="1"/>
    <col min="14603" max="14603" width="10" style="1633" customWidth="1"/>
    <col min="14604" max="14604" width="19.875" style="1633" customWidth="1"/>
    <col min="14605" max="14618" width="0" style="1633" hidden="1" customWidth="1"/>
    <col min="14619" max="14619" width="10.25" style="1633" customWidth="1"/>
    <col min="14620" max="14621" width="0" style="1633" hidden="1" customWidth="1"/>
    <col min="14622" max="14622" width="31" style="1633" customWidth="1"/>
    <col min="14623" max="14626" width="0" style="1633" hidden="1" customWidth="1"/>
    <col min="14627" max="14627" width="16" style="1633" customWidth="1"/>
    <col min="14628" max="14628" width="0" style="1633" hidden="1" customWidth="1"/>
    <col min="14629" max="14629" width="14.25" style="1633" customWidth="1"/>
    <col min="14630" max="14631" width="0" style="1633" hidden="1" customWidth="1"/>
    <col min="14632" max="14632" width="6.25" style="1633" customWidth="1"/>
    <col min="14633" max="14633" width="7.875" style="1633" customWidth="1"/>
    <col min="14634" max="14636" width="0" style="1633" hidden="1" customWidth="1"/>
    <col min="14637" max="14637" width="7.875" style="1633" customWidth="1"/>
    <col min="14638" max="14848" width="9" style="1633"/>
    <col min="14849" max="14849" width="42" style="1633" customWidth="1"/>
    <col min="14850" max="14850" width="6.25" style="1633" customWidth="1"/>
    <col min="14851" max="14851" width="7.875" style="1633" customWidth="1"/>
    <col min="14852" max="14852" width="6.25" style="1633" customWidth="1"/>
    <col min="14853" max="14853" width="4.625" style="1633" customWidth="1"/>
    <col min="14854" max="14854" width="42" style="1633" customWidth="1"/>
    <col min="14855" max="14855" width="7.875" style="1633" customWidth="1"/>
    <col min="14856" max="14856" width="0" style="1633" hidden="1" customWidth="1"/>
    <col min="14857" max="14857" width="17.75" style="1633" customWidth="1"/>
    <col min="14858" max="14858" width="11.125" style="1633" customWidth="1"/>
    <col min="14859" max="14859" width="10" style="1633" customWidth="1"/>
    <col min="14860" max="14860" width="19.875" style="1633" customWidth="1"/>
    <col min="14861" max="14874" width="0" style="1633" hidden="1" customWidth="1"/>
    <col min="14875" max="14875" width="10.25" style="1633" customWidth="1"/>
    <col min="14876" max="14877" width="0" style="1633" hidden="1" customWidth="1"/>
    <col min="14878" max="14878" width="31" style="1633" customWidth="1"/>
    <col min="14879" max="14882" width="0" style="1633" hidden="1" customWidth="1"/>
    <col min="14883" max="14883" width="16" style="1633" customWidth="1"/>
    <col min="14884" max="14884" width="0" style="1633" hidden="1" customWidth="1"/>
    <col min="14885" max="14885" width="14.25" style="1633" customWidth="1"/>
    <col min="14886" max="14887" width="0" style="1633" hidden="1" customWidth="1"/>
    <col min="14888" max="14888" width="6.25" style="1633" customWidth="1"/>
    <col min="14889" max="14889" width="7.875" style="1633" customWidth="1"/>
    <col min="14890" max="14892" width="0" style="1633" hidden="1" customWidth="1"/>
    <col min="14893" max="14893" width="7.875" style="1633" customWidth="1"/>
    <col min="14894" max="15104" width="9" style="1633"/>
    <col min="15105" max="15105" width="42" style="1633" customWidth="1"/>
    <col min="15106" max="15106" width="6.25" style="1633" customWidth="1"/>
    <col min="15107" max="15107" width="7.875" style="1633" customWidth="1"/>
    <col min="15108" max="15108" width="6.25" style="1633" customWidth="1"/>
    <col min="15109" max="15109" width="4.625" style="1633" customWidth="1"/>
    <col min="15110" max="15110" width="42" style="1633" customWidth="1"/>
    <col min="15111" max="15111" width="7.875" style="1633" customWidth="1"/>
    <col min="15112" max="15112" width="0" style="1633" hidden="1" customWidth="1"/>
    <col min="15113" max="15113" width="17.75" style="1633" customWidth="1"/>
    <col min="15114" max="15114" width="11.125" style="1633" customWidth="1"/>
    <col min="15115" max="15115" width="10" style="1633" customWidth="1"/>
    <col min="15116" max="15116" width="19.875" style="1633" customWidth="1"/>
    <col min="15117" max="15130" width="0" style="1633" hidden="1" customWidth="1"/>
    <col min="15131" max="15131" width="10.25" style="1633" customWidth="1"/>
    <col min="15132" max="15133" width="0" style="1633" hidden="1" customWidth="1"/>
    <col min="15134" max="15134" width="31" style="1633" customWidth="1"/>
    <col min="15135" max="15138" width="0" style="1633" hidden="1" customWidth="1"/>
    <col min="15139" max="15139" width="16" style="1633" customWidth="1"/>
    <col min="15140" max="15140" width="0" style="1633" hidden="1" customWidth="1"/>
    <col min="15141" max="15141" width="14.25" style="1633" customWidth="1"/>
    <col min="15142" max="15143" width="0" style="1633" hidden="1" customWidth="1"/>
    <col min="15144" max="15144" width="6.25" style="1633" customWidth="1"/>
    <col min="15145" max="15145" width="7.875" style="1633" customWidth="1"/>
    <col min="15146" max="15148" width="0" style="1633" hidden="1" customWidth="1"/>
    <col min="15149" max="15149" width="7.875" style="1633" customWidth="1"/>
    <col min="15150" max="15360" width="9" style="1633"/>
    <col min="15361" max="15361" width="42" style="1633" customWidth="1"/>
    <col min="15362" max="15362" width="6.25" style="1633" customWidth="1"/>
    <col min="15363" max="15363" width="7.875" style="1633" customWidth="1"/>
    <col min="15364" max="15364" width="6.25" style="1633" customWidth="1"/>
    <col min="15365" max="15365" width="4.625" style="1633" customWidth="1"/>
    <col min="15366" max="15366" width="42" style="1633" customWidth="1"/>
    <col min="15367" max="15367" width="7.875" style="1633" customWidth="1"/>
    <col min="15368" max="15368" width="0" style="1633" hidden="1" customWidth="1"/>
    <col min="15369" max="15369" width="17.75" style="1633" customWidth="1"/>
    <col min="15370" max="15370" width="11.125" style="1633" customWidth="1"/>
    <col min="15371" max="15371" width="10" style="1633" customWidth="1"/>
    <col min="15372" max="15372" width="19.875" style="1633" customWidth="1"/>
    <col min="15373" max="15386" width="0" style="1633" hidden="1" customWidth="1"/>
    <col min="15387" max="15387" width="10.25" style="1633" customWidth="1"/>
    <col min="15388" max="15389" width="0" style="1633" hidden="1" customWidth="1"/>
    <col min="15390" max="15390" width="31" style="1633" customWidth="1"/>
    <col min="15391" max="15394" width="0" style="1633" hidden="1" customWidth="1"/>
    <col min="15395" max="15395" width="16" style="1633" customWidth="1"/>
    <col min="15396" max="15396" width="0" style="1633" hidden="1" customWidth="1"/>
    <col min="15397" max="15397" width="14.25" style="1633" customWidth="1"/>
    <col min="15398" max="15399" width="0" style="1633" hidden="1" customWidth="1"/>
    <col min="15400" max="15400" width="6.25" style="1633" customWidth="1"/>
    <col min="15401" max="15401" width="7.875" style="1633" customWidth="1"/>
    <col min="15402" max="15404" width="0" style="1633" hidden="1" customWidth="1"/>
    <col min="15405" max="15405" width="7.875" style="1633" customWidth="1"/>
    <col min="15406" max="15616" width="9" style="1633"/>
    <col min="15617" max="15617" width="42" style="1633" customWidth="1"/>
    <col min="15618" max="15618" width="6.25" style="1633" customWidth="1"/>
    <col min="15619" max="15619" width="7.875" style="1633" customWidth="1"/>
    <col min="15620" max="15620" width="6.25" style="1633" customWidth="1"/>
    <col min="15621" max="15621" width="4.625" style="1633" customWidth="1"/>
    <col min="15622" max="15622" width="42" style="1633" customWidth="1"/>
    <col min="15623" max="15623" width="7.875" style="1633" customWidth="1"/>
    <col min="15624" max="15624" width="0" style="1633" hidden="1" customWidth="1"/>
    <col min="15625" max="15625" width="17.75" style="1633" customWidth="1"/>
    <col min="15626" max="15626" width="11.125" style="1633" customWidth="1"/>
    <col min="15627" max="15627" width="10" style="1633" customWidth="1"/>
    <col min="15628" max="15628" width="19.875" style="1633" customWidth="1"/>
    <col min="15629" max="15642" width="0" style="1633" hidden="1" customWidth="1"/>
    <col min="15643" max="15643" width="10.25" style="1633" customWidth="1"/>
    <col min="15644" max="15645" width="0" style="1633" hidden="1" customWidth="1"/>
    <col min="15646" max="15646" width="31" style="1633" customWidth="1"/>
    <col min="15647" max="15650" width="0" style="1633" hidden="1" customWidth="1"/>
    <col min="15651" max="15651" width="16" style="1633" customWidth="1"/>
    <col min="15652" max="15652" width="0" style="1633" hidden="1" customWidth="1"/>
    <col min="15653" max="15653" width="14.25" style="1633" customWidth="1"/>
    <col min="15654" max="15655" width="0" style="1633" hidden="1" customWidth="1"/>
    <col min="15656" max="15656" width="6.25" style="1633" customWidth="1"/>
    <col min="15657" max="15657" width="7.875" style="1633" customWidth="1"/>
    <col min="15658" max="15660" width="0" style="1633" hidden="1" customWidth="1"/>
    <col min="15661" max="15661" width="7.875" style="1633" customWidth="1"/>
    <col min="15662" max="15872" width="9" style="1633"/>
    <col min="15873" max="15873" width="42" style="1633" customWidth="1"/>
    <col min="15874" max="15874" width="6.25" style="1633" customWidth="1"/>
    <col min="15875" max="15875" width="7.875" style="1633" customWidth="1"/>
    <col min="15876" max="15876" width="6.25" style="1633" customWidth="1"/>
    <col min="15877" max="15877" width="4.625" style="1633" customWidth="1"/>
    <col min="15878" max="15878" width="42" style="1633" customWidth="1"/>
    <col min="15879" max="15879" width="7.875" style="1633" customWidth="1"/>
    <col min="15880" max="15880" width="0" style="1633" hidden="1" customWidth="1"/>
    <col min="15881" max="15881" width="17.75" style="1633" customWidth="1"/>
    <col min="15882" max="15882" width="11.125" style="1633" customWidth="1"/>
    <col min="15883" max="15883" width="10" style="1633" customWidth="1"/>
    <col min="15884" max="15884" width="19.875" style="1633" customWidth="1"/>
    <col min="15885" max="15898" width="0" style="1633" hidden="1" customWidth="1"/>
    <col min="15899" max="15899" width="10.25" style="1633" customWidth="1"/>
    <col min="15900" max="15901" width="0" style="1633" hidden="1" customWidth="1"/>
    <col min="15902" max="15902" width="31" style="1633" customWidth="1"/>
    <col min="15903" max="15906" width="0" style="1633" hidden="1" customWidth="1"/>
    <col min="15907" max="15907" width="16" style="1633" customWidth="1"/>
    <col min="15908" max="15908" width="0" style="1633" hidden="1" customWidth="1"/>
    <col min="15909" max="15909" width="14.25" style="1633" customWidth="1"/>
    <col min="15910" max="15911" width="0" style="1633" hidden="1" customWidth="1"/>
    <col min="15912" max="15912" width="6.25" style="1633" customWidth="1"/>
    <col min="15913" max="15913" width="7.875" style="1633" customWidth="1"/>
    <col min="15914" max="15916" width="0" style="1633" hidden="1" customWidth="1"/>
    <col min="15917" max="15917" width="7.875" style="1633" customWidth="1"/>
    <col min="15918" max="16128" width="9" style="1633"/>
    <col min="16129" max="16129" width="42" style="1633" customWidth="1"/>
    <col min="16130" max="16130" width="6.25" style="1633" customWidth="1"/>
    <col min="16131" max="16131" width="7.875" style="1633" customWidth="1"/>
    <col min="16132" max="16132" width="6.25" style="1633" customWidth="1"/>
    <col min="16133" max="16133" width="4.625" style="1633" customWidth="1"/>
    <col min="16134" max="16134" width="42" style="1633" customWidth="1"/>
    <col min="16135" max="16135" width="7.875" style="1633" customWidth="1"/>
    <col min="16136" max="16136" width="0" style="1633" hidden="1" customWidth="1"/>
    <col min="16137" max="16137" width="17.75" style="1633" customWidth="1"/>
    <col min="16138" max="16138" width="11.125" style="1633" customWidth="1"/>
    <col min="16139" max="16139" width="10" style="1633" customWidth="1"/>
    <col min="16140" max="16140" width="19.875" style="1633" customWidth="1"/>
    <col min="16141" max="16154" width="0" style="1633" hidden="1" customWidth="1"/>
    <col min="16155" max="16155" width="10.25" style="1633" customWidth="1"/>
    <col min="16156" max="16157" width="0" style="1633" hidden="1" customWidth="1"/>
    <col min="16158" max="16158" width="31" style="1633" customWidth="1"/>
    <col min="16159" max="16162" width="0" style="1633" hidden="1" customWidth="1"/>
    <col min="16163" max="16163" width="16" style="1633" customWidth="1"/>
    <col min="16164" max="16164" width="0" style="1633" hidden="1" customWidth="1"/>
    <col min="16165" max="16165" width="14.25" style="1633" customWidth="1"/>
    <col min="16166" max="16167" width="0" style="1633" hidden="1" customWidth="1"/>
    <col min="16168" max="16168" width="6.25" style="1633" customWidth="1"/>
    <col min="16169" max="16169" width="7.875" style="1633" customWidth="1"/>
    <col min="16170" max="16172" width="0" style="1633" hidden="1" customWidth="1"/>
    <col min="16173" max="16173" width="7.875" style="1633" customWidth="1"/>
    <col min="16174" max="16384" width="9" style="1633"/>
  </cols>
  <sheetData>
    <row r="1" spans="1:45">
      <c r="A1" s="1633" t="s">
        <v>3052</v>
      </c>
      <c r="B1" s="1633" t="s">
        <v>3053</v>
      </c>
      <c r="C1" s="1633" t="s">
        <v>3054</v>
      </c>
      <c r="D1" s="1633" t="s">
        <v>3055</v>
      </c>
      <c r="E1" s="1633" t="s">
        <v>3056</v>
      </c>
      <c r="F1" s="1633" t="s">
        <v>3057</v>
      </c>
      <c r="G1" s="1633" t="s">
        <v>3058</v>
      </c>
      <c r="H1" s="1633" t="s">
        <v>3059</v>
      </c>
      <c r="I1" s="1633" t="s">
        <v>3060</v>
      </c>
      <c r="J1" s="1633" t="s">
        <v>3061</v>
      </c>
      <c r="K1" s="1633" t="s">
        <v>3062</v>
      </c>
      <c r="L1" s="1633" t="s">
        <v>3063</v>
      </c>
      <c r="M1" s="1633" t="s">
        <v>3064</v>
      </c>
      <c r="N1" s="1633" t="s">
        <v>3065</v>
      </c>
      <c r="O1" s="1633" t="s">
        <v>3066</v>
      </c>
      <c r="P1" s="1633" t="s">
        <v>3067</v>
      </c>
      <c r="Q1" s="1633" t="s">
        <v>3068</v>
      </c>
      <c r="R1" s="1633" t="s">
        <v>3069</v>
      </c>
      <c r="S1" s="1633" t="s">
        <v>3070</v>
      </c>
      <c r="T1" s="1633" t="s">
        <v>3071</v>
      </c>
      <c r="U1" s="1633" t="s">
        <v>3072</v>
      </c>
      <c r="V1" s="1633" t="s">
        <v>3073</v>
      </c>
      <c r="W1" s="1633" t="s">
        <v>3074</v>
      </c>
      <c r="X1" s="1633" t="s">
        <v>3075</v>
      </c>
      <c r="Y1" s="1633" t="s">
        <v>3076</v>
      </c>
      <c r="Z1" s="1633" t="s">
        <v>3077</v>
      </c>
      <c r="AA1" s="1633" t="s">
        <v>3078</v>
      </c>
      <c r="AB1" s="1633" t="s">
        <v>3079</v>
      </c>
      <c r="AC1" s="1633" t="s">
        <v>3080</v>
      </c>
      <c r="AD1" s="1633" t="s">
        <v>3081</v>
      </c>
      <c r="AE1" s="1633" t="s">
        <v>3082</v>
      </c>
      <c r="AF1" s="1633" t="s">
        <v>3083</v>
      </c>
      <c r="AG1" s="1633" t="s">
        <v>3084</v>
      </c>
      <c r="AH1" s="1633" t="s">
        <v>3085</v>
      </c>
      <c r="AI1" s="1633" t="s">
        <v>3086</v>
      </c>
      <c r="AJ1" s="1633" t="s">
        <v>3087</v>
      </c>
      <c r="AK1" s="1633" t="s">
        <v>3088</v>
      </c>
      <c r="AL1" s="1633" t="s">
        <v>3089</v>
      </c>
      <c r="AM1" s="1633" t="s">
        <v>3090</v>
      </c>
      <c r="AN1" s="1633" t="s">
        <v>3091</v>
      </c>
      <c r="AO1" s="1633" t="s">
        <v>3092</v>
      </c>
      <c r="AP1" s="1633" t="s">
        <v>3093</v>
      </c>
      <c r="AQ1" s="1633" t="s">
        <v>3094</v>
      </c>
      <c r="AR1" s="1633" t="s">
        <v>3095</v>
      </c>
      <c r="AS1" s="1633" t="s">
        <v>3096</v>
      </c>
    </row>
    <row r="2" spans="1:45">
      <c r="A2" s="1633" t="s">
        <v>3097</v>
      </c>
      <c r="B2" s="1633" t="s">
        <v>3098</v>
      </c>
      <c r="C2" s="1633" t="s">
        <v>3099</v>
      </c>
      <c r="D2" s="1633" t="s">
        <v>3100</v>
      </c>
      <c r="E2" s="1633" t="s">
        <v>1327</v>
      </c>
      <c r="F2" s="1633" t="s">
        <v>3097</v>
      </c>
      <c r="G2" s="1633" t="s">
        <v>3101</v>
      </c>
      <c r="H2" s="1633" t="s">
        <v>3102</v>
      </c>
      <c r="I2" s="1633" t="s">
        <v>3103</v>
      </c>
      <c r="J2" s="1633">
        <v>86696.43</v>
      </c>
      <c r="K2" s="1633">
        <v>208071.4</v>
      </c>
      <c r="L2" s="1633" t="s">
        <v>3104</v>
      </c>
      <c r="M2" s="1633" t="s">
        <v>1327</v>
      </c>
      <c r="N2" s="1633" t="s">
        <v>3105</v>
      </c>
      <c r="O2" s="1633" t="s">
        <v>3106</v>
      </c>
      <c r="P2" s="1633" t="s">
        <v>1327</v>
      </c>
      <c r="Q2" s="1633" t="s">
        <v>1327</v>
      </c>
      <c r="R2" s="1633" t="s">
        <v>1327</v>
      </c>
      <c r="S2" s="1633" t="s">
        <v>1327</v>
      </c>
      <c r="T2" s="1633" t="s">
        <v>1327</v>
      </c>
      <c r="U2" s="1633" t="s">
        <v>1327</v>
      </c>
      <c r="V2" s="1633" t="s">
        <v>1327</v>
      </c>
      <c r="W2" s="1633" t="s">
        <v>3107</v>
      </c>
      <c r="X2" s="1633" t="s">
        <v>3108</v>
      </c>
      <c r="Y2" s="1633" t="s">
        <v>3109</v>
      </c>
      <c r="Z2" s="1633" t="s">
        <v>3110</v>
      </c>
      <c r="AA2" s="1633" t="s">
        <v>3110</v>
      </c>
      <c r="AB2" s="1633" t="s">
        <v>3111</v>
      </c>
      <c r="AC2" s="1633" t="s">
        <v>3112</v>
      </c>
      <c r="AD2" s="1633" t="s">
        <v>3113</v>
      </c>
      <c r="AE2" s="1633">
        <v>1230</v>
      </c>
      <c r="AF2" s="1633">
        <v>4083.26</v>
      </c>
      <c r="AG2" s="1633">
        <v>4083.26</v>
      </c>
      <c r="AH2" s="1633">
        <v>31.4</v>
      </c>
      <c r="AI2" s="1633">
        <v>31.4</v>
      </c>
      <c r="AJ2" s="1633">
        <v>196.24</v>
      </c>
      <c r="AK2" s="1633">
        <v>196.24</v>
      </c>
      <c r="AL2" s="1633" t="s">
        <v>1327</v>
      </c>
      <c r="AM2" s="1633" t="s">
        <v>1327</v>
      </c>
      <c r="AN2" s="1633">
        <v>0</v>
      </c>
      <c r="AO2" s="1633" t="s">
        <v>3114</v>
      </c>
      <c r="AP2" s="1633" t="s">
        <v>1327</v>
      </c>
      <c r="AQ2" s="1633" t="s">
        <v>1327</v>
      </c>
      <c r="AR2" s="1633" t="s">
        <v>1327</v>
      </c>
      <c r="AS2" s="1633" t="s">
        <v>3115</v>
      </c>
    </row>
    <row r="3" spans="1:45">
      <c r="A3" s="1633" t="s">
        <v>3097</v>
      </c>
      <c r="B3" s="1633" t="s">
        <v>3098</v>
      </c>
      <c r="C3" s="1633" t="s">
        <v>3099</v>
      </c>
      <c r="D3" s="1633" t="s">
        <v>3100</v>
      </c>
      <c r="E3" s="1633" t="s">
        <v>1327</v>
      </c>
      <c r="F3" s="1633" t="s">
        <v>3097</v>
      </c>
      <c r="G3" s="1633" t="s">
        <v>3101</v>
      </c>
      <c r="H3" s="1633" t="s">
        <v>3116</v>
      </c>
      <c r="I3" s="1633" t="s">
        <v>3103</v>
      </c>
      <c r="J3" s="1633">
        <v>13298.69</v>
      </c>
      <c r="K3" s="1633">
        <v>42555.81</v>
      </c>
      <c r="L3" s="1633" t="s">
        <v>3117</v>
      </c>
      <c r="M3" s="1633" t="s">
        <v>1327</v>
      </c>
      <c r="N3" s="1633" t="s">
        <v>3118</v>
      </c>
      <c r="O3" s="1633" t="s">
        <v>3119</v>
      </c>
      <c r="P3" s="1633" t="s">
        <v>1327</v>
      </c>
      <c r="Q3" s="1633" t="s">
        <v>1327</v>
      </c>
      <c r="R3" s="1633" t="s">
        <v>1327</v>
      </c>
      <c r="S3" s="1633" t="s">
        <v>1327</v>
      </c>
      <c r="T3" s="1633" t="s">
        <v>1327</v>
      </c>
      <c r="U3" s="1633" t="s">
        <v>1327</v>
      </c>
      <c r="V3" s="1633" t="s">
        <v>1327</v>
      </c>
      <c r="W3" s="1633" t="s">
        <v>3107</v>
      </c>
      <c r="X3" s="1633" t="s">
        <v>3108</v>
      </c>
      <c r="Y3" s="1633" t="s">
        <v>3109</v>
      </c>
      <c r="Z3" s="1633" t="s">
        <v>3110</v>
      </c>
      <c r="AA3" s="1633" t="s">
        <v>3110</v>
      </c>
      <c r="AB3" s="1633" t="s">
        <v>3111</v>
      </c>
      <c r="AC3" s="1633" t="s">
        <v>3112</v>
      </c>
      <c r="AD3" s="1633" t="s">
        <v>3113</v>
      </c>
      <c r="AE3" s="1633">
        <v>190</v>
      </c>
      <c r="AF3" s="1633">
        <v>626.41999999999996</v>
      </c>
      <c r="AG3" s="1633">
        <v>626.41999999999996</v>
      </c>
      <c r="AH3" s="1633">
        <v>31.4</v>
      </c>
      <c r="AI3" s="1633">
        <v>31.4</v>
      </c>
      <c r="AJ3" s="1633">
        <v>147.19999999999999</v>
      </c>
      <c r="AK3" s="1633">
        <v>147.19</v>
      </c>
      <c r="AL3" s="1633" t="s">
        <v>1327</v>
      </c>
      <c r="AM3" s="1633" t="s">
        <v>1327</v>
      </c>
      <c r="AN3" s="1633">
        <v>0</v>
      </c>
      <c r="AO3" s="1633" t="s">
        <v>3114</v>
      </c>
      <c r="AP3" s="1633" t="s">
        <v>1327</v>
      </c>
      <c r="AQ3" s="1633" t="s">
        <v>1327</v>
      </c>
      <c r="AR3" s="1633" t="s">
        <v>1327</v>
      </c>
      <c r="AS3" s="1633" t="s">
        <v>3115</v>
      </c>
    </row>
    <row r="4" spans="1:45">
      <c r="A4" s="1633" t="s">
        <v>3097</v>
      </c>
      <c r="B4" s="1633" t="s">
        <v>3098</v>
      </c>
      <c r="C4" s="1633" t="s">
        <v>3099</v>
      </c>
      <c r="D4" s="1633" t="s">
        <v>3100</v>
      </c>
      <c r="E4" s="1633" t="s">
        <v>1327</v>
      </c>
      <c r="F4" s="1633" t="s">
        <v>3097</v>
      </c>
      <c r="G4" s="1633" t="s">
        <v>3101</v>
      </c>
      <c r="H4" s="1633" t="s">
        <v>3120</v>
      </c>
      <c r="I4" s="1633" t="s">
        <v>3103</v>
      </c>
      <c r="J4" s="1633">
        <v>46144.32</v>
      </c>
      <c r="K4" s="1633">
        <v>69216.479999999996</v>
      </c>
      <c r="L4" s="1633" t="s">
        <v>3121</v>
      </c>
      <c r="M4" s="1633" t="s">
        <v>1327</v>
      </c>
      <c r="N4" s="1633" t="s">
        <v>3118</v>
      </c>
      <c r="O4" s="1633" t="s">
        <v>3119</v>
      </c>
      <c r="P4" s="1633" t="s">
        <v>1327</v>
      </c>
      <c r="Q4" s="1633" t="s">
        <v>1327</v>
      </c>
      <c r="R4" s="1633" t="s">
        <v>1327</v>
      </c>
      <c r="S4" s="1633" t="s">
        <v>1327</v>
      </c>
      <c r="T4" s="1633" t="s">
        <v>1327</v>
      </c>
      <c r="U4" s="1633" t="s">
        <v>1327</v>
      </c>
      <c r="V4" s="1633" t="s">
        <v>1327</v>
      </c>
      <c r="W4" s="1633" t="s">
        <v>3107</v>
      </c>
      <c r="X4" s="1633" t="s">
        <v>3108</v>
      </c>
      <c r="Y4" s="1633" t="s">
        <v>3109</v>
      </c>
      <c r="Z4" s="1633" t="s">
        <v>3110</v>
      </c>
      <c r="AA4" s="1633" t="s">
        <v>3110</v>
      </c>
      <c r="AB4" s="1633" t="s">
        <v>3111</v>
      </c>
      <c r="AC4" s="1633" t="s">
        <v>3112</v>
      </c>
      <c r="AD4" s="1633" t="s">
        <v>3113</v>
      </c>
      <c r="AE4" s="1633">
        <v>660</v>
      </c>
      <c r="AF4" s="1633">
        <v>2173.5100000000002</v>
      </c>
      <c r="AG4" s="1633">
        <v>2173.5100000000002</v>
      </c>
      <c r="AH4" s="1633">
        <v>31.4</v>
      </c>
      <c r="AI4" s="1633">
        <v>31.4</v>
      </c>
      <c r="AJ4" s="1633">
        <v>314.01</v>
      </c>
      <c r="AK4" s="1633">
        <v>314.01</v>
      </c>
      <c r="AL4" s="1633" t="s">
        <v>1327</v>
      </c>
      <c r="AM4" s="1633" t="s">
        <v>1327</v>
      </c>
      <c r="AN4" s="1633">
        <v>0</v>
      </c>
      <c r="AO4" s="1633" t="s">
        <v>3114</v>
      </c>
      <c r="AP4" s="1633" t="s">
        <v>1327</v>
      </c>
      <c r="AQ4" s="1633" t="s">
        <v>1327</v>
      </c>
      <c r="AR4" s="1633" t="s">
        <v>1327</v>
      </c>
      <c r="AS4" s="1633" t="s">
        <v>3115</v>
      </c>
    </row>
    <row r="5" spans="1:45">
      <c r="A5" s="1633" t="s">
        <v>3097</v>
      </c>
      <c r="B5" s="1633" t="s">
        <v>3098</v>
      </c>
      <c r="C5" s="1633" t="s">
        <v>3099</v>
      </c>
      <c r="D5" s="1633" t="s">
        <v>3100</v>
      </c>
      <c r="E5" s="1633" t="s">
        <v>1327</v>
      </c>
      <c r="F5" s="1633" t="s">
        <v>3097</v>
      </c>
      <c r="G5" s="1633" t="s">
        <v>3101</v>
      </c>
      <c r="H5" s="1633" t="s">
        <v>3122</v>
      </c>
      <c r="I5" s="1633" t="s">
        <v>3103</v>
      </c>
      <c r="J5" s="1633">
        <v>54068.17</v>
      </c>
      <c r="K5" s="1633">
        <v>81102.259999999995</v>
      </c>
      <c r="L5" s="1633" t="s">
        <v>3121</v>
      </c>
      <c r="M5" s="1633" t="s">
        <v>1327</v>
      </c>
      <c r="N5" s="1633" t="s">
        <v>3118</v>
      </c>
      <c r="O5" s="1633" t="s">
        <v>3119</v>
      </c>
      <c r="P5" s="1633" t="s">
        <v>1327</v>
      </c>
      <c r="Q5" s="1633" t="s">
        <v>1327</v>
      </c>
      <c r="R5" s="1633" t="s">
        <v>1327</v>
      </c>
      <c r="S5" s="1633" t="s">
        <v>1327</v>
      </c>
      <c r="T5" s="1633" t="s">
        <v>1327</v>
      </c>
      <c r="U5" s="1633" t="s">
        <v>1327</v>
      </c>
      <c r="V5" s="1633" t="s">
        <v>1327</v>
      </c>
      <c r="W5" s="1633" t="s">
        <v>3107</v>
      </c>
      <c r="X5" s="1633" t="s">
        <v>3108</v>
      </c>
      <c r="Y5" s="1633" t="s">
        <v>3109</v>
      </c>
      <c r="Z5" s="1633" t="s">
        <v>3110</v>
      </c>
      <c r="AA5" s="1633" t="s">
        <v>3110</v>
      </c>
      <c r="AB5" s="1633" t="s">
        <v>3111</v>
      </c>
      <c r="AC5" s="1633" t="s">
        <v>3112</v>
      </c>
      <c r="AD5" s="1633" t="s">
        <v>3113</v>
      </c>
      <c r="AE5" s="1633">
        <v>770</v>
      </c>
      <c r="AF5" s="1633">
        <v>2546.5300000000002</v>
      </c>
      <c r="AG5" s="1633">
        <v>2546.5300000000002</v>
      </c>
      <c r="AH5" s="1633">
        <v>31.4</v>
      </c>
      <c r="AI5" s="1633">
        <v>31.4</v>
      </c>
      <c r="AJ5" s="1633">
        <v>313.99</v>
      </c>
      <c r="AK5" s="1633">
        <v>313.99</v>
      </c>
      <c r="AL5" s="1633" t="s">
        <v>1327</v>
      </c>
      <c r="AM5" s="1633" t="s">
        <v>1327</v>
      </c>
      <c r="AN5" s="1633">
        <v>0</v>
      </c>
      <c r="AO5" s="1633" t="s">
        <v>3114</v>
      </c>
      <c r="AP5" s="1633" t="s">
        <v>1327</v>
      </c>
      <c r="AQ5" s="1633" t="s">
        <v>1327</v>
      </c>
      <c r="AR5" s="1633" t="s">
        <v>1327</v>
      </c>
      <c r="AS5" s="1633" t="s">
        <v>3115</v>
      </c>
    </row>
    <row r="6" spans="1:45">
      <c r="A6" s="1633" t="s">
        <v>3123</v>
      </c>
      <c r="B6" s="1633" t="s">
        <v>3098</v>
      </c>
      <c r="C6" s="1633" t="s">
        <v>3099</v>
      </c>
      <c r="D6" s="1633" t="s">
        <v>3100</v>
      </c>
      <c r="E6" s="1633" t="s">
        <v>1327</v>
      </c>
      <c r="F6" s="1633" t="s">
        <v>3123</v>
      </c>
      <c r="G6" s="1633" t="s">
        <v>3101</v>
      </c>
      <c r="H6" s="1633" t="s">
        <v>3124</v>
      </c>
      <c r="I6" s="1633" t="s">
        <v>3103</v>
      </c>
      <c r="J6" s="1633">
        <v>36774.230000000003</v>
      </c>
      <c r="K6" s="1633">
        <v>117677.5</v>
      </c>
      <c r="L6" s="1633" t="s">
        <v>3117</v>
      </c>
      <c r="M6" s="1633" t="s">
        <v>1327</v>
      </c>
      <c r="N6" s="1633" t="s">
        <v>3125</v>
      </c>
      <c r="O6" s="1633" t="s">
        <v>3119</v>
      </c>
      <c r="P6" s="1633" t="s">
        <v>1327</v>
      </c>
      <c r="Q6" s="1633" t="s">
        <v>1327</v>
      </c>
      <c r="R6" s="1633" t="s">
        <v>1327</v>
      </c>
      <c r="S6" s="1633" t="s">
        <v>1327</v>
      </c>
      <c r="T6" s="1633" t="s">
        <v>1327</v>
      </c>
      <c r="U6" s="1633" t="s">
        <v>1327</v>
      </c>
      <c r="V6" s="1633" t="s">
        <v>1327</v>
      </c>
      <c r="W6" s="1633" t="s">
        <v>3107</v>
      </c>
      <c r="X6" s="1633" t="s">
        <v>3108</v>
      </c>
      <c r="Y6" s="1633" t="s">
        <v>3109</v>
      </c>
      <c r="Z6" s="1633" t="s">
        <v>3110</v>
      </c>
      <c r="AA6" s="1633" t="s">
        <v>3110</v>
      </c>
      <c r="AB6" s="1633" t="s">
        <v>3111</v>
      </c>
      <c r="AC6" s="1633" t="s">
        <v>3112</v>
      </c>
      <c r="AD6" s="1633" t="s">
        <v>3113</v>
      </c>
      <c r="AE6" s="1633">
        <v>520</v>
      </c>
      <c r="AF6" s="1633">
        <v>1732.01</v>
      </c>
      <c r="AG6" s="1633">
        <v>1732.01</v>
      </c>
      <c r="AH6" s="1633">
        <v>31.4</v>
      </c>
      <c r="AI6" s="1633">
        <v>31.4</v>
      </c>
      <c r="AJ6" s="1633">
        <v>147.18</v>
      </c>
      <c r="AK6" s="1633">
        <v>147.18</v>
      </c>
      <c r="AL6" s="1633" t="s">
        <v>1327</v>
      </c>
      <c r="AM6" s="1633" t="s">
        <v>1327</v>
      </c>
      <c r="AN6" s="1633">
        <v>0</v>
      </c>
      <c r="AO6" s="1633" t="s">
        <v>3114</v>
      </c>
      <c r="AP6" s="1633" t="s">
        <v>1327</v>
      </c>
      <c r="AQ6" s="1633" t="s">
        <v>1327</v>
      </c>
      <c r="AR6" s="1633" t="s">
        <v>1327</v>
      </c>
      <c r="AS6" s="1633" t="s">
        <v>3115</v>
      </c>
    </row>
    <row r="7" spans="1:45">
      <c r="A7" s="1633" t="s">
        <v>3123</v>
      </c>
      <c r="B7" s="1633" t="s">
        <v>3098</v>
      </c>
      <c r="C7" s="1633" t="s">
        <v>3099</v>
      </c>
      <c r="D7" s="1633" t="s">
        <v>3100</v>
      </c>
      <c r="E7" s="1633" t="s">
        <v>1327</v>
      </c>
      <c r="F7" s="1633" t="s">
        <v>3123</v>
      </c>
      <c r="G7" s="1633" t="s">
        <v>3101</v>
      </c>
      <c r="H7" s="1633" t="s">
        <v>3126</v>
      </c>
      <c r="I7" s="1633" t="s">
        <v>3103</v>
      </c>
      <c r="J7" s="1633">
        <v>12168.47</v>
      </c>
      <c r="K7" s="1633">
        <v>38939.1</v>
      </c>
      <c r="L7" s="1633" t="s">
        <v>3117</v>
      </c>
      <c r="M7" s="1633" t="s">
        <v>1327</v>
      </c>
      <c r="N7" s="1633" t="s">
        <v>3125</v>
      </c>
      <c r="O7" s="1633" t="s">
        <v>3106</v>
      </c>
      <c r="P7" s="1633" t="s">
        <v>1327</v>
      </c>
      <c r="Q7" s="1633" t="s">
        <v>1327</v>
      </c>
      <c r="R7" s="1633" t="s">
        <v>1327</v>
      </c>
      <c r="S7" s="1633" t="s">
        <v>1327</v>
      </c>
      <c r="T7" s="1633" t="s">
        <v>1327</v>
      </c>
      <c r="U7" s="1633" t="s">
        <v>1327</v>
      </c>
      <c r="V7" s="1633" t="s">
        <v>1327</v>
      </c>
      <c r="W7" s="1633" t="s">
        <v>3107</v>
      </c>
      <c r="X7" s="1633" t="s">
        <v>3108</v>
      </c>
      <c r="Y7" s="1633" t="s">
        <v>3109</v>
      </c>
      <c r="Z7" s="1633" t="s">
        <v>3110</v>
      </c>
      <c r="AA7" s="1633" t="s">
        <v>3110</v>
      </c>
      <c r="AB7" s="1633" t="s">
        <v>3111</v>
      </c>
      <c r="AC7" s="1633" t="s">
        <v>3112</v>
      </c>
      <c r="AD7" s="1633" t="s">
        <v>3113</v>
      </c>
      <c r="AE7" s="1633">
        <v>180</v>
      </c>
      <c r="AF7" s="1633">
        <v>573.04</v>
      </c>
      <c r="AG7" s="1633">
        <v>573.04</v>
      </c>
      <c r="AH7" s="1633">
        <v>31.39</v>
      </c>
      <c r="AI7" s="1633">
        <v>31.39</v>
      </c>
      <c r="AJ7" s="1633">
        <v>147.16</v>
      </c>
      <c r="AK7" s="1633">
        <v>147.16</v>
      </c>
      <c r="AL7" s="1633" t="s">
        <v>1327</v>
      </c>
      <c r="AM7" s="1633" t="s">
        <v>1327</v>
      </c>
      <c r="AN7" s="1633">
        <v>0</v>
      </c>
      <c r="AO7" s="1633" t="s">
        <v>3114</v>
      </c>
      <c r="AP7" s="1633" t="s">
        <v>1327</v>
      </c>
      <c r="AQ7" s="1633" t="s">
        <v>1327</v>
      </c>
      <c r="AR7" s="1633" t="s">
        <v>1327</v>
      </c>
      <c r="AS7" s="1633" t="s">
        <v>3115</v>
      </c>
    </row>
    <row r="8" spans="1:45">
      <c r="A8" s="1633" t="s">
        <v>3127</v>
      </c>
      <c r="B8" s="1633" t="s">
        <v>3098</v>
      </c>
      <c r="C8" s="1633" t="s">
        <v>3099</v>
      </c>
      <c r="D8" s="1633" t="s">
        <v>3100</v>
      </c>
      <c r="E8" s="1633" t="s">
        <v>1327</v>
      </c>
      <c r="F8" s="1633" t="s">
        <v>3127</v>
      </c>
      <c r="G8" s="1633" t="s">
        <v>3101</v>
      </c>
      <c r="H8" s="1633" t="s">
        <v>3128</v>
      </c>
      <c r="I8" s="1633" t="s">
        <v>3103</v>
      </c>
      <c r="J8" s="1633">
        <v>53670.77</v>
      </c>
      <c r="K8" s="1633">
        <v>171746.5</v>
      </c>
      <c r="L8" s="1633" t="s">
        <v>3117</v>
      </c>
      <c r="M8" s="1633" t="s">
        <v>1327</v>
      </c>
      <c r="N8" s="1633" t="s">
        <v>3125</v>
      </c>
      <c r="O8" s="1633" t="s">
        <v>3106</v>
      </c>
      <c r="P8" s="1633" t="s">
        <v>1327</v>
      </c>
      <c r="Q8" s="1633" t="s">
        <v>1327</v>
      </c>
      <c r="R8" s="1633" t="s">
        <v>1327</v>
      </c>
      <c r="S8" s="1633" t="s">
        <v>1327</v>
      </c>
      <c r="T8" s="1633" t="s">
        <v>1327</v>
      </c>
      <c r="U8" s="1633" t="s">
        <v>1327</v>
      </c>
      <c r="V8" s="1633" t="s">
        <v>1327</v>
      </c>
      <c r="W8" s="1633" t="s">
        <v>3107</v>
      </c>
      <c r="X8" s="1633" t="s">
        <v>3108</v>
      </c>
      <c r="Y8" s="1633" t="s">
        <v>3109</v>
      </c>
      <c r="Z8" s="1633" t="s">
        <v>3110</v>
      </c>
      <c r="AA8" s="1633" t="s">
        <v>3110</v>
      </c>
      <c r="AB8" s="1633" t="s">
        <v>3111</v>
      </c>
      <c r="AC8" s="1633" t="s">
        <v>3112</v>
      </c>
      <c r="AD8" s="1633" t="s">
        <v>3113</v>
      </c>
      <c r="AE8" s="1633">
        <v>760</v>
      </c>
      <c r="AF8" s="1633">
        <v>2528.0100000000002</v>
      </c>
      <c r="AG8" s="1633">
        <v>2528.0100000000002</v>
      </c>
      <c r="AH8" s="1633">
        <v>31.4</v>
      </c>
      <c r="AI8" s="1633">
        <v>31.4</v>
      </c>
      <c r="AJ8" s="1633">
        <v>147.19</v>
      </c>
      <c r="AK8" s="1633">
        <v>147.18</v>
      </c>
      <c r="AL8" s="1633" t="s">
        <v>1327</v>
      </c>
      <c r="AM8" s="1633" t="s">
        <v>1327</v>
      </c>
      <c r="AN8" s="1633">
        <v>0</v>
      </c>
      <c r="AO8" s="1633" t="s">
        <v>3114</v>
      </c>
      <c r="AP8" s="1633" t="s">
        <v>1327</v>
      </c>
      <c r="AQ8" s="1633" t="s">
        <v>1327</v>
      </c>
      <c r="AR8" s="1633" t="s">
        <v>1327</v>
      </c>
      <c r="AS8" s="1633" t="s">
        <v>3115</v>
      </c>
    </row>
    <row r="9" spans="1:45">
      <c r="A9" s="1633" t="s">
        <v>3129</v>
      </c>
      <c r="B9" s="1633" t="s">
        <v>3098</v>
      </c>
      <c r="C9" s="1633" t="s">
        <v>3099</v>
      </c>
      <c r="D9" s="1633" t="s">
        <v>3100</v>
      </c>
      <c r="E9" s="1633" t="s">
        <v>1327</v>
      </c>
      <c r="F9" s="1633" t="s">
        <v>3129</v>
      </c>
      <c r="G9" s="1633" t="s">
        <v>3101</v>
      </c>
      <c r="H9" s="1633" t="s">
        <v>3130</v>
      </c>
      <c r="I9" s="1633" t="s">
        <v>3103</v>
      </c>
      <c r="J9" s="1633">
        <v>34563.629999999997</v>
      </c>
      <c r="K9" s="1633">
        <v>110603.6</v>
      </c>
      <c r="L9" s="1633" t="s">
        <v>3117</v>
      </c>
      <c r="M9" s="1633" t="s">
        <v>1327</v>
      </c>
      <c r="N9" s="1633" t="s">
        <v>3125</v>
      </c>
      <c r="O9" s="1633" t="s">
        <v>3106</v>
      </c>
      <c r="P9" s="1633" t="s">
        <v>1327</v>
      </c>
      <c r="Q9" s="1633" t="s">
        <v>1327</v>
      </c>
      <c r="R9" s="1633" t="s">
        <v>1327</v>
      </c>
      <c r="S9" s="1633" t="s">
        <v>1327</v>
      </c>
      <c r="T9" s="1633" t="s">
        <v>1327</v>
      </c>
      <c r="U9" s="1633" t="s">
        <v>1327</v>
      </c>
      <c r="V9" s="1633" t="s">
        <v>1327</v>
      </c>
      <c r="W9" s="1633" t="s">
        <v>3107</v>
      </c>
      <c r="X9" s="1633" t="s">
        <v>3108</v>
      </c>
      <c r="Y9" s="1633" t="s">
        <v>3109</v>
      </c>
      <c r="Z9" s="1633" t="s">
        <v>3110</v>
      </c>
      <c r="AA9" s="1633" t="s">
        <v>3110</v>
      </c>
      <c r="AB9" s="1633" t="s">
        <v>3111</v>
      </c>
      <c r="AC9" s="1633" t="s">
        <v>3112</v>
      </c>
      <c r="AD9" s="1633" t="s">
        <v>3113</v>
      </c>
      <c r="AE9" s="1633">
        <v>490</v>
      </c>
      <c r="AF9" s="1633">
        <v>1628.08</v>
      </c>
      <c r="AG9" s="1633">
        <v>1628.08</v>
      </c>
      <c r="AH9" s="1633">
        <v>31.4</v>
      </c>
      <c r="AI9" s="1633">
        <v>31.4</v>
      </c>
      <c r="AJ9" s="1633">
        <v>147.19999999999999</v>
      </c>
      <c r="AK9" s="1633">
        <v>147.19</v>
      </c>
      <c r="AL9" s="1633" t="s">
        <v>1327</v>
      </c>
      <c r="AM9" s="1633" t="s">
        <v>1327</v>
      </c>
      <c r="AN9" s="1633">
        <v>0</v>
      </c>
      <c r="AO9" s="1633" t="s">
        <v>3114</v>
      </c>
      <c r="AP9" s="1633" t="s">
        <v>1327</v>
      </c>
      <c r="AQ9" s="1633" t="s">
        <v>1327</v>
      </c>
      <c r="AR9" s="1633" t="s">
        <v>1327</v>
      </c>
      <c r="AS9" s="1633" t="s">
        <v>3115</v>
      </c>
    </row>
    <row r="10" spans="1:45">
      <c r="A10" s="1633" t="s">
        <v>3097</v>
      </c>
      <c r="B10" s="1633" t="s">
        <v>3098</v>
      </c>
      <c r="C10" s="1633" t="s">
        <v>3099</v>
      </c>
      <c r="D10" s="1633" t="s">
        <v>3100</v>
      </c>
      <c r="E10" s="1633" t="s">
        <v>1327</v>
      </c>
      <c r="F10" s="1633" t="s">
        <v>3097</v>
      </c>
      <c r="G10" s="1633" t="s">
        <v>3101</v>
      </c>
      <c r="H10" s="1633" t="s">
        <v>3131</v>
      </c>
      <c r="I10" s="1633" t="s">
        <v>3103</v>
      </c>
      <c r="J10" s="1633">
        <v>86224.29</v>
      </c>
      <c r="K10" s="1633">
        <v>206938.3</v>
      </c>
      <c r="L10" s="1633" t="s">
        <v>3104</v>
      </c>
      <c r="M10" s="1633" t="s">
        <v>1327</v>
      </c>
      <c r="N10" s="1633" t="s">
        <v>3105</v>
      </c>
      <c r="O10" s="1633" t="s">
        <v>3106</v>
      </c>
      <c r="P10" s="1633" t="s">
        <v>1327</v>
      </c>
      <c r="Q10" s="1633" t="s">
        <v>1327</v>
      </c>
      <c r="R10" s="1633" t="s">
        <v>1327</v>
      </c>
      <c r="S10" s="1633" t="s">
        <v>1327</v>
      </c>
      <c r="T10" s="1633" t="s">
        <v>1327</v>
      </c>
      <c r="U10" s="1633" t="s">
        <v>1327</v>
      </c>
      <c r="V10" s="1633" t="s">
        <v>1327</v>
      </c>
      <c r="W10" s="1633" t="s">
        <v>3107</v>
      </c>
      <c r="X10" s="1633" t="s">
        <v>3108</v>
      </c>
      <c r="Y10" s="1633" t="s">
        <v>3109</v>
      </c>
      <c r="Z10" s="1633" t="s">
        <v>3110</v>
      </c>
      <c r="AA10" s="1633" t="s">
        <v>3110</v>
      </c>
      <c r="AB10" s="1633" t="s">
        <v>3111</v>
      </c>
      <c r="AC10" s="1633" t="s">
        <v>3112</v>
      </c>
      <c r="AD10" s="1633" t="s">
        <v>3113</v>
      </c>
      <c r="AE10" s="1633">
        <v>1220</v>
      </c>
      <c r="AF10" s="1633">
        <v>4061.28</v>
      </c>
      <c r="AG10" s="1633">
        <v>4061.28</v>
      </c>
      <c r="AH10" s="1633">
        <v>31.4</v>
      </c>
      <c r="AI10" s="1633">
        <v>31.4</v>
      </c>
      <c r="AJ10" s="1633">
        <v>196.25</v>
      </c>
      <c r="AK10" s="1633">
        <v>196.25</v>
      </c>
      <c r="AL10" s="1633" t="s">
        <v>1327</v>
      </c>
      <c r="AM10" s="1633" t="s">
        <v>1327</v>
      </c>
      <c r="AN10" s="1633">
        <v>0</v>
      </c>
      <c r="AO10" s="1633" t="s">
        <v>3114</v>
      </c>
      <c r="AP10" s="1633" t="s">
        <v>1327</v>
      </c>
      <c r="AQ10" s="1633" t="s">
        <v>1327</v>
      </c>
      <c r="AR10" s="1633" t="s">
        <v>1327</v>
      </c>
      <c r="AS10" s="1633" t="s">
        <v>3115</v>
      </c>
    </row>
    <row r="11" spans="1:45">
      <c r="A11" s="1633" t="s">
        <v>3123</v>
      </c>
      <c r="B11" s="1633" t="s">
        <v>3098</v>
      </c>
      <c r="C11" s="1633" t="s">
        <v>3099</v>
      </c>
      <c r="D11" s="1633" t="s">
        <v>3100</v>
      </c>
      <c r="E11" s="1633" t="s">
        <v>1327</v>
      </c>
      <c r="F11" s="1633" t="s">
        <v>3123</v>
      </c>
      <c r="G11" s="1633" t="s">
        <v>3101</v>
      </c>
      <c r="H11" s="1633" t="s">
        <v>3132</v>
      </c>
      <c r="I11" s="1633" t="s">
        <v>3103</v>
      </c>
      <c r="J11" s="1633">
        <v>29259.55</v>
      </c>
      <c r="K11" s="1633">
        <v>93630.56</v>
      </c>
      <c r="L11" s="1633" t="s">
        <v>3117</v>
      </c>
      <c r="M11" s="1633" t="s">
        <v>1327</v>
      </c>
      <c r="N11" s="1633" t="s">
        <v>3125</v>
      </c>
      <c r="O11" s="1633" t="s">
        <v>3106</v>
      </c>
      <c r="P11" s="1633" t="s">
        <v>1327</v>
      </c>
      <c r="Q11" s="1633" t="s">
        <v>1327</v>
      </c>
      <c r="R11" s="1633" t="s">
        <v>1327</v>
      </c>
      <c r="S11" s="1633" t="s">
        <v>1327</v>
      </c>
      <c r="T11" s="1633" t="s">
        <v>1327</v>
      </c>
      <c r="U11" s="1633" t="s">
        <v>1327</v>
      </c>
      <c r="V11" s="1633" t="s">
        <v>1327</v>
      </c>
      <c r="W11" s="1633" t="s">
        <v>3107</v>
      </c>
      <c r="X11" s="1633" t="s">
        <v>3108</v>
      </c>
      <c r="Y11" s="1633" t="s">
        <v>3109</v>
      </c>
      <c r="Z11" s="1633" t="s">
        <v>3110</v>
      </c>
      <c r="AA11" s="1633" t="s">
        <v>3110</v>
      </c>
      <c r="AB11" s="1633" t="s">
        <v>3111</v>
      </c>
      <c r="AC11" s="1633" t="s">
        <v>3112</v>
      </c>
      <c r="AD11" s="1633" t="s">
        <v>3113</v>
      </c>
      <c r="AE11" s="1633">
        <v>420</v>
      </c>
      <c r="AF11" s="1633">
        <v>1378.15</v>
      </c>
      <c r="AG11" s="1633">
        <v>1378.15</v>
      </c>
      <c r="AH11" s="1633">
        <v>31.4</v>
      </c>
      <c r="AI11" s="1633">
        <v>31.4</v>
      </c>
      <c r="AJ11" s="1633">
        <v>147.19</v>
      </c>
      <c r="AK11" s="1633">
        <v>147.18</v>
      </c>
      <c r="AL11" s="1633" t="s">
        <v>1327</v>
      </c>
      <c r="AM11" s="1633" t="s">
        <v>1327</v>
      </c>
      <c r="AN11" s="1633">
        <v>0</v>
      </c>
      <c r="AO11" s="1633" t="s">
        <v>3114</v>
      </c>
      <c r="AP11" s="1633" t="s">
        <v>1327</v>
      </c>
      <c r="AQ11" s="1633" t="s">
        <v>1327</v>
      </c>
      <c r="AR11" s="1633" t="s">
        <v>1327</v>
      </c>
      <c r="AS11" s="1633" t="s">
        <v>3115</v>
      </c>
    </row>
    <row r="12" spans="1:45">
      <c r="A12" s="1633" t="s">
        <v>3133</v>
      </c>
      <c r="B12" s="1633" t="s">
        <v>3098</v>
      </c>
      <c r="C12" s="1633" t="s">
        <v>3099</v>
      </c>
      <c r="D12" s="1633" t="s">
        <v>3100</v>
      </c>
      <c r="E12" s="1633" t="s">
        <v>1327</v>
      </c>
      <c r="F12" s="1633" t="s">
        <v>3133</v>
      </c>
      <c r="G12" s="1633" t="s">
        <v>3101</v>
      </c>
      <c r="H12" s="1633" t="s">
        <v>3134</v>
      </c>
      <c r="I12" s="1633" t="s">
        <v>3103</v>
      </c>
      <c r="J12" s="1633">
        <v>50325.47</v>
      </c>
      <c r="K12" s="1633">
        <v>60390.559999999998</v>
      </c>
      <c r="L12" s="1633" t="s">
        <v>3135</v>
      </c>
      <c r="M12" s="1633" t="s">
        <v>1327</v>
      </c>
      <c r="N12" s="1633" t="s">
        <v>3118</v>
      </c>
      <c r="O12" s="1633" t="s">
        <v>3136</v>
      </c>
      <c r="P12" s="1633" t="s">
        <v>1327</v>
      </c>
      <c r="Q12" s="1633" t="s">
        <v>1327</v>
      </c>
      <c r="R12" s="1633" t="s">
        <v>1327</v>
      </c>
      <c r="S12" s="1633" t="s">
        <v>1327</v>
      </c>
      <c r="T12" s="1633" t="s">
        <v>1327</v>
      </c>
      <c r="U12" s="1633" t="s">
        <v>1327</v>
      </c>
      <c r="V12" s="1633" t="s">
        <v>1327</v>
      </c>
      <c r="W12" s="1633" t="s">
        <v>3107</v>
      </c>
      <c r="X12" s="1633" t="s">
        <v>3108</v>
      </c>
      <c r="Y12" s="1633" t="s">
        <v>3109</v>
      </c>
      <c r="Z12" s="1633" t="s">
        <v>3110</v>
      </c>
      <c r="AA12" s="1633" t="s">
        <v>3110</v>
      </c>
      <c r="AB12" s="1633" t="s">
        <v>3111</v>
      </c>
      <c r="AC12" s="1633" t="s">
        <v>3112</v>
      </c>
      <c r="AD12" s="1633" t="s">
        <v>3113</v>
      </c>
      <c r="AE12" s="1633">
        <v>720</v>
      </c>
      <c r="AF12" s="1633">
        <v>2370.38</v>
      </c>
      <c r="AG12" s="1633">
        <v>2370.38</v>
      </c>
      <c r="AH12" s="1633">
        <v>31.4</v>
      </c>
      <c r="AI12" s="1633">
        <v>31.4</v>
      </c>
      <c r="AJ12" s="1633">
        <v>392.5</v>
      </c>
      <c r="AK12" s="1633">
        <v>392.5</v>
      </c>
      <c r="AL12" s="1633" t="s">
        <v>1327</v>
      </c>
      <c r="AM12" s="1633" t="s">
        <v>1327</v>
      </c>
      <c r="AN12" s="1633">
        <v>0</v>
      </c>
      <c r="AO12" s="1633" t="s">
        <v>3114</v>
      </c>
      <c r="AP12" s="1633" t="s">
        <v>1327</v>
      </c>
      <c r="AQ12" s="1633" t="s">
        <v>1327</v>
      </c>
      <c r="AR12" s="1633" t="s">
        <v>1327</v>
      </c>
      <c r="AS12" s="1633" t="s">
        <v>3115</v>
      </c>
    </row>
    <row r="13" spans="1:45">
      <c r="A13" s="1633" t="s">
        <v>3097</v>
      </c>
      <c r="B13" s="1633" t="s">
        <v>3098</v>
      </c>
      <c r="C13" s="1633" t="s">
        <v>3099</v>
      </c>
      <c r="D13" s="1633" t="s">
        <v>3100</v>
      </c>
      <c r="E13" s="1633" t="s">
        <v>1327</v>
      </c>
      <c r="F13" s="1633" t="s">
        <v>3097</v>
      </c>
      <c r="G13" s="1633" t="s">
        <v>3101</v>
      </c>
      <c r="H13" s="1633" t="s">
        <v>3137</v>
      </c>
      <c r="I13" s="1633" t="s">
        <v>3103</v>
      </c>
      <c r="J13" s="1633">
        <v>44061.93</v>
      </c>
      <c r="K13" s="1633">
        <v>66092.899999999994</v>
      </c>
      <c r="L13" s="1633" t="s">
        <v>3121</v>
      </c>
      <c r="M13" s="1633" t="s">
        <v>1327</v>
      </c>
      <c r="N13" s="1633" t="s">
        <v>3118</v>
      </c>
      <c r="O13" s="1633" t="s">
        <v>3119</v>
      </c>
      <c r="P13" s="1633" t="s">
        <v>1327</v>
      </c>
      <c r="Q13" s="1633" t="s">
        <v>1327</v>
      </c>
      <c r="R13" s="1633" t="s">
        <v>1327</v>
      </c>
      <c r="S13" s="1633" t="s">
        <v>1327</v>
      </c>
      <c r="T13" s="1633" t="s">
        <v>1327</v>
      </c>
      <c r="U13" s="1633" t="s">
        <v>1327</v>
      </c>
      <c r="V13" s="1633" t="s">
        <v>1327</v>
      </c>
      <c r="W13" s="1633" t="s">
        <v>3107</v>
      </c>
      <c r="X13" s="1633" t="s">
        <v>3108</v>
      </c>
      <c r="Y13" s="1633" t="s">
        <v>3109</v>
      </c>
      <c r="Z13" s="1633" t="s">
        <v>3110</v>
      </c>
      <c r="AA13" s="1633" t="s">
        <v>3110</v>
      </c>
      <c r="AB13" s="1633" t="s">
        <v>3111</v>
      </c>
      <c r="AC13" s="1633" t="s">
        <v>3112</v>
      </c>
      <c r="AD13" s="1633" t="s">
        <v>3113</v>
      </c>
      <c r="AE13" s="1633">
        <v>630</v>
      </c>
      <c r="AF13" s="1633">
        <v>2075.23</v>
      </c>
      <c r="AG13" s="1633">
        <v>2075.23</v>
      </c>
      <c r="AH13" s="1633">
        <v>31.4</v>
      </c>
      <c r="AI13" s="1633">
        <v>31.4</v>
      </c>
      <c r="AJ13" s="1633">
        <v>313.98</v>
      </c>
      <c r="AK13" s="1633">
        <v>313.99</v>
      </c>
      <c r="AL13" s="1633" t="s">
        <v>1327</v>
      </c>
      <c r="AM13" s="1633" t="s">
        <v>1327</v>
      </c>
      <c r="AN13" s="1633">
        <v>0</v>
      </c>
      <c r="AO13" s="1633" t="s">
        <v>3114</v>
      </c>
      <c r="AP13" s="1633" t="s">
        <v>1327</v>
      </c>
      <c r="AQ13" s="1633" t="s">
        <v>1327</v>
      </c>
      <c r="AR13" s="1633" t="s">
        <v>1327</v>
      </c>
      <c r="AS13" s="1633" t="s">
        <v>3115</v>
      </c>
    </row>
    <row r="14" spans="1:45">
      <c r="A14" s="1633" t="s">
        <v>3097</v>
      </c>
      <c r="B14" s="1633" t="s">
        <v>3098</v>
      </c>
      <c r="C14" s="1633" t="s">
        <v>3099</v>
      </c>
      <c r="D14" s="1633" t="s">
        <v>3100</v>
      </c>
      <c r="E14" s="1633" t="s">
        <v>1327</v>
      </c>
      <c r="F14" s="1633" t="s">
        <v>3097</v>
      </c>
      <c r="G14" s="1633" t="s">
        <v>3101</v>
      </c>
      <c r="H14" s="1633" t="s">
        <v>3138</v>
      </c>
      <c r="I14" s="1633" t="s">
        <v>3103</v>
      </c>
      <c r="J14" s="1633">
        <v>39532.79</v>
      </c>
      <c r="K14" s="1633">
        <v>59299.19</v>
      </c>
      <c r="L14" s="1633" t="s">
        <v>3121</v>
      </c>
      <c r="M14" s="1633" t="s">
        <v>1327</v>
      </c>
      <c r="N14" s="1633" t="s">
        <v>3118</v>
      </c>
      <c r="O14" s="1633" t="s">
        <v>3119</v>
      </c>
      <c r="P14" s="1633" t="s">
        <v>1327</v>
      </c>
      <c r="Q14" s="1633" t="s">
        <v>1327</v>
      </c>
      <c r="R14" s="1633" t="s">
        <v>1327</v>
      </c>
      <c r="S14" s="1633" t="s">
        <v>1327</v>
      </c>
      <c r="T14" s="1633" t="s">
        <v>1327</v>
      </c>
      <c r="U14" s="1633" t="s">
        <v>1327</v>
      </c>
      <c r="V14" s="1633" t="s">
        <v>1327</v>
      </c>
      <c r="W14" s="1633" t="s">
        <v>3107</v>
      </c>
      <c r="X14" s="1633" t="s">
        <v>3108</v>
      </c>
      <c r="Y14" s="1633" t="s">
        <v>3109</v>
      </c>
      <c r="Z14" s="1633" t="s">
        <v>3110</v>
      </c>
      <c r="AA14" s="1633" t="s">
        <v>3110</v>
      </c>
      <c r="AB14" s="1633" t="s">
        <v>3111</v>
      </c>
      <c r="AC14" s="1633" t="s">
        <v>3112</v>
      </c>
      <c r="AD14" s="1633" t="s">
        <v>3113</v>
      </c>
      <c r="AE14" s="1633">
        <v>560</v>
      </c>
      <c r="AF14" s="1633">
        <v>1862.01</v>
      </c>
      <c r="AG14" s="1633">
        <v>1862.01</v>
      </c>
      <c r="AH14" s="1633">
        <v>31.4</v>
      </c>
      <c r="AI14" s="1633">
        <v>31.4</v>
      </c>
      <c r="AJ14" s="1633">
        <v>314</v>
      </c>
      <c r="AK14" s="1633">
        <v>314</v>
      </c>
      <c r="AL14" s="1633" t="s">
        <v>1327</v>
      </c>
      <c r="AM14" s="1633" t="s">
        <v>1327</v>
      </c>
      <c r="AN14" s="1633">
        <v>0</v>
      </c>
      <c r="AO14" s="1633" t="s">
        <v>3114</v>
      </c>
      <c r="AP14" s="1633" t="s">
        <v>1327</v>
      </c>
      <c r="AQ14" s="1633" t="s">
        <v>1327</v>
      </c>
      <c r="AR14" s="1633" t="s">
        <v>1327</v>
      </c>
      <c r="AS14" s="1633" t="s">
        <v>3115</v>
      </c>
    </row>
    <row r="15" spans="1:45">
      <c r="A15" s="1633" t="s">
        <v>3123</v>
      </c>
      <c r="B15" s="1633" t="s">
        <v>3098</v>
      </c>
      <c r="C15" s="1633" t="s">
        <v>3099</v>
      </c>
      <c r="D15" s="1633" t="s">
        <v>3100</v>
      </c>
      <c r="E15" s="1633" t="s">
        <v>1327</v>
      </c>
      <c r="F15" s="1633" t="s">
        <v>3123</v>
      </c>
      <c r="G15" s="1633" t="s">
        <v>3101</v>
      </c>
      <c r="H15" s="1633" t="s">
        <v>3139</v>
      </c>
      <c r="I15" s="1633" t="s">
        <v>3103</v>
      </c>
      <c r="J15" s="1633">
        <v>30522.82</v>
      </c>
      <c r="K15" s="1633">
        <v>97673.02</v>
      </c>
      <c r="L15" s="1633" t="s">
        <v>3117</v>
      </c>
      <c r="M15" s="1633" t="s">
        <v>1327</v>
      </c>
      <c r="N15" s="1633" t="s">
        <v>3125</v>
      </c>
      <c r="O15" s="1633" t="s">
        <v>3106</v>
      </c>
      <c r="P15" s="1633" t="s">
        <v>1327</v>
      </c>
      <c r="Q15" s="1633" t="s">
        <v>1327</v>
      </c>
      <c r="R15" s="1633" t="s">
        <v>1327</v>
      </c>
      <c r="S15" s="1633" t="s">
        <v>1327</v>
      </c>
      <c r="T15" s="1633" t="s">
        <v>1327</v>
      </c>
      <c r="U15" s="1633" t="s">
        <v>1327</v>
      </c>
      <c r="V15" s="1633" t="s">
        <v>1327</v>
      </c>
      <c r="W15" s="1633" t="s">
        <v>3107</v>
      </c>
      <c r="X15" s="1633" t="s">
        <v>3108</v>
      </c>
      <c r="Y15" s="1633" t="s">
        <v>3109</v>
      </c>
      <c r="Z15" s="1633" t="s">
        <v>3110</v>
      </c>
      <c r="AA15" s="1633" t="s">
        <v>3110</v>
      </c>
      <c r="AB15" s="1633" t="s">
        <v>3111</v>
      </c>
      <c r="AC15" s="1633" t="s">
        <v>3112</v>
      </c>
      <c r="AD15" s="1633" t="s">
        <v>3113</v>
      </c>
      <c r="AE15" s="1633">
        <v>440</v>
      </c>
      <c r="AF15" s="1633">
        <v>1437.49</v>
      </c>
      <c r="AG15" s="1633">
        <v>1437.49</v>
      </c>
      <c r="AH15" s="1633">
        <v>31.4</v>
      </c>
      <c r="AI15" s="1633">
        <v>31.4</v>
      </c>
      <c r="AJ15" s="1633">
        <v>147.16999999999999</v>
      </c>
      <c r="AK15" s="1633">
        <v>147.16</v>
      </c>
      <c r="AL15" s="1633" t="s">
        <v>1327</v>
      </c>
      <c r="AM15" s="1633" t="s">
        <v>1327</v>
      </c>
      <c r="AN15" s="1633">
        <v>0</v>
      </c>
      <c r="AO15" s="1633" t="s">
        <v>3114</v>
      </c>
      <c r="AP15" s="1633" t="s">
        <v>1327</v>
      </c>
      <c r="AQ15" s="1633" t="s">
        <v>1327</v>
      </c>
      <c r="AR15" s="1633" t="s">
        <v>1327</v>
      </c>
      <c r="AS15" s="1633" t="s">
        <v>3115</v>
      </c>
    </row>
    <row r="16" spans="1:45">
      <c r="A16" s="1633" t="s">
        <v>3140</v>
      </c>
      <c r="B16" s="1633" t="s">
        <v>3098</v>
      </c>
      <c r="C16" s="1633" t="s">
        <v>3099</v>
      </c>
      <c r="D16" s="1633" t="s">
        <v>3100</v>
      </c>
      <c r="E16" s="1633" t="s">
        <v>1327</v>
      </c>
      <c r="F16" s="1633" t="s">
        <v>3140</v>
      </c>
      <c r="G16" s="1633" t="s">
        <v>3101</v>
      </c>
      <c r="H16" s="1633" t="s">
        <v>3141</v>
      </c>
      <c r="I16" s="1633" t="s">
        <v>3103</v>
      </c>
      <c r="J16" s="1633">
        <v>22461.07</v>
      </c>
      <c r="K16" s="1633">
        <v>71875.42</v>
      </c>
      <c r="L16" s="1633" t="s">
        <v>3117</v>
      </c>
      <c r="M16" s="1633" t="s">
        <v>1327</v>
      </c>
      <c r="N16" s="1633" t="s">
        <v>3125</v>
      </c>
      <c r="O16" s="1633" t="s">
        <v>3106</v>
      </c>
      <c r="P16" s="1633" t="s">
        <v>1327</v>
      </c>
      <c r="Q16" s="1633" t="s">
        <v>1327</v>
      </c>
      <c r="R16" s="1633" t="s">
        <v>1327</v>
      </c>
      <c r="S16" s="1633" t="s">
        <v>1327</v>
      </c>
      <c r="T16" s="1633" t="s">
        <v>1327</v>
      </c>
      <c r="U16" s="1633" t="s">
        <v>1327</v>
      </c>
      <c r="V16" s="1633" t="s">
        <v>1327</v>
      </c>
      <c r="W16" s="1633" t="s">
        <v>3107</v>
      </c>
      <c r="X16" s="1633" t="s">
        <v>3108</v>
      </c>
      <c r="Y16" s="1633" t="s">
        <v>3109</v>
      </c>
      <c r="Z16" s="1633" t="s">
        <v>3110</v>
      </c>
      <c r="AA16" s="1633" t="s">
        <v>3110</v>
      </c>
      <c r="AB16" s="1633" t="s">
        <v>3111</v>
      </c>
      <c r="AC16" s="1633" t="s">
        <v>3112</v>
      </c>
      <c r="AD16" s="1633" t="s">
        <v>3113</v>
      </c>
      <c r="AE16" s="1633">
        <v>320</v>
      </c>
      <c r="AF16" s="1633">
        <v>1057.8599999999999</v>
      </c>
      <c r="AG16" s="1633">
        <v>1057.8599999999999</v>
      </c>
      <c r="AH16" s="1633">
        <v>31.4</v>
      </c>
      <c r="AI16" s="1633">
        <v>31.4</v>
      </c>
      <c r="AJ16" s="1633">
        <v>147.18</v>
      </c>
      <c r="AK16" s="1633">
        <v>147.18</v>
      </c>
      <c r="AL16" s="1633" t="s">
        <v>1327</v>
      </c>
      <c r="AM16" s="1633" t="s">
        <v>1327</v>
      </c>
      <c r="AN16" s="1633">
        <v>0</v>
      </c>
      <c r="AO16" s="1633" t="s">
        <v>3114</v>
      </c>
      <c r="AP16" s="1633" t="s">
        <v>1327</v>
      </c>
      <c r="AQ16" s="1633" t="s">
        <v>1327</v>
      </c>
      <c r="AR16" s="1633" t="s">
        <v>1327</v>
      </c>
      <c r="AS16" s="1633" t="s">
        <v>3115</v>
      </c>
    </row>
    <row r="17" spans="1:45">
      <c r="A17" s="1633" t="s">
        <v>3129</v>
      </c>
      <c r="B17" s="1633" t="s">
        <v>3098</v>
      </c>
      <c r="C17" s="1633" t="s">
        <v>3099</v>
      </c>
      <c r="D17" s="1633" t="s">
        <v>3100</v>
      </c>
      <c r="E17" s="1633" t="s">
        <v>1327</v>
      </c>
      <c r="F17" s="1633" t="s">
        <v>3129</v>
      </c>
      <c r="G17" s="1633" t="s">
        <v>3101</v>
      </c>
      <c r="H17" s="1633" t="s">
        <v>3142</v>
      </c>
      <c r="I17" s="1633" t="s">
        <v>3103</v>
      </c>
      <c r="J17" s="1633">
        <v>38017.97</v>
      </c>
      <c r="K17" s="1633">
        <v>121657.5</v>
      </c>
      <c r="L17" s="1633" t="s">
        <v>3117</v>
      </c>
      <c r="M17" s="1633" t="s">
        <v>1327</v>
      </c>
      <c r="N17" s="1633" t="s">
        <v>3125</v>
      </c>
      <c r="O17" s="1633" t="s">
        <v>3106</v>
      </c>
      <c r="P17" s="1633" t="s">
        <v>1327</v>
      </c>
      <c r="Q17" s="1633" t="s">
        <v>1327</v>
      </c>
      <c r="R17" s="1633" t="s">
        <v>1327</v>
      </c>
      <c r="S17" s="1633" t="s">
        <v>1327</v>
      </c>
      <c r="T17" s="1633" t="s">
        <v>1327</v>
      </c>
      <c r="U17" s="1633" t="s">
        <v>1327</v>
      </c>
      <c r="V17" s="1633" t="s">
        <v>1327</v>
      </c>
      <c r="W17" s="1633" t="s">
        <v>3107</v>
      </c>
      <c r="X17" s="1633" t="s">
        <v>3108</v>
      </c>
      <c r="Y17" s="1633" t="s">
        <v>3109</v>
      </c>
      <c r="Z17" s="1633" t="s">
        <v>3110</v>
      </c>
      <c r="AA17" s="1633" t="s">
        <v>3110</v>
      </c>
      <c r="AB17" s="1633" t="s">
        <v>3111</v>
      </c>
      <c r="AC17" s="1633" t="s">
        <v>3112</v>
      </c>
      <c r="AD17" s="1633" t="s">
        <v>3113</v>
      </c>
      <c r="AE17" s="1633">
        <v>540</v>
      </c>
      <c r="AF17" s="1633">
        <v>1790.74</v>
      </c>
      <c r="AG17" s="1633">
        <v>1790.74</v>
      </c>
      <c r="AH17" s="1633">
        <v>31.4</v>
      </c>
      <c r="AI17" s="1633">
        <v>31.4</v>
      </c>
      <c r="AJ17" s="1633">
        <v>147.19</v>
      </c>
      <c r="AK17" s="1633">
        <v>147.19</v>
      </c>
      <c r="AL17" s="1633" t="s">
        <v>1327</v>
      </c>
      <c r="AM17" s="1633" t="s">
        <v>1327</v>
      </c>
      <c r="AN17" s="1633">
        <v>0</v>
      </c>
      <c r="AO17" s="1633" t="s">
        <v>3114</v>
      </c>
      <c r="AP17" s="1633" t="s">
        <v>1327</v>
      </c>
      <c r="AQ17" s="1633" t="s">
        <v>1327</v>
      </c>
      <c r="AR17" s="1633" t="s">
        <v>1327</v>
      </c>
      <c r="AS17" s="1633" t="s">
        <v>3115</v>
      </c>
    </row>
    <row r="18" spans="1:45">
      <c r="A18" s="1633" t="s">
        <v>3123</v>
      </c>
      <c r="B18" s="1633" t="s">
        <v>3098</v>
      </c>
      <c r="C18" s="1633" t="s">
        <v>3099</v>
      </c>
      <c r="D18" s="1633" t="s">
        <v>3100</v>
      </c>
      <c r="E18" s="1633" t="s">
        <v>1327</v>
      </c>
      <c r="F18" s="1633" t="s">
        <v>3123</v>
      </c>
      <c r="G18" s="1633" t="s">
        <v>3101</v>
      </c>
      <c r="H18" s="1633" t="s">
        <v>3143</v>
      </c>
      <c r="I18" s="1633" t="s">
        <v>3103</v>
      </c>
      <c r="J18" s="1633">
        <v>30233.21</v>
      </c>
      <c r="K18" s="1633">
        <v>96746.27</v>
      </c>
      <c r="L18" s="1633" t="s">
        <v>3117</v>
      </c>
      <c r="M18" s="1633" t="s">
        <v>1327</v>
      </c>
      <c r="N18" s="1633" t="s">
        <v>3125</v>
      </c>
      <c r="O18" s="1633" t="s">
        <v>3106</v>
      </c>
      <c r="P18" s="1633" t="s">
        <v>1327</v>
      </c>
      <c r="Q18" s="1633" t="s">
        <v>1327</v>
      </c>
      <c r="R18" s="1633" t="s">
        <v>1327</v>
      </c>
      <c r="S18" s="1633" t="s">
        <v>1327</v>
      </c>
      <c r="T18" s="1633" t="s">
        <v>1327</v>
      </c>
      <c r="U18" s="1633" t="s">
        <v>1327</v>
      </c>
      <c r="V18" s="1633" t="s">
        <v>1327</v>
      </c>
      <c r="W18" s="1633" t="s">
        <v>3107</v>
      </c>
      <c r="X18" s="1633" t="s">
        <v>3108</v>
      </c>
      <c r="Y18" s="1633" t="s">
        <v>3109</v>
      </c>
      <c r="Z18" s="1633" t="s">
        <v>3110</v>
      </c>
      <c r="AA18" s="1633" t="s">
        <v>3110</v>
      </c>
      <c r="AB18" s="1633" t="s">
        <v>3111</v>
      </c>
      <c r="AC18" s="1633" t="s">
        <v>3112</v>
      </c>
      <c r="AD18" s="1633" t="s">
        <v>3113</v>
      </c>
      <c r="AE18" s="1633">
        <v>430</v>
      </c>
      <c r="AF18" s="1633">
        <v>1423.99</v>
      </c>
      <c r="AG18" s="1633">
        <v>1423.99</v>
      </c>
      <c r="AH18" s="1633">
        <v>31.4</v>
      </c>
      <c r="AI18" s="1633">
        <v>31.4</v>
      </c>
      <c r="AJ18" s="1633">
        <v>147.18</v>
      </c>
      <c r="AK18" s="1633">
        <v>147.18</v>
      </c>
      <c r="AL18" s="1633" t="s">
        <v>1327</v>
      </c>
      <c r="AM18" s="1633" t="s">
        <v>1327</v>
      </c>
      <c r="AN18" s="1633">
        <v>0</v>
      </c>
      <c r="AO18" s="1633" t="s">
        <v>3114</v>
      </c>
      <c r="AP18" s="1633" t="s">
        <v>1327</v>
      </c>
      <c r="AQ18" s="1633" t="s">
        <v>1327</v>
      </c>
      <c r="AR18" s="1633" t="s">
        <v>1327</v>
      </c>
      <c r="AS18" s="1633" t="s">
        <v>3115</v>
      </c>
    </row>
    <row r="19" spans="1:45" s="2943" customFormat="1" ht="12.75">
      <c r="A19" s="2943" t="s">
        <v>3144</v>
      </c>
      <c r="B19" s="2943" t="s">
        <v>3098</v>
      </c>
      <c r="C19" s="2943" t="s">
        <v>3099</v>
      </c>
      <c r="D19" s="2943" t="s">
        <v>3100</v>
      </c>
      <c r="E19" s="2943" t="s">
        <v>1327</v>
      </c>
      <c r="F19" s="2943" t="s">
        <v>3144</v>
      </c>
      <c r="G19" s="2943" t="s">
        <v>3145</v>
      </c>
      <c r="H19" s="2943" t="s">
        <v>3146</v>
      </c>
      <c r="I19" s="2943" t="s">
        <v>3103</v>
      </c>
      <c r="J19" s="2943">
        <v>63995.17</v>
      </c>
      <c r="K19" s="2943">
        <v>191985.51</v>
      </c>
      <c r="L19" s="2943" t="s">
        <v>3147</v>
      </c>
      <c r="M19" s="2943" t="s">
        <v>1327</v>
      </c>
      <c r="N19" s="2943" t="s">
        <v>3118</v>
      </c>
      <c r="O19" s="2943" t="s">
        <v>3106</v>
      </c>
      <c r="P19" s="2943" t="s">
        <v>1327</v>
      </c>
      <c r="Q19" s="2943" t="s">
        <v>1327</v>
      </c>
      <c r="R19" s="2943" t="s">
        <v>1327</v>
      </c>
      <c r="S19" s="2943" t="s">
        <v>1327</v>
      </c>
      <c r="T19" s="2943" t="s">
        <v>1327</v>
      </c>
      <c r="U19" s="2943" t="s">
        <v>1327</v>
      </c>
      <c r="V19" s="2943" t="s">
        <v>1327</v>
      </c>
      <c r="W19" s="2943" t="s">
        <v>3148</v>
      </c>
      <c r="X19" s="2943" t="s">
        <v>3149</v>
      </c>
      <c r="Y19" s="2943" t="s">
        <v>3150</v>
      </c>
      <c r="Z19" s="2943" t="s">
        <v>3150</v>
      </c>
      <c r="AA19" s="2943" t="s">
        <v>3150</v>
      </c>
      <c r="AB19" s="2943" t="s">
        <v>3151</v>
      </c>
      <c r="AC19" s="2943" t="s">
        <v>3112</v>
      </c>
      <c r="AD19" s="2943" t="s">
        <v>3152</v>
      </c>
      <c r="AE19" s="2943">
        <v>5500</v>
      </c>
      <c r="AF19" s="2943">
        <v>17758.66</v>
      </c>
      <c r="AG19" s="2943">
        <v>17758.66</v>
      </c>
      <c r="AH19" s="2943">
        <v>185</v>
      </c>
      <c r="AI19" s="2943">
        <v>185</v>
      </c>
      <c r="AJ19" s="2943">
        <v>925</v>
      </c>
      <c r="AK19" s="2943">
        <v>925</v>
      </c>
      <c r="AL19" s="2943" t="s">
        <v>1327</v>
      </c>
      <c r="AM19" s="2943" t="s">
        <v>1327</v>
      </c>
      <c r="AN19" s="2943">
        <v>0</v>
      </c>
      <c r="AO19" s="2943" t="s">
        <v>3114</v>
      </c>
      <c r="AP19" s="2943" t="s">
        <v>1327</v>
      </c>
      <c r="AQ19" s="2943" t="s">
        <v>1327</v>
      </c>
      <c r="AR19" s="2943" t="s">
        <v>1327</v>
      </c>
      <c r="AS19" s="2943" t="s">
        <v>3115</v>
      </c>
    </row>
    <row r="20" spans="1:45">
      <c r="A20" s="1633" t="s">
        <v>3153</v>
      </c>
      <c r="B20" s="1633" t="s">
        <v>3098</v>
      </c>
      <c r="C20" s="1633" t="s">
        <v>3099</v>
      </c>
      <c r="D20" s="1633" t="s">
        <v>3100</v>
      </c>
      <c r="E20" s="1633" t="s">
        <v>1327</v>
      </c>
      <c r="F20" s="1633" t="s">
        <v>3153</v>
      </c>
      <c r="G20" s="1633" t="s">
        <v>3145</v>
      </c>
      <c r="H20" s="1633" t="s">
        <v>3154</v>
      </c>
      <c r="I20" s="1633" t="s">
        <v>3103</v>
      </c>
      <c r="J20" s="1633">
        <v>11933.57</v>
      </c>
      <c r="K20" s="1633">
        <v>16707</v>
      </c>
      <c r="L20" s="1633" t="s">
        <v>3155</v>
      </c>
      <c r="M20" s="1633" t="s">
        <v>1327</v>
      </c>
      <c r="N20" s="1633" t="s">
        <v>3156</v>
      </c>
      <c r="O20" s="1633" t="s">
        <v>3157</v>
      </c>
      <c r="P20" s="1633" t="s">
        <v>1327</v>
      </c>
      <c r="Q20" s="1633" t="s">
        <v>1327</v>
      </c>
      <c r="R20" s="1633" t="s">
        <v>1327</v>
      </c>
      <c r="S20" s="1633" t="s">
        <v>1327</v>
      </c>
      <c r="T20" s="1633" t="s">
        <v>1327</v>
      </c>
      <c r="U20" s="1633" t="s">
        <v>1327</v>
      </c>
      <c r="V20" s="1633" t="s">
        <v>1327</v>
      </c>
      <c r="W20" s="1633" t="s">
        <v>3148</v>
      </c>
      <c r="X20" s="1633" t="s">
        <v>3158</v>
      </c>
      <c r="Y20" s="1633" t="s">
        <v>3159</v>
      </c>
      <c r="Z20" s="1633" t="s">
        <v>3159</v>
      </c>
      <c r="AA20" s="1633" t="s">
        <v>3159</v>
      </c>
      <c r="AB20" s="1633" t="s">
        <v>3160</v>
      </c>
      <c r="AC20" s="1633" t="s">
        <v>3112</v>
      </c>
      <c r="AD20" s="1633" t="s">
        <v>3161</v>
      </c>
      <c r="AE20" s="1633">
        <v>570</v>
      </c>
      <c r="AF20" s="1633">
        <v>1897.4</v>
      </c>
      <c r="AG20" s="1633">
        <v>1897.4</v>
      </c>
      <c r="AH20" s="1633">
        <v>106</v>
      </c>
      <c r="AI20" s="1633">
        <v>106</v>
      </c>
      <c r="AJ20" s="1633">
        <v>1135.69</v>
      </c>
      <c r="AK20" s="1633">
        <v>1135.69</v>
      </c>
      <c r="AL20" s="1633" t="s">
        <v>1327</v>
      </c>
      <c r="AM20" s="1633" t="s">
        <v>1327</v>
      </c>
      <c r="AN20" s="1633">
        <v>0</v>
      </c>
      <c r="AO20" s="1633" t="s">
        <v>3114</v>
      </c>
      <c r="AP20" s="1633" t="s">
        <v>1327</v>
      </c>
      <c r="AQ20" s="1633" t="s">
        <v>1327</v>
      </c>
      <c r="AR20" s="1633" t="s">
        <v>1327</v>
      </c>
      <c r="AS20" s="1633" t="s">
        <v>3115</v>
      </c>
    </row>
    <row r="21" spans="1:45">
      <c r="A21" s="1633" t="s">
        <v>3162</v>
      </c>
      <c r="B21" s="1633" t="s">
        <v>3098</v>
      </c>
      <c r="C21" s="1633" t="s">
        <v>3099</v>
      </c>
      <c r="D21" s="1633" t="s">
        <v>3100</v>
      </c>
      <c r="E21" s="1633" t="s">
        <v>1327</v>
      </c>
      <c r="F21" s="1633" t="s">
        <v>3162</v>
      </c>
      <c r="G21" s="1633" t="s">
        <v>3101</v>
      </c>
      <c r="H21" s="1633" t="s">
        <v>3163</v>
      </c>
      <c r="I21" s="1633" t="s">
        <v>3103</v>
      </c>
      <c r="J21" s="1633">
        <v>49295.02</v>
      </c>
      <c r="K21" s="1633">
        <v>59154.02</v>
      </c>
      <c r="L21" s="1633" t="s">
        <v>3135</v>
      </c>
      <c r="M21" s="1633" t="s">
        <v>1327</v>
      </c>
      <c r="N21" s="1633" t="s">
        <v>3118</v>
      </c>
      <c r="O21" s="1633" t="s">
        <v>3136</v>
      </c>
      <c r="P21" s="1633" t="s">
        <v>1327</v>
      </c>
      <c r="Q21" s="1633" t="s">
        <v>1327</v>
      </c>
      <c r="R21" s="1633" t="s">
        <v>1327</v>
      </c>
      <c r="S21" s="1633" t="s">
        <v>1327</v>
      </c>
      <c r="T21" s="1633" t="s">
        <v>1327</v>
      </c>
      <c r="U21" s="1633" t="s">
        <v>1327</v>
      </c>
      <c r="V21" s="1633" t="s">
        <v>1327</v>
      </c>
      <c r="W21" s="1633" t="s">
        <v>3148</v>
      </c>
      <c r="X21" s="1633" t="s">
        <v>3164</v>
      </c>
      <c r="Y21" s="1633" t="s">
        <v>3165</v>
      </c>
      <c r="Z21" s="1633" t="s">
        <v>3166</v>
      </c>
      <c r="AA21" s="1633" t="s">
        <v>3166</v>
      </c>
      <c r="AB21" s="1633" t="s">
        <v>3167</v>
      </c>
      <c r="AC21" s="1633" t="s">
        <v>3112</v>
      </c>
      <c r="AD21" s="1633" t="s">
        <v>3168</v>
      </c>
      <c r="AE21" s="1633">
        <v>2100</v>
      </c>
      <c r="AF21" s="1633">
        <v>2321.71</v>
      </c>
      <c r="AG21" s="1633">
        <v>2321.71</v>
      </c>
      <c r="AH21" s="1633">
        <v>31.4</v>
      </c>
      <c r="AI21" s="1633">
        <v>31.4</v>
      </c>
      <c r="AJ21" s="1633">
        <v>392.48</v>
      </c>
      <c r="AK21" s="1633">
        <v>392.49</v>
      </c>
      <c r="AL21" s="1633" t="s">
        <v>1327</v>
      </c>
      <c r="AM21" s="1633" t="s">
        <v>1327</v>
      </c>
      <c r="AN21" s="1633">
        <v>0</v>
      </c>
      <c r="AO21" s="1633" t="s">
        <v>3114</v>
      </c>
      <c r="AP21" s="1633" t="s">
        <v>1327</v>
      </c>
      <c r="AQ21" s="1633" t="s">
        <v>1327</v>
      </c>
      <c r="AR21" s="1633" t="s">
        <v>1327</v>
      </c>
      <c r="AS21" s="1633" t="s">
        <v>3115</v>
      </c>
    </row>
    <row r="22" spans="1:45">
      <c r="A22" s="1633" t="s">
        <v>3169</v>
      </c>
      <c r="B22" s="1633" t="s">
        <v>3098</v>
      </c>
      <c r="C22" s="1633" t="s">
        <v>3099</v>
      </c>
      <c r="D22" s="1633" t="s">
        <v>3100</v>
      </c>
      <c r="E22" s="1633" t="s">
        <v>1327</v>
      </c>
      <c r="F22" s="1633" t="s">
        <v>3169</v>
      </c>
      <c r="G22" s="1633" t="s">
        <v>3145</v>
      </c>
      <c r="H22" s="1633" t="s">
        <v>3170</v>
      </c>
      <c r="I22" s="1633" t="s">
        <v>3103</v>
      </c>
      <c r="J22" s="1633">
        <v>35612.730000000003</v>
      </c>
      <c r="K22" s="1633">
        <v>106838.19</v>
      </c>
      <c r="L22" s="1633" t="s">
        <v>3147</v>
      </c>
      <c r="M22" s="1633" t="s">
        <v>1327</v>
      </c>
      <c r="N22" s="1633" t="s">
        <v>3118</v>
      </c>
      <c r="O22" s="1633" t="s">
        <v>3171</v>
      </c>
      <c r="P22" s="1633" t="s">
        <v>1327</v>
      </c>
      <c r="Q22" s="1633" t="s">
        <v>1327</v>
      </c>
      <c r="R22" s="1633" t="s">
        <v>1327</v>
      </c>
      <c r="S22" s="1633" t="s">
        <v>1327</v>
      </c>
      <c r="T22" s="1633" t="s">
        <v>1327</v>
      </c>
      <c r="U22" s="1633" t="s">
        <v>1327</v>
      </c>
      <c r="V22" s="1633" t="s">
        <v>1327</v>
      </c>
      <c r="W22" s="1633" t="s">
        <v>3148</v>
      </c>
      <c r="X22" s="1633" t="s">
        <v>3164</v>
      </c>
      <c r="Y22" s="1633" t="s">
        <v>3172</v>
      </c>
      <c r="Z22" s="1633" t="s">
        <v>3172</v>
      </c>
      <c r="AA22" s="1633" t="s">
        <v>3172</v>
      </c>
      <c r="AB22" s="1633" t="s">
        <v>3173</v>
      </c>
      <c r="AC22" s="1633" t="s">
        <v>3112</v>
      </c>
      <c r="AD22" s="1633" t="s">
        <v>3174</v>
      </c>
      <c r="AE22" s="1633">
        <v>2090</v>
      </c>
      <c r="AF22" s="1633">
        <v>6944.6</v>
      </c>
      <c r="AG22" s="1633">
        <v>6944.6</v>
      </c>
      <c r="AH22" s="1633">
        <v>130</v>
      </c>
      <c r="AI22" s="1633">
        <v>130</v>
      </c>
      <c r="AJ22" s="1633">
        <v>650.01</v>
      </c>
      <c r="AK22" s="1633">
        <v>650</v>
      </c>
      <c r="AL22" s="1633" t="s">
        <v>1327</v>
      </c>
      <c r="AM22" s="1633" t="s">
        <v>1327</v>
      </c>
      <c r="AN22" s="1633">
        <v>0</v>
      </c>
      <c r="AO22" s="1633" t="s">
        <v>3114</v>
      </c>
      <c r="AP22" s="1633" t="s">
        <v>1327</v>
      </c>
      <c r="AQ22" s="1633" t="s">
        <v>1327</v>
      </c>
      <c r="AR22" s="1633" t="s">
        <v>1327</v>
      </c>
      <c r="AS22" s="1633" t="s">
        <v>3115</v>
      </c>
    </row>
    <row r="23" spans="1:45">
      <c r="A23" s="1633" t="s">
        <v>3175</v>
      </c>
      <c r="B23" s="1633" t="s">
        <v>3098</v>
      </c>
      <c r="C23" s="1633" t="s">
        <v>3099</v>
      </c>
      <c r="D23" s="1633" t="s">
        <v>3100</v>
      </c>
      <c r="E23" s="1633" t="s">
        <v>1327</v>
      </c>
      <c r="F23" s="1633" t="s">
        <v>3175</v>
      </c>
      <c r="G23" s="1633" t="s">
        <v>3145</v>
      </c>
      <c r="H23" s="1633" t="s">
        <v>3176</v>
      </c>
      <c r="I23" s="1633" t="s">
        <v>3103</v>
      </c>
      <c r="J23" s="1633">
        <v>25643.759999999998</v>
      </c>
      <c r="K23" s="1633">
        <v>115396.92</v>
      </c>
      <c r="L23" s="1633" t="s">
        <v>3177</v>
      </c>
      <c r="M23" s="1633" t="s">
        <v>1327</v>
      </c>
      <c r="N23" s="1633" t="s">
        <v>3178</v>
      </c>
      <c r="O23" s="1633" t="s">
        <v>3171</v>
      </c>
      <c r="P23" s="1633" t="s">
        <v>1327</v>
      </c>
      <c r="Q23" s="1633" t="s">
        <v>1327</v>
      </c>
      <c r="R23" s="1633" t="s">
        <v>1327</v>
      </c>
      <c r="S23" s="1633" t="s">
        <v>1327</v>
      </c>
      <c r="T23" s="1633" t="s">
        <v>1327</v>
      </c>
      <c r="U23" s="1633" t="s">
        <v>1327</v>
      </c>
      <c r="V23" s="1633" t="s">
        <v>1327</v>
      </c>
      <c r="W23" s="1633" t="s">
        <v>3148</v>
      </c>
      <c r="X23" s="1633" t="s">
        <v>3164</v>
      </c>
      <c r="Y23" s="1633" t="s">
        <v>3172</v>
      </c>
      <c r="Z23" s="1633" t="s">
        <v>3172</v>
      </c>
      <c r="AA23" s="1633" t="s">
        <v>3172</v>
      </c>
      <c r="AB23" s="1633" t="s">
        <v>3173</v>
      </c>
      <c r="AC23" s="1633" t="s">
        <v>3112</v>
      </c>
      <c r="AD23" s="1633" t="s">
        <v>3174</v>
      </c>
      <c r="AE23" s="1633">
        <v>1510</v>
      </c>
      <c r="AF23" s="1633">
        <v>5001.1000000000004</v>
      </c>
      <c r="AG23" s="1633">
        <v>5001.1000000000004</v>
      </c>
      <c r="AH23" s="1633">
        <v>130.01</v>
      </c>
      <c r="AI23" s="1633">
        <v>130.01</v>
      </c>
      <c r="AJ23" s="1633">
        <v>433.38</v>
      </c>
      <c r="AK23" s="1633">
        <v>433.37</v>
      </c>
      <c r="AL23" s="1633" t="s">
        <v>1327</v>
      </c>
      <c r="AM23" s="1633" t="s">
        <v>1327</v>
      </c>
      <c r="AN23" s="1633">
        <v>0</v>
      </c>
      <c r="AO23" s="1633" t="s">
        <v>3114</v>
      </c>
      <c r="AP23" s="1633" t="s">
        <v>1327</v>
      </c>
      <c r="AQ23" s="1633" t="s">
        <v>1327</v>
      </c>
      <c r="AR23" s="1633" t="s">
        <v>1327</v>
      </c>
      <c r="AS23" s="1633" t="s">
        <v>3115</v>
      </c>
    </row>
    <row r="24" spans="1:45">
      <c r="A24" s="1633" t="s">
        <v>3169</v>
      </c>
      <c r="B24" s="1633" t="s">
        <v>3098</v>
      </c>
      <c r="C24" s="1633" t="s">
        <v>3099</v>
      </c>
      <c r="D24" s="1633" t="s">
        <v>3100</v>
      </c>
      <c r="E24" s="1633" t="s">
        <v>1327</v>
      </c>
      <c r="F24" s="1633" t="s">
        <v>3169</v>
      </c>
      <c r="G24" s="1633" t="s">
        <v>3145</v>
      </c>
      <c r="H24" s="1633" t="s">
        <v>3179</v>
      </c>
      <c r="I24" s="1633" t="s">
        <v>3103</v>
      </c>
      <c r="J24" s="1633">
        <v>36239.03</v>
      </c>
      <c r="K24" s="1633">
        <v>108717.09</v>
      </c>
      <c r="L24" s="1633" t="s">
        <v>3147</v>
      </c>
      <c r="M24" s="1633" t="s">
        <v>1327</v>
      </c>
      <c r="N24" s="1633" t="s">
        <v>3118</v>
      </c>
      <c r="O24" s="1633" t="s">
        <v>3171</v>
      </c>
      <c r="P24" s="1633" t="s">
        <v>1327</v>
      </c>
      <c r="Q24" s="1633" t="s">
        <v>1327</v>
      </c>
      <c r="R24" s="1633" t="s">
        <v>1327</v>
      </c>
      <c r="S24" s="1633" t="s">
        <v>1327</v>
      </c>
      <c r="T24" s="1633" t="s">
        <v>1327</v>
      </c>
      <c r="U24" s="1633" t="s">
        <v>1327</v>
      </c>
      <c r="V24" s="1633" t="s">
        <v>1327</v>
      </c>
      <c r="W24" s="1633" t="s">
        <v>3148</v>
      </c>
      <c r="X24" s="1633" t="s">
        <v>3164</v>
      </c>
      <c r="Y24" s="1633" t="s">
        <v>3172</v>
      </c>
      <c r="Z24" s="1633" t="s">
        <v>3172</v>
      </c>
      <c r="AA24" s="1633" t="s">
        <v>3172</v>
      </c>
      <c r="AB24" s="1633" t="s">
        <v>3173</v>
      </c>
      <c r="AC24" s="1633" t="s">
        <v>3112</v>
      </c>
      <c r="AD24" s="1633" t="s">
        <v>3174</v>
      </c>
      <c r="AE24" s="1633">
        <v>2130</v>
      </c>
      <c r="AF24" s="1633">
        <v>7066.8</v>
      </c>
      <c r="AG24" s="1633">
        <v>7066.8</v>
      </c>
      <c r="AH24" s="1633">
        <v>130</v>
      </c>
      <c r="AI24" s="1633">
        <v>130</v>
      </c>
      <c r="AJ24" s="1633">
        <v>650.01</v>
      </c>
      <c r="AK24" s="1633">
        <v>650.01</v>
      </c>
      <c r="AL24" s="1633" t="s">
        <v>1327</v>
      </c>
      <c r="AM24" s="1633" t="s">
        <v>1327</v>
      </c>
      <c r="AN24" s="1633">
        <v>0</v>
      </c>
      <c r="AO24" s="1633" t="s">
        <v>3114</v>
      </c>
      <c r="AP24" s="1633" t="s">
        <v>1327</v>
      </c>
      <c r="AQ24" s="1633" t="s">
        <v>1327</v>
      </c>
      <c r="AR24" s="1633" t="s">
        <v>1327</v>
      </c>
      <c r="AS24" s="1633" t="s">
        <v>3115</v>
      </c>
    </row>
    <row r="25" spans="1:45">
      <c r="A25" s="1633" t="s">
        <v>3180</v>
      </c>
      <c r="B25" s="1633" t="s">
        <v>3098</v>
      </c>
      <c r="C25" s="1633" t="s">
        <v>3099</v>
      </c>
      <c r="D25" s="1633" t="s">
        <v>3100</v>
      </c>
      <c r="E25" s="1633" t="s">
        <v>1327</v>
      </c>
      <c r="F25" s="1633" t="s">
        <v>3180</v>
      </c>
      <c r="G25" s="1633" t="s">
        <v>3145</v>
      </c>
      <c r="H25" s="1633" t="s">
        <v>3181</v>
      </c>
      <c r="I25" s="1633" t="s">
        <v>3103</v>
      </c>
      <c r="J25" s="1633">
        <v>46867.519999999997</v>
      </c>
      <c r="K25" s="1633">
        <v>164036.32</v>
      </c>
      <c r="L25" s="1633" t="s">
        <v>3182</v>
      </c>
      <c r="M25" s="1633" t="s">
        <v>1327</v>
      </c>
      <c r="N25" s="1633" t="s">
        <v>3125</v>
      </c>
      <c r="O25" s="1633" t="s">
        <v>3171</v>
      </c>
      <c r="P25" s="1633" t="s">
        <v>1327</v>
      </c>
      <c r="Q25" s="1633" t="s">
        <v>1327</v>
      </c>
      <c r="R25" s="1633" t="s">
        <v>1327</v>
      </c>
      <c r="S25" s="1633" t="s">
        <v>1327</v>
      </c>
      <c r="T25" s="1633" t="s">
        <v>1327</v>
      </c>
      <c r="U25" s="1633" t="s">
        <v>1327</v>
      </c>
      <c r="V25" s="1633" t="s">
        <v>1327</v>
      </c>
      <c r="W25" s="1633" t="s">
        <v>3148</v>
      </c>
      <c r="X25" s="1633" t="s">
        <v>3164</v>
      </c>
      <c r="Y25" s="1633" t="s">
        <v>3172</v>
      </c>
      <c r="Z25" s="1633" t="s">
        <v>3172</v>
      </c>
      <c r="AA25" s="1633" t="s">
        <v>3172</v>
      </c>
      <c r="AB25" s="1633" t="s">
        <v>3173</v>
      </c>
      <c r="AC25" s="1633" t="s">
        <v>3112</v>
      </c>
      <c r="AD25" s="1633" t="s">
        <v>3174</v>
      </c>
      <c r="AE25" s="1633">
        <v>2750</v>
      </c>
      <c r="AF25" s="1633">
        <v>9139</v>
      </c>
      <c r="AG25" s="1633">
        <v>9139</v>
      </c>
      <c r="AH25" s="1633">
        <v>130</v>
      </c>
      <c r="AI25" s="1633">
        <v>130</v>
      </c>
      <c r="AJ25" s="1633">
        <v>557.13</v>
      </c>
      <c r="AK25" s="1633">
        <v>557.12</v>
      </c>
      <c r="AL25" s="1633" t="s">
        <v>1327</v>
      </c>
      <c r="AM25" s="1633" t="s">
        <v>1327</v>
      </c>
      <c r="AN25" s="1633">
        <v>0</v>
      </c>
      <c r="AO25" s="1633" t="s">
        <v>3114</v>
      </c>
      <c r="AP25" s="1633" t="s">
        <v>1327</v>
      </c>
      <c r="AQ25" s="1633" t="s">
        <v>1327</v>
      </c>
      <c r="AR25" s="1633" t="s">
        <v>1327</v>
      </c>
      <c r="AS25" s="1633" t="s">
        <v>3115</v>
      </c>
    </row>
    <row r="26" spans="1:45">
      <c r="A26" s="1633" t="s">
        <v>3183</v>
      </c>
      <c r="B26" s="1633" t="s">
        <v>3098</v>
      </c>
      <c r="C26" s="1633" t="s">
        <v>3099</v>
      </c>
      <c r="D26" s="1633" t="s">
        <v>3100</v>
      </c>
      <c r="E26" s="1633" t="s">
        <v>1327</v>
      </c>
      <c r="F26" s="1633" t="s">
        <v>3183</v>
      </c>
      <c r="G26" s="1633" t="s">
        <v>3101</v>
      </c>
      <c r="H26" s="1633" t="s">
        <v>3184</v>
      </c>
      <c r="I26" s="1633" t="s">
        <v>3103</v>
      </c>
      <c r="J26" s="1633">
        <v>69725.27</v>
      </c>
      <c r="K26" s="1633">
        <v>73211.53</v>
      </c>
      <c r="L26" s="1633" t="s">
        <v>3185</v>
      </c>
      <c r="M26" s="1633" t="s">
        <v>1327</v>
      </c>
      <c r="N26" s="1633" t="s">
        <v>3178</v>
      </c>
      <c r="O26" s="1633" t="s">
        <v>3186</v>
      </c>
      <c r="P26" s="1633" t="s">
        <v>1327</v>
      </c>
      <c r="Q26" s="1633" t="s">
        <v>1327</v>
      </c>
      <c r="R26" s="1633" t="s">
        <v>1327</v>
      </c>
      <c r="S26" s="1633" t="s">
        <v>1327</v>
      </c>
      <c r="T26" s="1633" t="s">
        <v>1327</v>
      </c>
      <c r="U26" s="1633" t="s">
        <v>1327</v>
      </c>
      <c r="V26" s="1633" t="s">
        <v>1327</v>
      </c>
      <c r="W26" s="1633" t="s">
        <v>3148</v>
      </c>
      <c r="X26" s="1633" t="s">
        <v>3187</v>
      </c>
      <c r="Y26" s="1633" t="s">
        <v>3188</v>
      </c>
      <c r="Z26" s="1633" t="s">
        <v>3189</v>
      </c>
      <c r="AA26" s="1633" t="s">
        <v>3189</v>
      </c>
      <c r="AB26" s="1633" t="s">
        <v>3190</v>
      </c>
      <c r="AC26" s="1633" t="s">
        <v>3112</v>
      </c>
      <c r="AD26" s="1633" t="s">
        <v>3168</v>
      </c>
      <c r="AE26" s="1633">
        <v>2960</v>
      </c>
      <c r="AF26" s="1633">
        <v>3284.13</v>
      </c>
      <c r="AG26" s="1633">
        <v>3284.13</v>
      </c>
      <c r="AH26" s="1633">
        <v>31.4</v>
      </c>
      <c r="AI26" s="1633">
        <v>31.4</v>
      </c>
      <c r="AJ26" s="1633">
        <v>448.58</v>
      </c>
      <c r="AK26" s="1633">
        <v>448.57</v>
      </c>
      <c r="AL26" s="1633" t="s">
        <v>1327</v>
      </c>
      <c r="AM26" s="1633" t="s">
        <v>1327</v>
      </c>
      <c r="AN26" s="1633">
        <v>0</v>
      </c>
      <c r="AO26" s="1633" t="s">
        <v>3114</v>
      </c>
      <c r="AP26" s="1633" t="s">
        <v>1327</v>
      </c>
      <c r="AQ26" s="1633" t="s">
        <v>1327</v>
      </c>
      <c r="AR26" s="1633" t="s">
        <v>1327</v>
      </c>
      <c r="AS26" s="1633" t="s">
        <v>3115</v>
      </c>
    </row>
    <row r="27" spans="1:45">
      <c r="A27" s="1633" t="s">
        <v>3191</v>
      </c>
      <c r="B27" s="1633" t="s">
        <v>3098</v>
      </c>
      <c r="C27" s="1633" t="s">
        <v>3099</v>
      </c>
      <c r="D27" s="1633" t="s">
        <v>3100</v>
      </c>
      <c r="E27" s="1633" t="s">
        <v>1327</v>
      </c>
      <c r="F27" s="1633" t="s">
        <v>3191</v>
      </c>
      <c r="G27" s="1633" t="s">
        <v>3101</v>
      </c>
      <c r="H27" s="1633" t="s">
        <v>3192</v>
      </c>
      <c r="I27" s="1633" t="s">
        <v>3103</v>
      </c>
      <c r="J27" s="1633">
        <v>31136.62</v>
      </c>
      <c r="K27" s="1633">
        <v>32693.45</v>
      </c>
      <c r="L27" s="1633" t="s">
        <v>3185</v>
      </c>
      <c r="M27" s="1633" t="s">
        <v>1327</v>
      </c>
      <c r="N27" s="1633" t="s">
        <v>3178</v>
      </c>
      <c r="O27" s="1633" t="s">
        <v>3186</v>
      </c>
      <c r="P27" s="1633" t="s">
        <v>1327</v>
      </c>
      <c r="Q27" s="1633" t="s">
        <v>1327</v>
      </c>
      <c r="R27" s="1633" t="s">
        <v>1327</v>
      </c>
      <c r="S27" s="1633" t="s">
        <v>1327</v>
      </c>
      <c r="T27" s="1633" t="s">
        <v>1327</v>
      </c>
      <c r="U27" s="1633" t="s">
        <v>1327</v>
      </c>
      <c r="V27" s="1633" t="s">
        <v>1327</v>
      </c>
      <c r="W27" s="1633" t="s">
        <v>3148</v>
      </c>
      <c r="X27" s="1633" t="s">
        <v>3187</v>
      </c>
      <c r="Y27" s="1633" t="s">
        <v>3188</v>
      </c>
      <c r="Z27" s="1633" t="s">
        <v>3189</v>
      </c>
      <c r="AA27" s="1633" t="s">
        <v>3189</v>
      </c>
      <c r="AB27" s="1633" t="s">
        <v>3190</v>
      </c>
      <c r="AC27" s="1633" t="s">
        <v>3112</v>
      </c>
      <c r="AD27" s="1633" t="s">
        <v>3168</v>
      </c>
      <c r="AE27" s="1633">
        <v>1320</v>
      </c>
      <c r="AF27" s="1633">
        <v>1466.38</v>
      </c>
      <c r="AG27" s="1633">
        <v>1466.38</v>
      </c>
      <c r="AH27" s="1633">
        <v>31.4</v>
      </c>
      <c r="AI27" s="1633">
        <v>31.4</v>
      </c>
      <c r="AJ27" s="1633">
        <v>448.52</v>
      </c>
      <c r="AK27" s="1633">
        <v>448.51</v>
      </c>
      <c r="AL27" s="1633" t="s">
        <v>1327</v>
      </c>
      <c r="AM27" s="1633" t="s">
        <v>1327</v>
      </c>
      <c r="AN27" s="1633">
        <v>0</v>
      </c>
      <c r="AO27" s="1633" t="s">
        <v>3114</v>
      </c>
      <c r="AP27" s="1633" t="s">
        <v>1327</v>
      </c>
      <c r="AQ27" s="1633" t="s">
        <v>1327</v>
      </c>
      <c r="AR27" s="1633" t="s">
        <v>1327</v>
      </c>
      <c r="AS27" s="1633" t="s">
        <v>3115</v>
      </c>
    </row>
    <row r="28" spans="1:45">
      <c r="A28" s="1633" t="s">
        <v>3183</v>
      </c>
      <c r="B28" s="1633" t="s">
        <v>3098</v>
      </c>
      <c r="C28" s="1633" t="s">
        <v>3099</v>
      </c>
      <c r="D28" s="1633" t="s">
        <v>3100</v>
      </c>
      <c r="E28" s="1633" t="s">
        <v>1327</v>
      </c>
      <c r="F28" s="1633" t="s">
        <v>3183</v>
      </c>
      <c r="G28" s="1633" t="s">
        <v>3101</v>
      </c>
      <c r="H28" s="1633" t="s">
        <v>3193</v>
      </c>
      <c r="I28" s="1633" t="s">
        <v>3103</v>
      </c>
      <c r="J28" s="1633">
        <v>69609.41</v>
      </c>
      <c r="K28" s="1633">
        <v>73089.88</v>
      </c>
      <c r="L28" s="1633" t="s">
        <v>3185</v>
      </c>
      <c r="M28" s="1633" t="s">
        <v>1327</v>
      </c>
      <c r="N28" s="1633" t="s">
        <v>3178</v>
      </c>
      <c r="O28" s="1633" t="s">
        <v>3186</v>
      </c>
      <c r="P28" s="1633" t="s">
        <v>1327</v>
      </c>
      <c r="Q28" s="1633" t="s">
        <v>1327</v>
      </c>
      <c r="R28" s="1633" t="s">
        <v>1327</v>
      </c>
      <c r="S28" s="1633" t="s">
        <v>1327</v>
      </c>
      <c r="T28" s="1633" t="s">
        <v>1327</v>
      </c>
      <c r="U28" s="1633" t="s">
        <v>1327</v>
      </c>
      <c r="V28" s="1633" t="s">
        <v>1327</v>
      </c>
      <c r="W28" s="1633" t="s">
        <v>3148</v>
      </c>
      <c r="X28" s="1633" t="s">
        <v>3187</v>
      </c>
      <c r="Y28" s="1633" t="s">
        <v>3188</v>
      </c>
      <c r="Z28" s="1633" t="s">
        <v>3189</v>
      </c>
      <c r="AA28" s="1633" t="s">
        <v>3189</v>
      </c>
      <c r="AB28" s="1633" t="s">
        <v>3190</v>
      </c>
      <c r="AC28" s="1633" t="s">
        <v>3112</v>
      </c>
      <c r="AD28" s="1633" t="s">
        <v>3168</v>
      </c>
      <c r="AE28" s="1633">
        <v>2960</v>
      </c>
      <c r="AF28" s="1633">
        <v>3278.46</v>
      </c>
      <c r="AG28" s="1633">
        <v>3278.46</v>
      </c>
      <c r="AH28" s="1633">
        <v>31.4</v>
      </c>
      <c r="AI28" s="1633">
        <v>31.4</v>
      </c>
      <c r="AJ28" s="1633">
        <v>448.55</v>
      </c>
      <c r="AK28" s="1633">
        <v>448.55</v>
      </c>
      <c r="AL28" s="1633" t="s">
        <v>1327</v>
      </c>
      <c r="AM28" s="1633" t="s">
        <v>1327</v>
      </c>
      <c r="AN28" s="1633">
        <v>0</v>
      </c>
      <c r="AO28" s="1633" t="s">
        <v>3114</v>
      </c>
      <c r="AP28" s="1633" t="s">
        <v>1327</v>
      </c>
      <c r="AQ28" s="1633" t="s">
        <v>1327</v>
      </c>
      <c r="AR28" s="1633" t="s">
        <v>1327</v>
      </c>
      <c r="AS28" s="1633" t="s">
        <v>3115</v>
      </c>
    </row>
    <row r="29" spans="1:45">
      <c r="A29" s="1633" t="s">
        <v>3191</v>
      </c>
      <c r="B29" s="1633" t="s">
        <v>3098</v>
      </c>
      <c r="C29" s="1633" t="s">
        <v>3099</v>
      </c>
      <c r="D29" s="1633" t="s">
        <v>3100</v>
      </c>
      <c r="E29" s="1633" t="s">
        <v>1327</v>
      </c>
      <c r="F29" s="1633" t="s">
        <v>3191</v>
      </c>
      <c r="G29" s="1633" t="s">
        <v>3101</v>
      </c>
      <c r="H29" s="1633" t="s">
        <v>3194</v>
      </c>
      <c r="I29" s="1633" t="s">
        <v>3103</v>
      </c>
      <c r="J29" s="1633">
        <v>56392.24</v>
      </c>
      <c r="K29" s="1633">
        <v>59211.85</v>
      </c>
      <c r="L29" s="1633" t="s">
        <v>3185</v>
      </c>
      <c r="M29" s="1633" t="s">
        <v>1327</v>
      </c>
      <c r="N29" s="1633" t="s">
        <v>3178</v>
      </c>
      <c r="O29" s="1633" t="s">
        <v>3186</v>
      </c>
      <c r="P29" s="1633" t="s">
        <v>1327</v>
      </c>
      <c r="Q29" s="1633" t="s">
        <v>1327</v>
      </c>
      <c r="R29" s="1633" t="s">
        <v>1327</v>
      </c>
      <c r="S29" s="1633" t="s">
        <v>1327</v>
      </c>
      <c r="T29" s="1633" t="s">
        <v>1327</v>
      </c>
      <c r="U29" s="1633" t="s">
        <v>1327</v>
      </c>
      <c r="V29" s="1633" t="s">
        <v>1327</v>
      </c>
      <c r="W29" s="1633" t="s">
        <v>3148</v>
      </c>
      <c r="X29" s="1633" t="s">
        <v>3187</v>
      </c>
      <c r="Y29" s="1633" t="s">
        <v>3188</v>
      </c>
      <c r="Z29" s="1633" t="s">
        <v>3189</v>
      </c>
      <c r="AA29" s="1633" t="s">
        <v>3189</v>
      </c>
      <c r="AB29" s="1633" t="s">
        <v>3190</v>
      </c>
      <c r="AC29" s="1633" t="s">
        <v>3112</v>
      </c>
      <c r="AD29" s="1633" t="s">
        <v>3168</v>
      </c>
      <c r="AE29" s="1633">
        <v>2400</v>
      </c>
      <c r="AF29" s="1633">
        <v>2656.13</v>
      </c>
      <c r="AG29" s="1633">
        <v>2656.13</v>
      </c>
      <c r="AH29" s="1633">
        <v>31.4</v>
      </c>
      <c r="AI29" s="1633">
        <v>31.4</v>
      </c>
      <c r="AJ29" s="1633">
        <v>448.58</v>
      </c>
      <c r="AK29" s="1633">
        <v>448.57</v>
      </c>
      <c r="AL29" s="1633" t="s">
        <v>1327</v>
      </c>
      <c r="AM29" s="1633" t="s">
        <v>1327</v>
      </c>
      <c r="AN29" s="1633">
        <v>0</v>
      </c>
      <c r="AO29" s="1633" t="s">
        <v>3114</v>
      </c>
      <c r="AP29" s="1633" t="s">
        <v>1327</v>
      </c>
      <c r="AQ29" s="1633" t="s">
        <v>1327</v>
      </c>
      <c r="AR29" s="1633" t="s">
        <v>1327</v>
      </c>
      <c r="AS29" s="1633" t="s">
        <v>3115</v>
      </c>
    </row>
    <row r="30" spans="1:45">
      <c r="A30" s="1633" t="s">
        <v>3191</v>
      </c>
      <c r="B30" s="1633" t="s">
        <v>3098</v>
      </c>
      <c r="C30" s="1633" t="s">
        <v>3099</v>
      </c>
      <c r="D30" s="1633" t="s">
        <v>3100</v>
      </c>
      <c r="E30" s="1633" t="s">
        <v>1327</v>
      </c>
      <c r="F30" s="1633" t="s">
        <v>3191</v>
      </c>
      <c r="G30" s="1633" t="s">
        <v>3101</v>
      </c>
      <c r="H30" s="1633" t="s">
        <v>3195</v>
      </c>
      <c r="I30" s="1633" t="s">
        <v>3103</v>
      </c>
      <c r="J30" s="1633">
        <v>52429.63</v>
      </c>
      <c r="K30" s="1633">
        <v>55051.11</v>
      </c>
      <c r="L30" s="1633" t="s">
        <v>3185</v>
      </c>
      <c r="M30" s="1633" t="s">
        <v>1327</v>
      </c>
      <c r="N30" s="1633" t="s">
        <v>3178</v>
      </c>
      <c r="O30" s="1633" t="s">
        <v>3186</v>
      </c>
      <c r="P30" s="1633" t="s">
        <v>1327</v>
      </c>
      <c r="Q30" s="1633" t="s">
        <v>1327</v>
      </c>
      <c r="R30" s="1633" t="s">
        <v>1327</v>
      </c>
      <c r="S30" s="1633" t="s">
        <v>1327</v>
      </c>
      <c r="T30" s="1633" t="s">
        <v>1327</v>
      </c>
      <c r="U30" s="1633" t="s">
        <v>1327</v>
      </c>
      <c r="V30" s="1633" t="s">
        <v>1327</v>
      </c>
      <c r="W30" s="1633" t="s">
        <v>3148</v>
      </c>
      <c r="X30" s="1633" t="s">
        <v>3187</v>
      </c>
      <c r="Y30" s="1633" t="s">
        <v>3188</v>
      </c>
      <c r="Z30" s="1633" t="s">
        <v>3189</v>
      </c>
      <c r="AA30" s="1633" t="s">
        <v>3189</v>
      </c>
      <c r="AB30" s="1633" t="s">
        <v>3190</v>
      </c>
      <c r="AC30" s="1633" t="s">
        <v>3112</v>
      </c>
      <c r="AD30" s="1633" t="s">
        <v>3168</v>
      </c>
      <c r="AE30" s="1633">
        <v>2230</v>
      </c>
      <c r="AF30" s="1633">
        <v>2469.3000000000002</v>
      </c>
      <c r="AG30" s="1633">
        <v>2469.3000000000002</v>
      </c>
      <c r="AH30" s="1633">
        <v>31.4</v>
      </c>
      <c r="AI30" s="1633">
        <v>31.4</v>
      </c>
      <c r="AJ30" s="1633">
        <v>448.54</v>
      </c>
      <c r="AK30" s="1633">
        <v>448.55</v>
      </c>
      <c r="AL30" s="1633" t="s">
        <v>1327</v>
      </c>
      <c r="AM30" s="1633" t="s">
        <v>1327</v>
      </c>
      <c r="AN30" s="1633">
        <v>0</v>
      </c>
      <c r="AO30" s="1633" t="s">
        <v>3114</v>
      </c>
      <c r="AP30" s="1633" t="s">
        <v>1327</v>
      </c>
      <c r="AQ30" s="1633" t="s">
        <v>1327</v>
      </c>
      <c r="AR30" s="1633" t="s">
        <v>1327</v>
      </c>
      <c r="AS30" s="1633" t="s">
        <v>3115</v>
      </c>
    </row>
    <row r="31" spans="1:45">
      <c r="A31" s="1633" t="s">
        <v>3196</v>
      </c>
      <c r="B31" s="1633" t="s">
        <v>3098</v>
      </c>
      <c r="C31" s="1633" t="s">
        <v>3099</v>
      </c>
      <c r="D31" s="1633" t="s">
        <v>3100</v>
      </c>
      <c r="E31" s="1633" t="s">
        <v>1327</v>
      </c>
      <c r="F31" s="1633" t="s">
        <v>3196</v>
      </c>
      <c r="G31" s="1633" t="s">
        <v>3101</v>
      </c>
      <c r="H31" s="1633" t="s">
        <v>3197</v>
      </c>
      <c r="I31" s="1633" t="s">
        <v>3103</v>
      </c>
      <c r="J31" s="1633">
        <v>37013.72</v>
      </c>
      <c r="K31" s="1633">
        <v>81430.179999999993</v>
      </c>
      <c r="L31" s="1633" t="s">
        <v>3198</v>
      </c>
      <c r="M31" s="1633" t="s">
        <v>1327</v>
      </c>
      <c r="N31" s="1633" t="s">
        <v>3125</v>
      </c>
      <c r="O31" s="1633" t="s">
        <v>3119</v>
      </c>
      <c r="P31" s="1633" t="s">
        <v>1327</v>
      </c>
      <c r="Q31" s="1633" t="s">
        <v>1327</v>
      </c>
      <c r="R31" s="1633" t="s">
        <v>1327</v>
      </c>
      <c r="S31" s="1633" t="s">
        <v>1327</v>
      </c>
      <c r="T31" s="1633" t="s">
        <v>1327</v>
      </c>
      <c r="U31" s="1633" t="s">
        <v>1327</v>
      </c>
      <c r="V31" s="1633" t="s">
        <v>1327</v>
      </c>
      <c r="W31" s="1633" t="s">
        <v>3148</v>
      </c>
      <c r="X31" s="1633" t="s">
        <v>3199</v>
      </c>
      <c r="Y31" s="1633" t="s">
        <v>3200</v>
      </c>
      <c r="Z31" s="1633" t="s">
        <v>3201</v>
      </c>
      <c r="AA31" s="1633" t="s">
        <v>3201</v>
      </c>
      <c r="AB31" s="1633" t="s">
        <v>3202</v>
      </c>
      <c r="AC31" s="1633" t="s">
        <v>3112</v>
      </c>
      <c r="AD31" s="1633" t="s">
        <v>3203</v>
      </c>
      <c r="AE31" s="1633">
        <v>1570</v>
      </c>
      <c r="AF31" s="1633">
        <v>1743.32</v>
      </c>
      <c r="AG31" s="1633">
        <v>1743.32</v>
      </c>
      <c r="AH31" s="1633">
        <v>31.4</v>
      </c>
      <c r="AI31" s="1633">
        <v>31.4</v>
      </c>
      <c r="AJ31" s="1633">
        <v>214.08</v>
      </c>
      <c r="AK31" s="1633">
        <v>214.09</v>
      </c>
      <c r="AL31" s="1633" t="s">
        <v>1327</v>
      </c>
      <c r="AM31" s="1633" t="s">
        <v>1327</v>
      </c>
      <c r="AN31" s="1633">
        <v>0</v>
      </c>
      <c r="AO31" s="1633" t="s">
        <v>3114</v>
      </c>
      <c r="AP31" s="1633" t="s">
        <v>1327</v>
      </c>
      <c r="AQ31" s="1633" t="s">
        <v>1327</v>
      </c>
      <c r="AR31" s="1633" t="s">
        <v>1327</v>
      </c>
      <c r="AS31" s="1633" t="s">
        <v>3115</v>
      </c>
    </row>
    <row r="32" spans="1:45">
      <c r="A32" s="1633" t="s">
        <v>3196</v>
      </c>
      <c r="B32" s="1633" t="s">
        <v>3098</v>
      </c>
      <c r="C32" s="1633" t="s">
        <v>3099</v>
      </c>
      <c r="D32" s="1633" t="s">
        <v>3100</v>
      </c>
      <c r="E32" s="1633" t="s">
        <v>1327</v>
      </c>
      <c r="F32" s="1633" t="s">
        <v>3196</v>
      </c>
      <c r="G32" s="1633" t="s">
        <v>3101</v>
      </c>
      <c r="H32" s="1633" t="s">
        <v>3204</v>
      </c>
      <c r="I32" s="1633" t="s">
        <v>3103</v>
      </c>
      <c r="J32" s="1633">
        <v>39015.42</v>
      </c>
      <c r="K32" s="1633">
        <v>85833.919999999998</v>
      </c>
      <c r="L32" s="1633" t="s">
        <v>3198</v>
      </c>
      <c r="M32" s="1633" t="s">
        <v>1327</v>
      </c>
      <c r="N32" s="1633" t="s">
        <v>3125</v>
      </c>
      <c r="O32" s="1633" t="s">
        <v>3119</v>
      </c>
      <c r="P32" s="1633" t="s">
        <v>1327</v>
      </c>
      <c r="Q32" s="1633" t="s">
        <v>1327</v>
      </c>
      <c r="R32" s="1633" t="s">
        <v>1327</v>
      </c>
      <c r="S32" s="1633" t="s">
        <v>1327</v>
      </c>
      <c r="T32" s="1633" t="s">
        <v>1327</v>
      </c>
      <c r="U32" s="1633" t="s">
        <v>1327</v>
      </c>
      <c r="V32" s="1633" t="s">
        <v>1327</v>
      </c>
      <c r="W32" s="1633" t="s">
        <v>3148</v>
      </c>
      <c r="X32" s="1633" t="s">
        <v>3199</v>
      </c>
      <c r="Y32" s="1633" t="s">
        <v>3200</v>
      </c>
      <c r="Z32" s="1633" t="s">
        <v>3201</v>
      </c>
      <c r="AA32" s="1633" t="s">
        <v>3201</v>
      </c>
      <c r="AB32" s="1633" t="s">
        <v>3202</v>
      </c>
      <c r="AC32" s="1633" t="s">
        <v>3112</v>
      </c>
      <c r="AD32" s="1633" t="s">
        <v>3203</v>
      </c>
      <c r="AE32" s="1633">
        <v>1660</v>
      </c>
      <c r="AF32" s="1633">
        <v>1837.52</v>
      </c>
      <c r="AG32" s="1633">
        <v>1837.52</v>
      </c>
      <c r="AH32" s="1633">
        <v>31.4</v>
      </c>
      <c r="AI32" s="1633">
        <v>31.4</v>
      </c>
      <c r="AJ32" s="1633">
        <v>214.07</v>
      </c>
      <c r="AK32" s="1633">
        <v>214.08</v>
      </c>
      <c r="AL32" s="1633" t="s">
        <v>1327</v>
      </c>
      <c r="AM32" s="1633" t="s">
        <v>1327</v>
      </c>
      <c r="AN32" s="1633">
        <v>0</v>
      </c>
      <c r="AO32" s="1633" t="s">
        <v>3114</v>
      </c>
      <c r="AP32" s="1633" t="s">
        <v>1327</v>
      </c>
      <c r="AQ32" s="1633" t="s">
        <v>1327</v>
      </c>
      <c r="AR32" s="1633" t="s">
        <v>1327</v>
      </c>
      <c r="AS32" s="1633" t="s">
        <v>3115</v>
      </c>
    </row>
    <row r="33" spans="1:45">
      <c r="A33" s="1633" t="s">
        <v>3196</v>
      </c>
      <c r="B33" s="1633" t="s">
        <v>3098</v>
      </c>
      <c r="C33" s="1633" t="s">
        <v>3099</v>
      </c>
      <c r="D33" s="1633" t="s">
        <v>3100</v>
      </c>
      <c r="E33" s="1633" t="s">
        <v>1327</v>
      </c>
      <c r="F33" s="1633" t="s">
        <v>3196</v>
      </c>
      <c r="G33" s="1633" t="s">
        <v>3101</v>
      </c>
      <c r="H33" s="1633" t="s">
        <v>3205</v>
      </c>
      <c r="I33" s="1633" t="s">
        <v>3103</v>
      </c>
      <c r="J33" s="1633">
        <v>52349.1</v>
      </c>
      <c r="K33" s="1633">
        <v>115168</v>
      </c>
      <c r="L33" s="1633" t="s">
        <v>3198</v>
      </c>
      <c r="M33" s="1633" t="s">
        <v>1327</v>
      </c>
      <c r="N33" s="1633" t="s">
        <v>3125</v>
      </c>
      <c r="O33" s="1633" t="s">
        <v>3119</v>
      </c>
      <c r="P33" s="1633" t="s">
        <v>1327</v>
      </c>
      <c r="Q33" s="1633" t="s">
        <v>1327</v>
      </c>
      <c r="R33" s="1633" t="s">
        <v>1327</v>
      </c>
      <c r="S33" s="1633" t="s">
        <v>1327</v>
      </c>
      <c r="T33" s="1633" t="s">
        <v>1327</v>
      </c>
      <c r="U33" s="1633" t="s">
        <v>1327</v>
      </c>
      <c r="V33" s="1633" t="s">
        <v>1327</v>
      </c>
      <c r="W33" s="1633" t="s">
        <v>3148</v>
      </c>
      <c r="X33" s="1633" t="s">
        <v>3199</v>
      </c>
      <c r="Y33" s="1633" t="s">
        <v>3200</v>
      </c>
      <c r="Z33" s="1633" t="s">
        <v>3201</v>
      </c>
      <c r="AA33" s="1633" t="s">
        <v>3201</v>
      </c>
      <c r="AB33" s="1633" t="s">
        <v>3202</v>
      </c>
      <c r="AC33" s="1633" t="s">
        <v>3112</v>
      </c>
      <c r="AD33" s="1633" t="s">
        <v>3203</v>
      </c>
      <c r="AE33" s="1633">
        <v>2220</v>
      </c>
      <c r="AF33" s="1633">
        <v>2465.5300000000002</v>
      </c>
      <c r="AG33" s="1633">
        <v>2465.5300000000002</v>
      </c>
      <c r="AH33" s="1633">
        <v>31.4</v>
      </c>
      <c r="AI33" s="1633">
        <v>31.4</v>
      </c>
      <c r="AJ33" s="1633">
        <v>214.08</v>
      </c>
      <c r="AK33" s="1633">
        <v>214.08</v>
      </c>
      <c r="AL33" s="1633" t="s">
        <v>1327</v>
      </c>
      <c r="AM33" s="1633" t="s">
        <v>1327</v>
      </c>
      <c r="AN33" s="1633">
        <v>0</v>
      </c>
      <c r="AO33" s="1633" t="s">
        <v>3114</v>
      </c>
      <c r="AP33" s="1633" t="s">
        <v>1327</v>
      </c>
      <c r="AQ33" s="1633" t="s">
        <v>1327</v>
      </c>
      <c r="AR33" s="1633" t="s">
        <v>1327</v>
      </c>
      <c r="AS33" s="1633" t="s">
        <v>3115</v>
      </c>
    </row>
    <row r="34" spans="1:45">
      <c r="A34" s="1633" t="s">
        <v>3196</v>
      </c>
      <c r="B34" s="1633" t="s">
        <v>3098</v>
      </c>
      <c r="C34" s="1633" t="s">
        <v>3099</v>
      </c>
      <c r="D34" s="1633" t="s">
        <v>3100</v>
      </c>
      <c r="E34" s="1633" t="s">
        <v>1327</v>
      </c>
      <c r="F34" s="1633" t="s">
        <v>3196</v>
      </c>
      <c r="G34" s="1633" t="s">
        <v>3101</v>
      </c>
      <c r="H34" s="1633" t="s">
        <v>3206</v>
      </c>
      <c r="I34" s="1633" t="s">
        <v>3103</v>
      </c>
      <c r="J34" s="1633">
        <v>44393.45</v>
      </c>
      <c r="K34" s="1633">
        <v>97665.59</v>
      </c>
      <c r="L34" s="1633" t="s">
        <v>3198</v>
      </c>
      <c r="M34" s="1633" t="s">
        <v>1327</v>
      </c>
      <c r="N34" s="1633" t="s">
        <v>3125</v>
      </c>
      <c r="O34" s="1633" t="s">
        <v>3119</v>
      </c>
      <c r="P34" s="1633" t="s">
        <v>1327</v>
      </c>
      <c r="Q34" s="1633" t="s">
        <v>1327</v>
      </c>
      <c r="R34" s="1633" t="s">
        <v>1327</v>
      </c>
      <c r="S34" s="1633" t="s">
        <v>1327</v>
      </c>
      <c r="T34" s="1633" t="s">
        <v>1327</v>
      </c>
      <c r="U34" s="1633" t="s">
        <v>1327</v>
      </c>
      <c r="V34" s="1633" t="s">
        <v>1327</v>
      </c>
      <c r="W34" s="1633" t="s">
        <v>3148</v>
      </c>
      <c r="X34" s="1633" t="s">
        <v>3199</v>
      </c>
      <c r="Y34" s="1633" t="s">
        <v>3200</v>
      </c>
      <c r="Z34" s="1633" t="s">
        <v>3201</v>
      </c>
      <c r="AA34" s="1633" t="s">
        <v>3201</v>
      </c>
      <c r="AB34" s="1633" t="s">
        <v>3202</v>
      </c>
      <c r="AC34" s="1633" t="s">
        <v>3112</v>
      </c>
      <c r="AD34" s="1633" t="s">
        <v>3203</v>
      </c>
      <c r="AE34" s="1633">
        <v>1890</v>
      </c>
      <c r="AF34" s="1633">
        <v>2090.92</v>
      </c>
      <c r="AG34" s="1633">
        <v>2090.92</v>
      </c>
      <c r="AH34" s="1633">
        <v>31.4</v>
      </c>
      <c r="AI34" s="1633">
        <v>31.4</v>
      </c>
      <c r="AJ34" s="1633">
        <v>214.09</v>
      </c>
      <c r="AK34" s="1633">
        <v>214.09</v>
      </c>
      <c r="AL34" s="1633" t="s">
        <v>1327</v>
      </c>
      <c r="AM34" s="1633" t="s">
        <v>1327</v>
      </c>
      <c r="AN34" s="1633">
        <v>0</v>
      </c>
      <c r="AO34" s="1633" t="s">
        <v>3114</v>
      </c>
      <c r="AP34" s="1633" t="s">
        <v>1327</v>
      </c>
      <c r="AQ34" s="1633" t="s">
        <v>1327</v>
      </c>
      <c r="AR34" s="1633" t="s">
        <v>1327</v>
      </c>
      <c r="AS34" s="1633" t="s">
        <v>3115</v>
      </c>
    </row>
    <row r="35" spans="1:45">
      <c r="A35" s="1633" t="s">
        <v>3196</v>
      </c>
      <c r="B35" s="1633" t="s">
        <v>3098</v>
      </c>
      <c r="C35" s="1633" t="s">
        <v>3099</v>
      </c>
      <c r="D35" s="1633" t="s">
        <v>3100</v>
      </c>
      <c r="E35" s="1633" t="s">
        <v>1327</v>
      </c>
      <c r="F35" s="1633" t="s">
        <v>3196</v>
      </c>
      <c r="G35" s="1633" t="s">
        <v>3145</v>
      </c>
      <c r="H35" s="1633" t="s">
        <v>3207</v>
      </c>
      <c r="I35" s="1633" t="s">
        <v>3103</v>
      </c>
      <c r="J35" s="1633">
        <v>50491.25</v>
      </c>
      <c r="K35" s="1633">
        <v>111080.8</v>
      </c>
      <c r="L35" s="1633" t="s">
        <v>3198</v>
      </c>
      <c r="M35" s="1633" t="s">
        <v>1327</v>
      </c>
      <c r="N35" s="1633" t="s">
        <v>3125</v>
      </c>
      <c r="O35" s="1633" t="s">
        <v>3119</v>
      </c>
      <c r="P35" s="1633" t="s">
        <v>1327</v>
      </c>
      <c r="Q35" s="1633" t="s">
        <v>1327</v>
      </c>
      <c r="R35" s="1633" t="s">
        <v>1327</v>
      </c>
      <c r="S35" s="1633" t="s">
        <v>1327</v>
      </c>
      <c r="T35" s="1633" t="s">
        <v>1327</v>
      </c>
      <c r="U35" s="1633" t="s">
        <v>1327</v>
      </c>
      <c r="V35" s="1633" t="s">
        <v>1327</v>
      </c>
      <c r="W35" s="1633" t="s">
        <v>3148</v>
      </c>
      <c r="X35" s="1633" t="s">
        <v>3199</v>
      </c>
      <c r="Y35" s="1633" t="s">
        <v>3200</v>
      </c>
      <c r="Z35" s="1633" t="s">
        <v>3201</v>
      </c>
      <c r="AA35" s="1633" t="s">
        <v>3201</v>
      </c>
      <c r="AB35" s="1633" t="s">
        <v>3202</v>
      </c>
      <c r="AC35" s="1633" t="s">
        <v>3112</v>
      </c>
      <c r="AD35" s="1633" t="s">
        <v>3203</v>
      </c>
      <c r="AE35" s="1633">
        <v>2150</v>
      </c>
      <c r="AF35" s="1633">
        <v>2378.23</v>
      </c>
      <c r="AG35" s="1633">
        <v>2378.23</v>
      </c>
      <c r="AH35" s="1633">
        <v>31.4</v>
      </c>
      <c r="AI35" s="1633">
        <v>31.4</v>
      </c>
      <c r="AJ35" s="1633">
        <v>214.09</v>
      </c>
      <c r="AK35" s="1633">
        <v>214.09</v>
      </c>
      <c r="AL35" s="1633" t="s">
        <v>1327</v>
      </c>
      <c r="AM35" s="1633" t="s">
        <v>1327</v>
      </c>
      <c r="AN35" s="1633">
        <v>0</v>
      </c>
      <c r="AO35" s="1633" t="s">
        <v>3114</v>
      </c>
      <c r="AP35" s="1633" t="s">
        <v>1327</v>
      </c>
      <c r="AQ35" s="1633" t="s">
        <v>1327</v>
      </c>
      <c r="AR35" s="1633" t="s">
        <v>1327</v>
      </c>
      <c r="AS35" s="1633" t="s">
        <v>3115</v>
      </c>
    </row>
    <row r="36" spans="1:45">
      <c r="A36" s="1633" t="s">
        <v>3196</v>
      </c>
      <c r="B36" s="1633" t="s">
        <v>3098</v>
      </c>
      <c r="C36" s="1633" t="s">
        <v>3099</v>
      </c>
      <c r="D36" s="1633" t="s">
        <v>3100</v>
      </c>
      <c r="E36" s="1633" t="s">
        <v>1327</v>
      </c>
      <c r="F36" s="1633" t="s">
        <v>3196</v>
      </c>
      <c r="G36" s="1633" t="s">
        <v>3101</v>
      </c>
      <c r="H36" s="1633" t="s">
        <v>3208</v>
      </c>
      <c r="I36" s="1633" t="s">
        <v>3103</v>
      </c>
      <c r="J36" s="1633">
        <v>44255.77</v>
      </c>
      <c r="K36" s="1633">
        <v>97362.69</v>
      </c>
      <c r="L36" s="1633" t="s">
        <v>3198</v>
      </c>
      <c r="M36" s="1633" t="s">
        <v>1327</v>
      </c>
      <c r="N36" s="1633" t="s">
        <v>3125</v>
      </c>
      <c r="O36" s="1633" t="s">
        <v>3119</v>
      </c>
      <c r="P36" s="1633" t="s">
        <v>1327</v>
      </c>
      <c r="Q36" s="1633" t="s">
        <v>1327</v>
      </c>
      <c r="R36" s="1633" t="s">
        <v>1327</v>
      </c>
      <c r="S36" s="1633" t="s">
        <v>1327</v>
      </c>
      <c r="T36" s="1633" t="s">
        <v>1327</v>
      </c>
      <c r="U36" s="1633" t="s">
        <v>1327</v>
      </c>
      <c r="V36" s="1633" t="s">
        <v>1327</v>
      </c>
      <c r="W36" s="1633" t="s">
        <v>3148</v>
      </c>
      <c r="X36" s="1633" t="s">
        <v>3199</v>
      </c>
      <c r="Y36" s="1633" t="s">
        <v>3200</v>
      </c>
      <c r="Z36" s="1633" t="s">
        <v>3201</v>
      </c>
      <c r="AA36" s="1633" t="s">
        <v>3201</v>
      </c>
      <c r="AB36" s="1633" t="s">
        <v>3202</v>
      </c>
      <c r="AC36" s="1633" t="s">
        <v>3112</v>
      </c>
      <c r="AD36" s="1633" t="s">
        <v>3203</v>
      </c>
      <c r="AE36" s="1633">
        <v>1880</v>
      </c>
      <c r="AF36" s="1633">
        <v>2084.3200000000002</v>
      </c>
      <c r="AG36" s="1633">
        <v>2084.3200000000002</v>
      </c>
      <c r="AH36" s="1633">
        <v>31.4</v>
      </c>
      <c r="AI36" s="1633">
        <v>31.4</v>
      </c>
      <c r="AJ36" s="1633">
        <v>214.07</v>
      </c>
      <c r="AK36" s="1633">
        <v>214.08</v>
      </c>
      <c r="AL36" s="1633" t="s">
        <v>1327</v>
      </c>
      <c r="AM36" s="1633" t="s">
        <v>1327</v>
      </c>
      <c r="AN36" s="1633">
        <v>0</v>
      </c>
      <c r="AO36" s="1633" t="s">
        <v>3114</v>
      </c>
      <c r="AP36" s="1633" t="s">
        <v>1327</v>
      </c>
      <c r="AQ36" s="1633" t="s">
        <v>1327</v>
      </c>
      <c r="AR36" s="1633" t="s">
        <v>1327</v>
      </c>
      <c r="AS36" s="1633" t="s">
        <v>3115</v>
      </c>
    </row>
    <row r="37" spans="1:45">
      <c r="A37" s="1633" t="s">
        <v>3196</v>
      </c>
      <c r="B37" s="1633" t="s">
        <v>3098</v>
      </c>
      <c r="C37" s="1633" t="s">
        <v>3099</v>
      </c>
      <c r="D37" s="1633" t="s">
        <v>3100</v>
      </c>
      <c r="E37" s="1633" t="s">
        <v>1327</v>
      </c>
      <c r="F37" s="1633" t="s">
        <v>3196</v>
      </c>
      <c r="G37" s="1633" t="s">
        <v>3101</v>
      </c>
      <c r="H37" s="1633" t="s">
        <v>3209</v>
      </c>
      <c r="I37" s="1633" t="s">
        <v>3103</v>
      </c>
      <c r="J37" s="1633">
        <v>53253.68</v>
      </c>
      <c r="K37" s="1633">
        <v>117158.1</v>
      </c>
      <c r="L37" s="1633" t="s">
        <v>3198</v>
      </c>
      <c r="M37" s="1633" t="s">
        <v>1327</v>
      </c>
      <c r="N37" s="1633" t="s">
        <v>3125</v>
      </c>
      <c r="O37" s="1633" t="s">
        <v>3119</v>
      </c>
      <c r="P37" s="1633" t="s">
        <v>1327</v>
      </c>
      <c r="Q37" s="1633" t="s">
        <v>1327</v>
      </c>
      <c r="R37" s="1633" t="s">
        <v>1327</v>
      </c>
      <c r="S37" s="1633" t="s">
        <v>1327</v>
      </c>
      <c r="T37" s="1633" t="s">
        <v>1327</v>
      </c>
      <c r="U37" s="1633" t="s">
        <v>1327</v>
      </c>
      <c r="V37" s="1633" t="s">
        <v>1327</v>
      </c>
      <c r="W37" s="1633" t="s">
        <v>3148</v>
      </c>
      <c r="X37" s="1633" t="s">
        <v>3199</v>
      </c>
      <c r="Y37" s="1633" t="s">
        <v>3200</v>
      </c>
      <c r="Z37" s="1633" t="s">
        <v>3201</v>
      </c>
      <c r="AA37" s="1633" t="s">
        <v>3201</v>
      </c>
      <c r="AB37" s="1633" t="s">
        <v>3202</v>
      </c>
      <c r="AC37" s="1633" t="s">
        <v>3112</v>
      </c>
      <c r="AD37" s="1633" t="s">
        <v>3203</v>
      </c>
      <c r="AE37" s="1633">
        <v>2260</v>
      </c>
      <c r="AF37" s="1633">
        <v>2508.23</v>
      </c>
      <c r="AG37" s="1633">
        <v>2508.23</v>
      </c>
      <c r="AH37" s="1633">
        <v>31.4</v>
      </c>
      <c r="AI37" s="1633">
        <v>31.4</v>
      </c>
      <c r="AJ37" s="1633">
        <v>214.08</v>
      </c>
      <c r="AK37" s="1633">
        <v>214.09</v>
      </c>
      <c r="AL37" s="1633" t="s">
        <v>1327</v>
      </c>
      <c r="AM37" s="1633" t="s">
        <v>1327</v>
      </c>
      <c r="AN37" s="1633">
        <v>0</v>
      </c>
      <c r="AO37" s="1633" t="s">
        <v>3114</v>
      </c>
      <c r="AP37" s="1633" t="s">
        <v>1327</v>
      </c>
      <c r="AQ37" s="1633" t="s">
        <v>1327</v>
      </c>
      <c r="AR37" s="1633" t="s">
        <v>1327</v>
      </c>
      <c r="AS37" s="1633" t="s">
        <v>3115</v>
      </c>
    </row>
    <row r="38" spans="1:45">
      <c r="A38" s="1633" t="s">
        <v>3196</v>
      </c>
      <c r="B38" s="1633" t="s">
        <v>3098</v>
      </c>
      <c r="C38" s="1633" t="s">
        <v>3099</v>
      </c>
      <c r="D38" s="1633" t="s">
        <v>3100</v>
      </c>
      <c r="E38" s="1633" t="s">
        <v>1327</v>
      </c>
      <c r="F38" s="1633" t="s">
        <v>3196</v>
      </c>
      <c r="G38" s="1633" t="s">
        <v>3101</v>
      </c>
      <c r="H38" s="1633" t="s">
        <v>3210</v>
      </c>
      <c r="I38" s="1633" t="s">
        <v>3103</v>
      </c>
      <c r="J38" s="1633">
        <v>27537.200000000001</v>
      </c>
      <c r="K38" s="1633">
        <v>60581.84</v>
      </c>
      <c r="L38" s="1633" t="s">
        <v>3198</v>
      </c>
      <c r="M38" s="1633" t="s">
        <v>1327</v>
      </c>
      <c r="N38" s="1633" t="s">
        <v>3125</v>
      </c>
      <c r="O38" s="1633" t="s">
        <v>3119</v>
      </c>
      <c r="P38" s="1633" t="s">
        <v>1327</v>
      </c>
      <c r="Q38" s="1633" t="s">
        <v>1327</v>
      </c>
      <c r="R38" s="1633" t="s">
        <v>1327</v>
      </c>
      <c r="S38" s="1633" t="s">
        <v>1327</v>
      </c>
      <c r="T38" s="1633" t="s">
        <v>1327</v>
      </c>
      <c r="U38" s="1633" t="s">
        <v>1327</v>
      </c>
      <c r="V38" s="1633" t="s">
        <v>1327</v>
      </c>
      <c r="W38" s="1633" t="s">
        <v>3148</v>
      </c>
      <c r="X38" s="1633" t="s">
        <v>3199</v>
      </c>
      <c r="Y38" s="1633" t="s">
        <v>3200</v>
      </c>
      <c r="Z38" s="1633" t="s">
        <v>3201</v>
      </c>
      <c r="AA38" s="1633" t="s">
        <v>3201</v>
      </c>
      <c r="AB38" s="1633" t="s">
        <v>3202</v>
      </c>
      <c r="AC38" s="1633" t="s">
        <v>3112</v>
      </c>
      <c r="AD38" s="1633" t="s">
        <v>3203</v>
      </c>
      <c r="AE38" s="1633">
        <v>1170</v>
      </c>
      <c r="AF38" s="1633">
        <v>1297.1300000000001</v>
      </c>
      <c r="AG38" s="1633">
        <v>1297.1300000000001</v>
      </c>
      <c r="AH38" s="1633">
        <v>31.4</v>
      </c>
      <c r="AI38" s="1633">
        <v>31.4</v>
      </c>
      <c r="AJ38" s="1633">
        <v>214.11</v>
      </c>
      <c r="AK38" s="1633">
        <v>214.11</v>
      </c>
      <c r="AL38" s="1633" t="s">
        <v>1327</v>
      </c>
      <c r="AM38" s="1633" t="s">
        <v>1327</v>
      </c>
      <c r="AN38" s="1633">
        <v>0</v>
      </c>
      <c r="AO38" s="1633" t="s">
        <v>3114</v>
      </c>
      <c r="AP38" s="1633" t="s">
        <v>1327</v>
      </c>
      <c r="AQ38" s="1633" t="s">
        <v>1327</v>
      </c>
      <c r="AR38" s="1633" t="s">
        <v>1327</v>
      </c>
      <c r="AS38" s="1633" t="s">
        <v>3115</v>
      </c>
    </row>
    <row r="39" spans="1:45">
      <c r="A39" s="1633" t="s">
        <v>3196</v>
      </c>
      <c r="B39" s="1633" t="s">
        <v>3098</v>
      </c>
      <c r="C39" s="1633" t="s">
        <v>3099</v>
      </c>
      <c r="D39" s="1633" t="s">
        <v>3100</v>
      </c>
      <c r="E39" s="1633" t="s">
        <v>1327</v>
      </c>
      <c r="F39" s="1633" t="s">
        <v>3196</v>
      </c>
      <c r="G39" s="1633" t="s">
        <v>3101</v>
      </c>
      <c r="H39" s="1633" t="s">
        <v>3211</v>
      </c>
      <c r="I39" s="1633" t="s">
        <v>3103</v>
      </c>
      <c r="J39" s="1633">
        <v>30620.41</v>
      </c>
      <c r="K39" s="1633">
        <v>67364.899999999994</v>
      </c>
      <c r="L39" s="1633" t="s">
        <v>3198</v>
      </c>
      <c r="M39" s="1633" t="s">
        <v>1327</v>
      </c>
      <c r="N39" s="1633" t="s">
        <v>3125</v>
      </c>
      <c r="O39" s="1633" t="s">
        <v>3119</v>
      </c>
      <c r="P39" s="1633" t="s">
        <v>1327</v>
      </c>
      <c r="Q39" s="1633" t="s">
        <v>1327</v>
      </c>
      <c r="R39" s="1633" t="s">
        <v>1327</v>
      </c>
      <c r="S39" s="1633" t="s">
        <v>1327</v>
      </c>
      <c r="T39" s="1633" t="s">
        <v>1327</v>
      </c>
      <c r="U39" s="1633" t="s">
        <v>1327</v>
      </c>
      <c r="V39" s="1633" t="s">
        <v>1327</v>
      </c>
      <c r="W39" s="1633" t="s">
        <v>3148</v>
      </c>
      <c r="X39" s="1633" t="s">
        <v>3199</v>
      </c>
      <c r="Y39" s="1633" t="s">
        <v>3200</v>
      </c>
      <c r="Z39" s="1633" t="s">
        <v>3201</v>
      </c>
      <c r="AA39" s="1633" t="s">
        <v>3201</v>
      </c>
      <c r="AB39" s="1633" t="s">
        <v>3202</v>
      </c>
      <c r="AC39" s="1633" t="s">
        <v>3112</v>
      </c>
      <c r="AD39" s="1633" t="s">
        <v>3203</v>
      </c>
      <c r="AE39" s="1633">
        <v>1300</v>
      </c>
      <c r="AF39" s="1633">
        <v>1442.2</v>
      </c>
      <c r="AG39" s="1633">
        <v>1442.2</v>
      </c>
      <c r="AH39" s="1633">
        <v>31.4</v>
      </c>
      <c r="AI39" s="1633">
        <v>31.4</v>
      </c>
      <c r="AJ39" s="1633">
        <v>214.08</v>
      </c>
      <c r="AK39" s="1633">
        <v>214.09</v>
      </c>
      <c r="AL39" s="1633" t="s">
        <v>1327</v>
      </c>
      <c r="AM39" s="1633" t="s">
        <v>1327</v>
      </c>
      <c r="AN39" s="1633">
        <v>0</v>
      </c>
      <c r="AO39" s="1633" t="s">
        <v>3114</v>
      </c>
      <c r="AP39" s="1633" t="s">
        <v>1327</v>
      </c>
      <c r="AQ39" s="1633" t="s">
        <v>1327</v>
      </c>
      <c r="AR39" s="1633" t="s">
        <v>1327</v>
      </c>
      <c r="AS39" s="1633" t="s">
        <v>3115</v>
      </c>
    </row>
    <row r="40" spans="1:45">
      <c r="A40" s="1633" t="s">
        <v>3212</v>
      </c>
      <c r="B40" s="1633" t="s">
        <v>3098</v>
      </c>
      <c r="C40" s="1633" t="s">
        <v>3099</v>
      </c>
      <c r="D40" s="1633" t="s">
        <v>3100</v>
      </c>
      <c r="E40" s="1633" t="s">
        <v>1327</v>
      </c>
      <c r="F40" s="1633" t="s">
        <v>3212</v>
      </c>
      <c r="G40" s="1633" t="s">
        <v>3101</v>
      </c>
      <c r="H40" s="1633" t="s">
        <v>3213</v>
      </c>
      <c r="I40" s="1633" t="s">
        <v>3103</v>
      </c>
      <c r="J40" s="1633">
        <v>28342.33</v>
      </c>
      <c r="K40" s="1633">
        <v>29759.45</v>
      </c>
      <c r="L40" s="1633" t="s">
        <v>3185</v>
      </c>
      <c r="M40" s="1633" t="s">
        <v>1327</v>
      </c>
      <c r="N40" s="1633" t="s">
        <v>3178</v>
      </c>
      <c r="O40" s="1633" t="s">
        <v>3186</v>
      </c>
      <c r="P40" s="1633" t="s">
        <v>1327</v>
      </c>
      <c r="Q40" s="1633" t="s">
        <v>1327</v>
      </c>
      <c r="R40" s="1633" t="s">
        <v>1327</v>
      </c>
      <c r="S40" s="1633" t="s">
        <v>1327</v>
      </c>
      <c r="T40" s="1633" t="s">
        <v>1327</v>
      </c>
      <c r="U40" s="1633" t="s">
        <v>1327</v>
      </c>
      <c r="V40" s="1633" t="s">
        <v>1327</v>
      </c>
      <c r="W40" s="1633" t="s">
        <v>3214</v>
      </c>
      <c r="X40" s="1633" t="s">
        <v>3215</v>
      </c>
      <c r="Y40" s="1633" t="s">
        <v>3216</v>
      </c>
      <c r="Z40" s="1633" t="s">
        <v>3217</v>
      </c>
      <c r="AA40" s="1633" t="s">
        <v>3217</v>
      </c>
      <c r="AB40" s="1633" t="s">
        <v>3218</v>
      </c>
      <c r="AC40" s="1633" t="s">
        <v>3112</v>
      </c>
      <c r="AD40" s="1633" t="s">
        <v>3168</v>
      </c>
      <c r="AE40" s="1633">
        <v>410</v>
      </c>
      <c r="AF40" s="1633">
        <v>1334.8</v>
      </c>
      <c r="AG40" s="1633">
        <v>1334.8</v>
      </c>
      <c r="AH40" s="1633">
        <v>31.4</v>
      </c>
      <c r="AI40" s="1633">
        <v>31.4</v>
      </c>
      <c r="AJ40" s="1633">
        <v>448.53</v>
      </c>
      <c r="AK40" s="1633">
        <v>448.52</v>
      </c>
      <c r="AL40" s="1633" t="s">
        <v>1327</v>
      </c>
      <c r="AM40" s="1633" t="s">
        <v>1327</v>
      </c>
      <c r="AN40" s="1633">
        <v>0</v>
      </c>
      <c r="AO40" s="1633" t="s">
        <v>3114</v>
      </c>
      <c r="AP40" s="1633" t="s">
        <v>1327</v>
      </c>
      <c r="AQ40" s="1633" t="s">
        <v>1327</v>
      </c>
      <c r="AR40" s="1633" t="s">
        <v>1327</v>
      </c>
      <c r="AS40" s="1633" t="s">
        <v>3115</v>
      </c>
    </row>
    <row r="41" spans="1:45">
      <c r="A41" s="1633" t="s">
        <v>3212</v>
      </c>
      <c r="B41" s="1633" t="s">
        <v>3098</v>
      </c>
      <c r="C41" s="1633" t="s">
        <v>3099</v>
      </c>
      <c r="D41" s="1633" t="s">
        <v>3100</v>
      </c>
      <c r="E41" s="1633" t="s">
        <v>1327</v>
      </c>
      <c r="F41" s="1633" t="s">
        <v>3212</v>
      </c>
      <c r="G41" s="1633" t="s">
        <v>3101</v>
      </c>
      <c r="H41" s="1633" t="s">
        <v>3219</v>
      </c>
      <c r="I41" s="1633" t="s">
        <v>3103</v>
      </c>
      <c r="J41" s="1633">
        <v>699.44</v>
      </c>
      <c r="K41" s="1633">
        <v>734.41</v>
      </c>
      <c r="L41" s="1633" t="s">
        <v>3185</v>
      </c>
      <c r="M41" s="1633" t="s">
        <v>1327</v>
      </c>
      <c r="N41" s="1633" t="s">
        <v>3178</v>
      </c>
      <c r="O41" s="1633" t="s">
        <v>3186</v>
      </c>
      <c r="P41" s="1633" t="s">
        <v>1327</v>
      </c>
      <c r="Q41" s="1633" t="s">
        <v>1327</v>
      </c>
      <c r="R41" s="1633" t="s">
        <v>1327</v>
      </c>
      <c r="S41" s="1633" t="s">
        <v>1327</v>
      </c>
      <c r="T41" s="1633" t="s">
        <v>1327</v>
      </c>
      <c r="U41" s="1633" t="s">
        <v>1327</v>
      </c>
      <c r="V41" s="1633" t="s">
        <v>1327</v>
      </c>
      <c r="W41" s="1633" t="s">
        <v>3214</v>
      </c>
      <c r="X41" s="1633" t="s">
        <v>3215</v>
      </c>
      <c r="Y41" s="1633" t="s">
        <v>3216</v>
      </c>
      <c r="Z41" s="1633" t="s">
        <v>3217</v>
      </c>
      <c r="AA41" s="1633" t="s">
        <v>3217</v>
      </c>
      <c r="AB41" s="1633" t="s">
        <v>3218</v>
      </c>
      <c r="AC41" s="1633" t="s">
        <v>3112</v>
      </c>
      <c r="AD41" s="1633" t="s">
        <v>3168</v>
      </c>
      <c r="AE41" s="1633">
        <v>10</v>
      </c>
      <c r="AF41" s="1633">
        <v>32.96</v>
      </c>
      <c r="AG41" s="1633">
        <v>32.96</v>
      </c>
      <c r="AH41" s="1633">
        <v>31.42</v>
      </c>
      <c r="AI41" s="1633">
        <v>31.42</v>
      </c>
      <c r="AJ41" s="1633">
        <v>448.93</v>
      </c>
      <c r="AK41" s="1633">
        <v>448.93</v>
      </c>
      <c r="AL41" s="1633" t="s">
        <v>1327</v>
      </c>
      <c r="AM41" s="1633" t="s">
        <v>1327</v>
      </c>
      <c r="AN41" s="1633">
        <v>0</v>
      </c>
      <c r="AO41" s="1633" t="s">
        <v>3114</v>
      </c>
      <c r="AP41" s="1633" t="s">
        <v>1327</v>
      </c>
      <c r="AQ41" s="1633" t="s">
        <v>1327</v>
      </c>
      <c r="AR41" s="1633" t="s">
        <v>1327</v>
      </c>
      <c r="AS41" s="1633" t="s">
        <v>3115</v>
      </c>
    </row>
    <row r="42" spans="1:45">
      <c r="A42" s="1633" t="s">
        <v>3212</v>
      </c>
      <c r="B42" s="1633" t="s">
        <v>3098</v>
      </c>
      <c r="C42" s="1633" t="s">
        <v>3099</v>
      </c>
      <c r="D42" s="1633" t="s">
        <v>3100</v>
      </c>
      <c r="E42" s="1633" t="s">
        <v>1327</v>
      </c>
      <c r="F42" s="1633" t="s">
        <v>3212</v>
      </c>
      <c r="G42" s="1633" t="s">
        <v>3101</v>
      </c>
      <c r="H42" s="1633" t="s">
        <v>3220</v>
      </c>
      <c r="I42" s="1633" t="s">
        <v>3103</v>
      </c>
      <c r="J42" s="1633">
        <v>65887.91</v>
      </c>
      <c r="K42" s="1633">
        <v>69182.31</v>
      </c>
      <c r="L42" s="1633" t="s">
        <v>3185</v>
      </c>
      <c r="M42" s="1633" t="s">
        <v>1327</v>
      </c>
      <c r="N42" s="1633" t="s">
        <v>3178</v>
      </c>
      <c r="O42" s="1633" t="s">
        <v>3186</v>
      </c>
      <c r="P42" s="1633" t="s">
        <v>1327</v>
      </c>
      <c r="Q42" s="1633" t="s">
        <v>1327</v>
      </c>
      <c r="R42" s="1633" t="s">
        <v>1327</v>
      </c>
      <c r="S42" s="1633" t="s">
        <v>1327</v>
      </c>
      <c r="T42" s="1633" t="s">
        <v>1327</v>
      </c>
      <c r="U42" s="1633" t="s">
        <v>1327</v>
      </c>
      <c r="V42" s="1633" t="s">
        <v>1327</v>
      </c>
      <c r="W42" s="1633" t="s">
        <v>3214</v>
      </c>
      <c r="X42" s="1633" t="s">
        <v>3215</v>
      </c>
      <c r="Y42" s="1633" t="s">
        <v>3216</v>
      </c>
      <c r="Z42" s="1633" t="s">
        <v>3217</v>
      </c>
      <c r="AA42" s="1633" t="s">
        <v>3217</v>
      </c>
      <c r="AB42" s="1633" t="s">
        <v>3218</v>
      </c>
      <c r="AC42" s="1633" t="s">
        <v>3112</v>
      </c>
      <c r="AD42" s="1633" t="s">
        <v>3168</v>
      </c>
      <c r="AE42" s="1633">
        <v>940</v>
      </c>
      <c r="AF42" s="1633">
        <v>3103.26</v>
      </c>
      <c r="AG42" s="1633">
        <v>3103.26</v>
      </c>
      <c r="AH42" s="1633">
        <v>31.4</v>
      </c>
      <c r="AI42" s="1633">
        <v>31.4</v>
      </c>
      <c r="AJ42" s="1633">
        <v>448.56</v>
      </c>
      <c r="AK42" s="1633">
        <v>448.56</v>
      </c>
      <c r="AL42" s="1633" t="s">
        <v>1327</v>
      </c>
      <c r="AM42" s="1633" t="s">
        <v>1327</v>
      </c>
      <c r="AN42" s="1633">
        <v>0</v>
      </c>
      <c r="AO42" s="1633" t="s">
        <v>3114</v>
      </c>
      <c r="AP42" s="1633" t="s">
        <v>1327</v>
      </c>
      <c r="AQ42" s="1633" t="s">
        <v>1327</v>
      </c>
      <c r="AR42" s="1633" t="s">
        <v>1327</v>
      </c>
      <c r="AS42" s="1633" t="s">
        <v>3115</v>
      </c>
    </row>
    <row r="43" spans="1:45">
      <c r="A43" s="1633" t="s">
        <v>3212</v>
      </c>
      <c r="B43" s="1633" t="s">
        <v>3098</v>
      </c>
      <c r="C43" s="1633" t="s">
        <v>3099</v>
      </c>
      <c r="D43" s="1633" t="s">
        <v>3100</v>
      </c>
      <c r="E43" s="1633" t="s">
        <v>1327</v>
      </c>
      <c r="F43" s="1633" t="s">
        <v>3212</v>
      </c>
      <c r="G43" s="1633" t="s">
        <v>3101</v>
      </c>
      <c r="H43" s="1633" t="s">
        <v>3221</v>
      </c>
      <c r="I43" s="1633" t="s">
        <v>3103</v>
      </c>
      <c r="J43" s="1633">
        <v>65635.22</v>
      </c>
      <c r="K43" s="1633">
        <v>68916.98</v>
      </c>
      <c r="L43" s="1633" t="s">
        <v>3185</v>
      </c>
      <c r="M43" s="1633" t="s">
        <v>1327</v>
      </c>
      <c r="N43" s="1633" t="s">
        <v>3178</v>
      </c>
      <c r="O43" s="1633" t="s">
        <v>3186</v>
      </c>
      <c r="P43" s="1633" t="s">
        <v>1327</v>
      </c>
      <c r="Q43" s="1633" t="s">
        <v>1327</v>
      </c>
      <c r="R43" s="1633" t="s">
        <v>1327</v>
      </c>
      <c r="S43" s="1633" t="s">
        <v>1327</v>
      </c>
      <c r="T43" s="1633" t="s">
        <v>1327</v>
      </c>
      <c r="U43" s="1633" t="s">
        <v>1327</v>
      </c>
      <c r="V43" s="1633" t="s">
        <v>1327</v>
      </c>
      <c r="W43" s="1633" t="s">
        <v>3214</v>
      </c>
      <c r="X43" s="1633" t="s">
        <v>3215</v>
      </c>
      <c r="Y43" s="1633" t="s">
        <v>3216</v>
      </c>
      <c r="Z43" s="1633" t="s">
        <v>3217</v>
      </c>
      <c r="AA43" s="1633" t="s">
        <v>3217</v>
      </c>
      <c r="AB43" s="1633" t="s">
        <v>3218</v>
      </c>
      <c r="AC43" s="1633" t="s">
        <v>3112</v>
      </c>
      <c r="AD43" s="1633" t="s">
        <v>3168</v>
      </c>
      <c r="AE43" s="1633">
        <v>930</v>
      </c>
      <c r="AF43" s="1633">
        <v>3091.32</v>
      </c>
      <c r="AG43" s="1633">
        <v>3091.32</v>
      </c>
      <c r="AH43" s="1633">
        <v>31.4</v>
      </c>
      <c r="AI43" s="1633">
        <v>31.4</v>
      </c>
      <c r="AJ43" s="1633">
        <v>448.55</v>
      </c>
      <c r="AK43" s="1633">
        <v>448.56</v>
      </c>
      <c r="AL43" s="1633" t="s">
        <v>1327</v>
      </c>
      <c r="AM43" s="1633" t="s">
        <v>1327</v>
      </c>
      <c r="AN43" s="1633">
        <v>0</v>
      </c>
      <c r="AO43" s="1633" t="s">
        <v>3114</v>
      </c>
      <c r="AP43" s="1633" t="s">
        <v>1327</v>
      </c>
      <c r="AQ43" s="1633" t="s">
        <v>1327</v>
      </c>
      <c r="AR43" s="1633" t="s">
        <v>1327</v>
      </c>
      <c r="AS43" s="1633" t="s">
        <v>3115</v>
      </c>
    </row>
    <row r="44" spans="1:45">
      <c r="A44" s="1633" t="s">
        <v>3212</v>
      </c>
      <c r="B44" s="1633" t="s">
        <v>3098</v>
      </c>
      <c r="C44" s="1633" t="s">
        <v>3099</v>
      </c>
      <c r="D44" s="1633" t="s">
        <v>3100</v>
      </c>
      <c r="E44" s="1633" t="s">
        <v>1327</v>
      </c>
      <c r="F44" s="1633" t="s">
        <v>3212</v>
      </c>
      <c r="G44" s="1633" t="s">
        <v>3101</v>
      </c>
      <c r="H44" s="1633" t="s">
        <v>3222</v>
      </c>
      <c r="I44" s="1633" t="s">
        <v>3103</v>
      </c>
      <c r="J44" s="1633">
        <v>926.77</v>
      </c>
      <c r="K44" s="1633">
        <v>1112.1199999999999</v>
      </c>
      <c r="L44" s="1633" t="s">
        <v>3135</v>
      </c>
      <c r="M44" s="1633" t="s">
        <v>1327</v>
      </c>
      <c r="N44" s="1633" t="s">
        <v>3118</v>
      </c>
      <c r="O44" s="1633" t="s">
        <v>3186</v>
      </c>
      <c r="P44" s="1633" t="s">
        <v>1327</v>
      </c>
      <c r="Q44" s="1633" t="s">
        <v>1327</v>
      </c>
      <c r="R44" s="1633" t="s">
        <v>1327</v>
      </c>
      <c r="S44" s="1633" t="s">
        <v>1327</v>
      </c>
      <c r="T44" s="1633" t="s">
        <v>1327</v>
      </c>
      <c r="U44" s="1633" t="s">
        <v>1327</v>
      </c>
      <c r="V44" s="1633" t="s">
        <v>1327</v>
      </c>
      <c r="W44" s="1633" t="s">
        <v>3214</v>
      </c>
      <c r="X44" s="1633" t="s">
        <v>3215</v>
      </c>
      <c r="Y44" s="1633" t="s">
        <v>3216</v>
      </c>
      <c r="Z44" s="1633" t="s">
        <v>3217</v>
      </c>
      <c r="AA44" s="1633" t="s">
        <v>3217</v>
      </c>
      <c r="AB44" s="1633" t="s">
        <v>3218</v>
      </c>
      <c r="AC44" s="1633" t="s">
        <v>3112</v>
      </c>
      <c r="AD44" s="1633" t="s">
        <v>3168</v>
      </c>
      <c r="AE44" s="1633">
        <v>20</v>
      </c>
      <c r="AF44" s="1633">
        <v>43.64</v>
      </c>
      <c r="AG44" s="1633">
        <v>43.64</v>
      </c>
      <c r="AH44" s="1633">
        <v>31.39</v>
      </c>
      <c r="AI44" s="1633">
        <v>31.39</v>
      </c>
      <c r="AJ44" s="1633">
        <v>392.49</v>
      </c>
      <c r="AK44" s="1633">
        <v>392.49</v>
      </c>
      <c r="AL44" s="1633" t="s">
        <v>1327</v>
      </c>
      <c r="AM44" s="1633" t="s">
        <v>1327</v>
      </c>
      <c r="AN44" s="1633">
        <v>0</v>
      </c>
      <c r="AO44" s="1633" t="s">
        <v>3114</v>
      </c>
      <c r="AP44" s="1633" t="s">
        <v>1327</v>
      </c>
      <c r="AQ44" s="1633" t="s">
        <v>1327</v>
      </c>
      <c r="AR44" s="1633" t="s">
        <v>1327</v>
      </c>
      <c r="AS44" s="1633" t="s">
        <v>3115</v>
      </c>
    </row>
    <row r="45" spans="1:45">
      <c r="A45" s="1633" t="s">
        <v>3212</v>
      </c>
      <c r="B45" s="1633" t="s">
        <v>3098</v>
      </c>
      <c r="C45" s="1633" t="s">
        <v>3099</v>
      </c>
      <c r="D45" s="1633" t="s">
        <v>3100</v>
      </c>
      <c r="E45" s="1633" t="s">
        <v>1327</v>
      </c>
      <c r="F45" s="1633" t="s">
        <v>3212</v>
      </c>
      <c r="G45" s="1633" t="s">
        <v>3101</v>
      </c>
      <c r="H45" s="1633" t="s">
        <v>3223</v>
      </c>
      <c r="I45" s="1633" t="s">
        <v>3103</v>
      </c>
      <c r="J45" s="1633">
        <v>9570.0400000000009</v>
      </c>
      <c r="K45" s="1633">
        <v>10048.540000000001</v>
      </c>
      <c r="L45" s="1633" t="s">
        <v>3185</v>
      </c>
      <c r="M45" s="1633" t="s">
        <v>1327</v>
      </c>
      <c r="N45" s="1633" t="s">
        <v>3178</v>
      </c>
      <c r="O45" s="1633" t="s">
        <v>3186</v>
      </c>
      <c r="P45" s="1633" t="s">
        <v>1327</v>
      </c>
      <c r="Q45" s="1633" t="s">
        <v>1327</v>
      </c>
      <c r="R45" s="1633" t="s">
        <v>1327</v>
      </c>
      <c r="S45" s="1633" t="s">
        <v>1327</v>
      </c>
      <c r="T45" s="1633" t="s">
        <v>1327</v>
      </c>
      <c r="U45" s="1633" t="s">
        <v>1327</v>
      </c>
      <c r="V45" s="1633" t="s">
        <v>1327</v>
      </c>
      <c r="W45" s="1633" t="s">
        <v>3214</v>
      </c>
      <c r="X45" s="1633" t="s">
        <v>3215</v>
      </c>
      <c r="Y45" s="1633" t="s">
        <v>3216</v>
      </c>
      <c r="Z45" s="1633" t="s">
        <v>3217</v>
      </c>
      <c r="AA45" s="1633" t="s">
        <v>3217</v>
      </c>
      <c r="AB45" s="1633" t="s">
        <v>3218</v>
      </c>
      <c r="AC45" s="1633" t="s">
        <v>3112</v>
      </c>
      <c r="AD45" s="1633" t="s">
        <v>3168</v>
      </c>
      <c r="AE45" s="1633">
        <v>140</v>
      </c>
      <c r="AF45" s="1633">
        <v>450.89</v>
      </c>
      <c r="AG45" s="1633">
        <v>450.89</v>
      </c>
      <c r="AH45" s="1633">
        <v>31.41</v>
      </c>
      <c r="AI45" s="1633">
        <v>31.41</v>
      </c>
      <c r="AJ45" s="1633">
        <v>448.72</v>
      </c>
      <c r="AK45" s="1633">
        <v>448.72</v>
      </c>
      <c r="AL45" s="1633" t="s">
        <v>1327</v>
      </c>
      <c r="AM45" s="1633" t="s">
        <v>1327</v>
      </c>
      <c r="AN45" s="1633">
        <v>0</v>
      </c>
      <c r="AO45" s="1633" t="s">
        <v>3114</v>
      </c>
      <c r="AP45" s="1633" t="s">
        <v>1327</v>
      </c>
      <c r="AQ45" s="1633" t="s">
        <v>1327</v>
      </c>
      <c r="AR45" s="1633" t="s">
        <v>1327</v>
      </c>
      <c r="AS45" s="1633" t="s">
        <v>3115</v>
      </c>
    </row>
    <row r="46" spans="1:45">
      <c r="A46" s="1633" t="s">
        <v>3212</v>
      </c>
      <c r="B46" s="1633" t="s">
        <v>3098</v>
      </c>
      <c r="C46" s="1633" t="s">
        <v>3099</v>
      </c>
      <c r="D46" s="1633" t="s">
        <v>3100</v>
      </c>
      <c r="E46" s="1633" t="s">
        <v>1327</v>
      </c>
      <c r="F46" s="1633" t="s">
        <v>3212</v>
      </c>
      <c r="G46" s="1633" t="s">
        <v>3101</v>
      </c>
      <c r="H46" s="1633" t="s">
        <v>3224</v>
      </c>
      <c r="I46" s="1633" t="s">
        <v>3103</v>
      </c>
      <c r="J46" s="1633">
        <v>32722.57</v>
      </c>
      <c r="K46" s="1633">
        <v>34358.699999999997</v>
      </c>
      <c r="L46" s="1633" t="s">
        <v>3185</v>
      </c>
      <c r="M46" s="1633" t="s">
        <v>1327</v>
      </c>
      <c r="N46" s="1633" t="s">
        <v>3178</v>
      </c>
      <c r="O46" s="1633" t="s">
        <v>3225</v>
      </c>
      <c r="P46" s="1633" t="s">
        <v>1327</v>
      </c>
      <c r="Q46" s="1633" t="s">
        <v>1327</v>
      </c>
      <c r="R46" s="1633" t="s">
        <v>1327</v>
      </c>
      <c r="S46" s="1633" t="s">
        <v>1327</v>
      </c>
      <c r="T46" s="1633" t="s">
        <v>1327</v>
      </c>
      <c r="U46" s="1633" t="s">
        <v>1327</v>
      </c>
      <c r="V46" s="1633" t="s">
        <v>1327</v>
      </c>
      <c r="W46" s="1633" t="s">
        <v>3214</v>
      </c>
      <c r="X46" s="1633" t="s">
        <v>3215</v>
      </c>
      <c r="Y46" s="1633" t="s">
        <v>3216</v>
      </c>
      <c r="Z46" s="1633" t="s">
        <v>3217</v>
      </c>
      <c r="AA46" s="1633" t="s">
        <v>3217</v>
      </c>
      <c r="AB46" s="1633" t="s">
        <v>3218</v>
      </c>
      <c r="AC46" s="1633" t="s">
        <v>3112</v>
      </c>
      <c r="AD46" s="1633" t="s">
        <v>3168</v>
      </c>
      <c r="AE46" s="1633">
        <v>470</v>
      </c>
      <c r="AF46" s="1633">
        <v>1541.1</v>
      </c>
      <c r="AG46" s="1633">
        <v>1541.1</v>
      </c>
      <c r="AH46" s="1633">
        <v>31.4</v>
      </c>
      <c r="AI46" s="1633">
        <v>31.4</v>
      </c>
      <c r="AJ46" s="1633">
        <v>448.53</v>
      </c>
      <c r="AK46" s="1633">
        <v>448.54</v>
      </c>
      <c r="AL46" s="1633" t="s">
        <v>1327</v>
      </c>
      <c r="AM46" s="1633" t="s">
        <v>1327</v>
      </c>
      <c r="AN46" s="1633">
        <v>0</v>
      </c>
      <c r="AO46" s="1633" t="s">
        <v>3114</v>
      </c>
      <c r="AP46" s="1633" t="s">
        <v>1327</v>
      </c>
      <c r="AQ46" s="1633" t="s">
        <v>1327</v>
      </c>
      <c r="AR46" s="1633" t="s">
        <v>1327</v>
      </c>
      <c r="AS46" s="1633" t="s">
        <v>3115</v>
      </c>
    </row>
    <row r="47" spans="1:45">
      <c r="A47" s="1633" t="s">
        <v>3212</v>
      </c>
      <c r="B47" s="1633" t="s">
        <v>3098</v>
      </c>
      <c r="C47" s="1633" t="s">
        <v>3099</v>
      </c>
      <c r="D47" s="1633" t="s">
        <v>3100</v>
      </c>
      <c r="E47" s="1633" t="s">
        <v>1327</v>
      </c>
      <c r="F47" s="1633" t="s">
        <v>3212</v>
      </c>
      <c r="G47" s="1633" t="s">
        <v>3101</v>
      </c>
      <c r="H47" s="1633" t="s">
        <v>3226</v>
      </c>
      <c r="I47" s="1633" t="s">
        <v>3103</v>
      </c>
      <c r="J47" s="1633">
        <v>54291.3</v>
      </c>
      <c r="K47" s="1633">
        <v>57005.87</v>
      </c>
      <c r="L47" s="1633" t="s">
        <v>3185</v>
      </c>
      <c r="M47" s="1633" t="s">
        <v>1327</v>
      </c>
      <c r="N47" s="1633" t="s">
        <v>3178</v>
      </c>
      <c r="O47" s="1633" t="s">
        <v>3186</v>
      </c>
      <c r="P47" s="1633" t="s">
        <v>1327</v>
      </c>
      <c r="Q47" s="1633" t="s">
        <v>1327</v>
      </c>
      <c r="R47" s="1633" t="s">
        <v>1327</v>
      </c>
      <c r="S47" s="1633" t="s">
        <v>1327</v>
      </c>
      <c r="T47" s="1633" t="s">
        <v>1327</v>
      </c>
      <c r="U47" s="1633" t="s">
        <v>1327</v>
      </c>
      <c r="V47" s="1633" t="s">
        <v>1327</v>
      </c>
      <c r="W47" s="1633" t="s">
        <v>3214</v>
      </c>
      <c r="X47" s="1633" t="s">
        <v>3215</v>
      </c>
      <c r="Y47" s="1633" t="s">
        <v>3216</v>
      </c>
      <c r="Z47" s="1633" t="s">
        <v>3217</v>
      </c>
      <c r="AA47" s="1633" t="s">
        <v>3217</v>
      </c>
      <c r="AB47" s="1633" t="s">
        <v>3218</v>
      </c>
      <c r="AC47" s="1633" t="s">
        <v>3112</v>
      </c>
      <c r="AD47" s="1633" t="s">
        <v>3168</v>
      </c>
      <c r="AE47" s="1633">
        <v>770</v>
      </c>
      <c r="AF47" s="1633">
        <v>2557.21</v>
      </c>
      <c r="AG47" s="1633">
        <v>2557.21</v>
      </c>
      <c r="AH47" s="1633">
        <v>31.4</v>
      </c>
      <c r="AI47" s="1633">
        <v>31.4</v>
      </c>
      <c r="AJ47" s="1633">
        <v>448.58</v>
      </c>
      <c r="AK47" s="1633">
        <v>448.58</v>
      </c>
      <c r="AL47" s="1633" t="s">
        <v>1327</v>
      </c>
      <c r="AM47" s="1633" t="s">
        <v>1327</v>
      </c>
      <c r="AN47" s="1633">
        <v>0</v>
      </c>
      <c r="AO47" s="1633" t="s">
        <v>3114</v>
      </c>
      <c r="AP47" s="1633" t="s">
        <v>1327</v>
      </c>
      <c r="AQ47" s="1633" t="s">
        <v>1327</v>
      </c>
      <c r="AR47" s="1633" t="s">
        <v>1327</v>
      </c>
      <c r="AS47" s="1633" t="s">
        <v>3115</v>
      </c>
    </row>
    <row r="48" spans="1:45">
      <c r="A48" s="1633" t="s">
        <v>3212</v>
      </c>
      <c r="B48" s="1633" t="s">
        <v>3098</v>
      </c>
      <c r="C48" s="1633" t="s">
        <v>3099</v>
      </c>
      <c r="D48" s="1633" t="s">
        <v>3100</v>
      </c>
      <c r="E48" s="1633" t="s">
        <v>1327</v>
      </c>
      <c r="F48" s="1633" t="s">
        <v>3212</v>
      </c>
      <c r="G48" s="1633" t="s">
        <v>3101</v>
      </c>
      <c r="H48" s="1633" t="s">
        <v>3227</v>
      </c>
      <c r="I48" s="1633" t="s">
        <v>3103</v>
      </c>
      <c r="J48" s="1633">
        <v>825.51</v>
      </c>
      <c r="K48" s="1633">
        <v>866.79</v>
      </c>
      <c r="L48" s="1633" t="s">
        <v>3185</v>
      </c>
      <c r="M48" s="1633" t="s">
        <v>1327</v>
      </c>
      <c r="N48" s="1633" t="s">
        <v>3178</v>
      </c>
      <c r="O48" s="1633" t="s">
        <v>3186</v>
      </c>
      <c r="P48" s="1633" t="s">
        <v>1327</v>
      </c>
      <c r="Q48" s="1633" t="s">
        <v>1327</v>
      </c>
      <c r="R48" s="1633" t="s">
        <v>1327</v>
      </c>
      <c r="S48" s="1633" t="s">
        <v>1327</v>
      </c>
      <c r="T48" s="1633" t="s">
        <v>1327</v>
      </c>
      <c r="U48" s="1633" t="s">
        <v>1327</v>
      </c>
      <c r="V48" s="1633" t="s">
        <v>1327</v>
      </c>
      <c r="W48" s="1633" t="s">
        <v>3214</v>
      </c>
      <c r="X48" s="1633" t="s">
        <v>3215</v>
      </c>
      <c r="Y48" s="1633" t="s">
        <v>3216</v>
      </c>
      <c r="Z48" s="1633" t="s">
        <v>3217</v>
      </c>
      <c r="AA48" s="1633" t="s">
        <v>3217</v>
      </c>
      <c r="AB48" s="1633" t="s">
        <v>3218</v>
      </c>
      <c r="AC48" s="1633" t="s">
        <v>3112</v>
      </c>
      <c r="AD48" s="1633" t="s">
        <v>3168</v>
      </c>
      <c r="AE48" s="1633">
        <v>20</v>
      </c>
      <c r="AF48" s="1633">
        <v>38.93</v>
      </c>
      <c r="AG48" s="1633">
        <v>38.93</v>
      </c>
      <c r="AH48" s="1633">
        <v>31.44</v>
      </c>
      <c r="AI48" s="1633">
        <v>31.44</v>
      </c>
      <c r="AJ48" s="1633">
        <v>449.24</v>
      </c>
      <c r="AK48" s="1633">
        <v>449.24</v>
      </c>
      <c r="AL48" s="1633" t="s">
        <v>1327</v>
      </c>
      <c r="AM48" s="1633" t="s">
        <v>1327</v>
      </c>
      <c r="AN48" s="1633">
        <v>0</v>
      </c>
      <c r="AO48" s="1633" t="s">
        <v>3114</v>
      </c>
      <c r="AP48" s="1633" t="s">
        <v>1327</v>
      </c>
      <c r="AQ48" s="1633" t="s">
        <v>1327</v>
      </c>
      <c r="AR48" s="1633" t="s">
        <v>1327</v>
      </c>
      <c r="AS48" s="1633" t="s">
        <v>3115</v>
      </c>
    </row>
    <row r="49" spans="1:45">
      <c r="A49" s="1633" t="s">
        <v>3212</v>
      </c>
      <c r="B49" s="1633" t="s">
        <v>3098</v>
      </c>
      <c r="C49" s="1633" t="s">
        <v>3099</v>
      </c>
      <c r="D49" s="1633" t="s">
        <v>3100</v>
      </c>
      <c r="E49" s="1633" t="s">
        <v>1327</v>
      </c>
      <c r="F49" s="1633" t="s">
        <v>3212</v>
      </c>
      <c r="G49" s="1633" t="s">
        <v>3101</v>
      </c>
      <c r="H49" s="1633" t="s">
        <v>3228</v>
      </c>
      <c r="I49" s="1633" t="s">
        <v>3103</v>
      </c>
      <c r="J49" s="1633">
        <v>66216.62</v>
      </c>
      <c r="K49" s="1633">
        <v>69527.45</v>
      </c>
      <c r="L49" s="1633" t="s">
        <v>3185</v>
      </c>
      <c r="M49" s="1633" t="s">
        <v>1327</v>
      </c>
      <c r="N49" s="1633" t="s">
        <v>3178</v>
      </c>
      <c r="O49" s="1633" t="s">
        <v>3186</v>
      </c>
      <c r="P49" s="1633" t="s">
        <v>1327</v>
      </c>
      <c r="Q49" s="1633" t="s">
        <v>1327</v>
      </c>
      <c r="R49" s="1633" t="s">
        <v>1327</v>
      </c>
      <c r="S49" s="1633" t="s">
        <v>1327</v>
      </c>
      <c r="T49" s="1633" t="s">
        <v>1327</v>
      </c>
      <c r="U49" s="1633" t="s">
        <v>1327</v>
      </c>
      <c r="V49" s="1633" t="s">
        <v>1327</v>
      </c>
      <c r="W49" s="1633" t="s">
        <v>3214</v>
      </c>
      <c r="X49" s="1633" t="s">
        <v>3215</v>
      </c>
      <c r="Y49" s="1633" t="s">
        <v>3216</v>
      </c>
      <c r="Z49" s="1633" t="s">
        <v>3217</v>
      </c>
      <c r="AA49" s="1633" t="s">
        <v>3217</v>
      </c>
      <c r="AB49" s="1633" t="s">
        <v>3218</v>
      </c>
      <c r="AC49" s="1633" t="s">
        <v>3112</v>
      </c>
      <c r="AD49" s="1633" t="s">
        <v>3168</v>
      </c>
      <c r="AE49" s="1633">
        <v>940</v>
      </c>
      <c r="AF49" s="1633">
        <v>3118.65</v>
      </c>
      <c r="AG49" s="1633">
        <v>3118.65</v>
      </c>
      <c r="AH49" s="1633">
        <v>31.4</v>
      </c>
      <c r="AI49" s="1633">
        <v>31.4</v>
      </c>
      <c r="AJ49" s="1633">
        <v>448.54</v>
      </c>
      <c r="AK49" s="1633">
        <v>448.55</v>
      </c>
      <c r="AL49" s="1633" t="s">
        <v>1327</v>
      </c>
      <c r="AM49" s="1633" t="s">
        <v>1327</v>
      </c>
      <c r="AN49" s="1633">
        <v>0</v>
      </c>
      <c r="AO49" s="1633" t="s">
        <v>3114</v>
      </c>
      <c r="AP49" s="1633" t="s">
        <v>1327</v>
      </c>
      <c r="AQ49" s="1633" t="s">
        <v>1327</v>
      </c>
      <c r="AR49" s="1633" t="s">
        <v>1327</v>
      </c>
      <c r="AS49" s="1633" t="s">
        <v>3115</v>
      </c>
    </row>
    <row r="50" spans="1:45">
      <c r="A50" s="1633" t="s">
        <v>3212</v>
      </c>
      <c r="B50" s="1633" t="s">
        <v>3098</v>
      </c>
      <c r="C50" s="1633" t="s">
        <v>3099</v>
      </c>
      <c r="D50" s="1633" t="s">
        <v>3100</v>
      </c>
      <c r="E50" s="1633" t="s">
        <v>1327</v>
      </c>
      <c r="F50" s="1633" t="s">
        <v>3212</v>
      </c>
      <c r="G50" s="1633" t="s">
        <v>3101</v>
      </c>
      <c r="H50" s="1633" t="s">
        <v>3229</v>
      </c>
      <c r="I50" s="1633" t="s">
        <v>3103</v>
      </c>
      <c r="J50" s="1633">
        <v>13639.78</v>
      </c>
      <c r="K50" s="1633">
        <v>16367.74</v>
      </c>
      <c r="L50" s="1633" t="s">
        <v>3135</v>
      </c>
      <c r="M50" s="1633" t="s">
        <v>1327</v>
      </c>
      <c r="N50" s="1633" t="s">
        <v>3118</v>
      </c>
      <c r="O50" s="1633" t="s">
        <v>3186</v>
      </c>
      <c r="P50" s="1633" t="s">
        <v>1327</v>
      </c>
      <c r="Q50" s="1633" t="s">
        <v>1327</v>
      </c>
      <c r="R50" s="1633" t="s">
        <v>1327</v>
      </c>
      <c r="S50" s="1633" t="s">
        <v>1327</v>
      </c>
      <c r="T50" s="1633" t="s">
        <v>1327</v>
      </c>
      <c r="U50" s="1633" t="s">
        <v>1327</v>
      </c>
      <c r="V50" s="1633" t="s">
        <v>1327</v>
      </c>
      <c r="W50" s="1633" t="s">
        <v>3214</v>
      </c>
      <c r="X50" s="1633" t="s">
        <v>3215</v>
      </c>
      <c r="Y50" s="1633" t="s">
        <v>3216</v>
      </c>
      <c r="Z50" s="1633" t="s">
        <v>3217</v>
      </c>
      <c r="AA50" s="1633" t="s">
        <v>3217</v>
      </c>
      <c r="AB50" s="1633" t="s">
        <v>3218</v>
      </c>
      <c r="AC50" s="1633" t="s">
        <v>3112</v>
      </c>
      <c r="AD50" s="1633" t="s">
        <v>3168</v>
      </c>
      <c r="AE50" s="1633">
        <v>200</v>
      </c>
      <c r="AF50" s="1633">
        <v>642.44000000000005</v>
      </c>
      <c r="AG50" s="1633">
        <v>642.44000000000005</v>
      </c>
      <c r="AH50" s="1633">
        <v>31.4</v>
      </c>
      <c r="AI50" s="1633">
        <v>31.4</v>
      </c>
      <c r="AJ50" s="1633">
        <v>392.5</v>
      </c>
      <c r="AK50" s="1633">
        <v>392.5</v>
      </c>
      <c r="AL50" s="1633" t="s">
        <v>1327</v>
      </c>
      <c r="AM50" s="1633" t="s">
        <v>1327</v>
      </c>
      <c r="AN50" s="1633">
        <v>0</v>
      </c>
      <c r="AO50" s="1633" t="s">
        <v>3114</v>
      </c>
      <c r="AP50" s="1633" t="s">
        <v>1327</v>
      </c>
      <c r="AQ50" s="1633" t="s">
        <v>1327</v>
      </c>
      <c r="AR50" s="1633" t="s">
        <v>1327</v>
      </c>
      <c r="AS50" s="1633" t="s">
        <v>3115</v>
      </c>
    </row>
    <row r="51" spans="1:45">
      <c r="A51" s="1633" t="s">
        <v>3212</v>
      </c>
      <c r="B51" s="1633" t="s">
        <v>3098</v>
      </c>
      <c r="C51" s="1633" t="s">
        <v>3099</v>
      </c>
      <c r="D51" s="1633" t="s">
        <v>3100</v>
      </c>
      <c r="E51" s="1633" t="s">
        <v>1327</v>
      </c>
      <c r="F51" s="1633" t="s">
        <v>3212</v>
      </c>
      <c r="G51" s="1633" t="s">
        <v>3101</v>
      </c>
      <c r="H51" s="1633" t="s">
        <v>3230</v>
      </c>
      <c r="I51" s="1633" t="s">
        <v>3103</v>
      </c>
      <c r="J51" s="1633">
        <v>26811.17</v>
      </c>
      <c r="K51" s="1633">
        <v>28151.73</v>
      </c>
      <c r="L51" s="1633" t="s">
        <v>3185</v>
      </c>
      <c r="M51" s="1633" t="s">
        <v>1327</v>
      </c>
      <c r="N51" s="1633" t="s">
        <v>3178</v>
      </c>
      <c r="O51" s="1633" t="s">
        <v>3186</v>
      </c>
      <c r="P51" s="1633" t="s">
        <v>1327</v>
      </c>
      <c r="Q51" s="1633" t="s">
        <v>1327</v>
      </c>
      <c r="R51" s="1633" t="s">
        <v>1327</v>
      </c>
      <c r="S51" s="1633" t="s">
        <v>1327</v>
      </c>
      <c r="T51" s="1633" t="s">
        <v>1327</v>
      </c>
      <c r="U51" s="1633" t="s">
        <v>1327</v>
      </c>
      <c r="V51" s="1633" t="s">
        <v>1327</v>
      </c>
      <c r="W51" s="1633" t="s">
        <v>3214</v>
      </c>
      <c r="X51" s="1633" t="s">
        <v>3215</v>
      </c>
      <c r="Y51" s="1633" t="s">
        <v>3216</v>
      </c>
      <c r="Z51" s="1633" t="s">
        <v>3217</v>
      </c>
      <c r="AA51" s="1633" t="s">
        <v>3217</v>
      </c>
      <c r="AB51" s="1633" t="s">
        <v>3218</v>
      </c>
      <c r="AC51" s="1633" t="s">
        <v>3112</v>
      </c>
      <c r="AD51" s="1633" t="s">
        <v>3168</v>
      </c>
      <c r="AE51" s="1633">
        <v>380</v>
      </c>
      <c r="AF51" s="1633">
        <v>1262.9100000000001</v>
      </c>
      <c r="AG51" s="1633">
        <v>1262.9100000000001</v>
      </c>
      <c r="AH51" s="1633">
        <v>31.4</v>
      </c>
      <c r="AI51" s="1633">
        <v>31.4</v>
      </c>
      <c r="AJ51" s="1633">
        <v>448.6</v>
      </c>
      <c r="AK51" s="1633">
        <v>448.61</v>
      </c>
      <c r="AL51" s="1633" t="s">
        <v>1327</v>
      </c>
      <c r="AM51" s="1633" t="s">
        <v>1327</v>
      </c>
      <c r="AN51" s="1633">
        <v>0</v>
      </c>
      <c r="AO51" s="1633" t="s">
        <v>3114</v>
      </c>
      <c r="AP51" s="1633" t="s">
        <v>1327</v>
      </c>
      <c r="AQ51" s="1633" t="s">
        <v>1327</v>
      </c>
      <c r="AR51" s="1633" t="s">
        <v>1327</v>
      </c>
      <c r="AS51" s="1633" t="s">
        <v>3115</v>
      </c>
    </row>
  </sheetData>
  <phoneticPr fontId="143"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46" zoomScaleNormal="100" workbookViewId="0">
      <selection activeCell="K107" sqref="K107"/>
    </sheetView>
  </sheetViews>
  <sheetFormatPr defaultRowHeight="13.5"/>
  <cols>
    <col min="1" max="1" width="41" style="1633" customWidth="1"/>
    <col min="2" max="2" width="6.25" style="1633" customWidth="1"/>
    <col min="3" max="5" width="13.875" style="1633" customWidth="1"/>
    <col min="6" max="6" width="29.375" style="1633" customWidth="1"/>
    <col min="7" max="7" width="7.875" style="1633" customWidth="1"/>
    <col min="8" max="8" width="11.75" style="1633" customWidth="1"/>
    <col min="9" max="10" width="10.625" style="1633" customWidth="1"/>
    <col min="11" max="11" width="14.375" style="1633" customWidth="1"/>
    <col min="12" max="12" width="6.25" style="1633" customWidth="1"/>
    <col min="13" max="13" width="35.375" style="1633" customWidth="1"/>
    <col min="14" max="14" width="7.875" style="1633" customWidth="1"/>
    <col min="15" max="256" width="9" style="1633"/>
    <col min="257" max="257" width="41" style="1633" customWidth="1"/>
    <col min="258" max="258" width="6.25" style="1633" customWidth="1"/>
    <col min="259" max="261" width="13.875" style="1633" customWidth="1"/>
    <col min="262" max="262" width="25.37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35.375" style="1633" customWidth="1"/>
    <col min="270" max="270" width="7.875" style="1633" customWidth="1"/>
    <col min="271" max="512" width="9" style="1633"/>
    <col min="513" max="513" width="41" style="1633" customWidth="1"/>
    <col min="514" max="514" width="6.25" style="1633" customWidth="1"/>
    <col min="515" max="517" width="13.875" style="1633" customWidth="1"/>
    <col min="518" max="518" width="25.37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35.375" style="1633" customWidth="1"/>
    <col min="526" max="526" width="7.875" style="1633" customWidth="1"/>
    <col min="527" max="768" width="9" style="1633"/>
    <col min="769" max="769" width="41" style="1633" customWidth="1"/>
    <col min="770" max="770" width="6.25" style="1633" customWidth="1"/>
    <col min="771" max="773" width="13.875" style="1633" customWidth="1"/>
    <col min="774" max="774" width="25.37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35.375" style="1633" customWidth="1"/>
    <col min="782" max="782" width="7.875" style="1633" customWidth="1"/>
    <col min="783" max="1024" width="9" style="1633"/>
    <col min="1025" max="1025" width="41" style="1633" customWidth="1"/>
    <col min="1026" max="1026" width="6.25" style="1633" customWidth="1"/>
    <col min="1027" max="1029" width="13.875" style="1633" customWidth="1"/>
    <col min="1030" max="1030" width="25.37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35.375" style="1633" customWidth="1"/>
    <col min="1038" max="1038" width="7.875" style="1633" customWidth="1"/>
    <col min="1039" max="1280" width="9" style="1633"/>
    <col min="1281" max="1281" width="41" style="1633" customWidth="1"/>
    <col min="1282" max="1282" width="6.25" style="1633" customWidth="1"/>
    <col min="1283" max="1285" width="13.875" style="1633" customWidth="1"/>
    <col min="1286" max="1286" width="25.37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35.375" style="1633" customWidth="1"/>
    <col min="1294" max="1294" width="7.875" style="1633" customWidth="1"/>
    <col min="1295" max="1536" width="9" style="1633"/>
    <col min="1537" max="1537" width="41" style="1633" customWidth="1"/>
    <col min="1538" max="1538" width="6.25" style="1633" customWidth="1"/>
    <col min="1539" max="1541" width="13.875" style="1633" customWidth="1"/>
    <col min="1542" max="1542" width="25.37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35.375" style="1633" customWidth="1"/>
    <col min="1550" max="1550" width="7.875" style="1633" customWidth="1"/>
    <col min="1551" max="1792" width="9" style="1633"/>
    <col min="1793" max="1793" width="41" style="1633" customWidth="1"/>
    <col min="1794" max="1794" width="6.25" style="1633" customWidth="1"/>
    <col min="1795" max="1797" width="13.875" style="1633" customWidth="1"/>
    <col min="1798" max="1798" width="25.37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35.375" style="1633" customWidth="1"/>
    <col min="1806" max="1806" width="7.875" style="1633" customWidth="1"/>
    <col min="1807" max="2048" width="9" style="1633"/>
    <col min="2049" max="2049" width="41" style="1633" customWidth="1"/>
    <col min="2050" max="2050" width="6.25" style="1633" customWidth="1"/>
    <col min="2051" max="2053" width="13.875" style="1633" customWidth="1"/>
    <col min="2054" max="2054" width="25.37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35.375" style="1633" customWidth="1"/>
    <col min="2062" max="2062" width="7.875" style="1633" customWidth="1"/>
    <col min="2063" max="2304" width="9" style="1633"/>
    <col min="2305" max="2305" width="41" style="1633" customWidth="1"/>
    <col min="2306" max="2306" width="6.25" style="1633" customWidth="1"/>
    <col min="2307" max="2309" width="13.875" style="1633" customWidth="1"/>
    <col min="2310" max="2310" width="25.37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35.375" style="1633" customWidth="1"/>
    <col min="2318" max="2318" width="7.875" style="1633" customWidth="1"/>
    <col min="2319" max="2560" width="9" style="1633"/>
    <col min="2561" max="2561" width="41" style="1633" customWidth="1"/>
    <col min="2562" max="2562" width="6.25" style="1633" customWidth="1"/>
    <col min="2563" max="2565" width="13.875" style="1633" customWidth="1"/>
    <col min="2566" max="2566" width="25.37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35.375" style="1633" customWidth="1"/>
    <col min="2574" max="2574" width="7.875" style="1633" customWidth="1"/>
    <col min="2575" max="2816" width="9" style="1633"/>
    <col min="2817" max="2817" width="41" style="1633" customWidth="1"/>
    <col min="2818" max="2818" width="6.25" style="1633" customWidth="1"/>
    <col min="2819" max="2821" width="13.875" style="1633" customWidth="1"/>
    <col min="2822" max="2822" width="25.37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35.375" style="1633" customWidth="1"/>
    <col min="2830" max="2830" width="7.875" style="1633" customWidth="1"/>
    <col min="2831" max="3072" width="9" style="1633"/>
    <col min="3073" max="3073" width="41" style="1633" customWidth="1"/>
    <col min="3074" max="3074" width="6.25" style="1633" customWidth="1"/>
    <col min="3075" max="3077" width="13.875" style="1633" customWidth="1"/>
    <col min="3078" max="3078" width="25.37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35.375" style="1633" customWidth="1"/>
    <col min="3086" max="3086" width="7.875" style="1633" customWidth="1"/>
    <col min="3087" max="3328" width="9" style="1633"/>
    <col min="3329" max="3329" width="41" style="1633" customWidth="1"/>
    <col min="3330" max="3330" width="6.25" style="1633" customWidth="1"/>
    <col min="3331" max="3333" width="13.875" style="1633" customWidth="1"/>
    <col min="3334" max="3334" width="25.37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35.375" style="1633" customWidth="1"/>
    <col min="3342" max="3342" width="7.875" style="1633" customWidth="1"/>
    <col min="3343" max="3584" width="9" style="1633"/>
    <col min="3585" max="3585" width="41" style="1633" customWidth="1"/>
    <col min="3586" max="3586" width="6.25" style="1633" customWidth="1"/>
    <col min="3587" max="3589" width="13.875" style="1633" customWidth="1"/>
    <col min="3590" max="3590" width="25.37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35.375" style="1633" customWidth="1"/>
    <col min="3598" max="3598" width="7.875" style="1633" customWidth="1"/>
    <col min="3599" max="3840" width="9" style="1633"/>
    <col min="3841" max="3841" width="41" style="1633" customWidth="1"/>
    <col min="3842" max="3842" width="6.25" style="1633" customWidth="1"/>
    <col min="3843" max="3845" width="13.875" style="1633" customWidth="1"/>
    <col min="3846" max="3846" width="25.37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35.375" style="1633" customWidth="1"/>
    <col min="3854" max="3854" width="7.875" style="1633" customWidth="1"/>
    <col min="3855" max="4096" width="9" style="1633"/>
    <col min="4097" max="4097" width="41" style="1633" customWidth="1"/>
    <col min="4098" max="4098" width="6.25" style="1633" customWidth="1"/>
    <col min="4099" max="4101" width="13.875" style="1633" customWidth="1"/>
    <col min="4102" max="4102" width="25.37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35.375" style="1633" customWidth="1"/>
    <col min="4110" max="4110" width="7.875" style="1633" customWidth="1"/>
    <col min="4111" max="4352" width="9" style="1633"/>
    <col min="4353" max="4353" width="41" style="1633" customWidth="1"/>
    <col min="4354" max="4354" width="6.25" style="1633" customWidth="1"/>
    <col min="4355" max="4357" width="13.875" style="1633" customWidth="1"/>
    <col min="4358" max="4358" width="25.37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35.375" style="1633" customWidth="1"/>
    <col min="4366" max="4366" width="7.875" style="1633" customWidth="1"/>
    <col min="4367" max="4608" width="9" style="1633"/>
    <col min="4609" max="4609" width="41" style="1633" customWidth="1"/>
    <col min="4610" max="4610" width="6.25" style="1633" customWidth="1"/>
    <col min="4611" max="4613" width="13.875" style="1633" customWidth="1"/>
    <col min="4614" max="4614" width="25.37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35.375" style="1633" customWidth="1"/>
    <col min="4622" max="4622" width="7.875" style="1633" customWidth="1"/>
    <col min="4623" max="4864" width="9" style="1633"/>
    <col min="4865" max="4865" width="41" style="1633" customWidth="1"/>
    <col min="4866" max="4866" width="6.25" style="1633" customWidth="1"/>
    <col min="4867" max="4869" width="13.875" style="1633" customWidth="1"/>
    <col min="4870" max="4870" width="25.37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35.375" style="1633" customWidth="1"/>
    <col min="4878" max="4878" width="7.875" style="1633" customWidth="1"/>
    <col min="4879" max="5120" width="9" style="1633"/>
    <col min="5121" max="5121" width="41" style="1633" customWidth="1"/>
    <col min="5122" max="5122" width="6.25" style="1633" customWidth="1"/>
    <col min="5123" max="5125" width="13.875" style="1633" customWidth="1"/>
    <col min="5126" max="5126" width="25.37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35.375" style="1633" customWidth="1"/>
    <col min="5134" max="5134" width="7.875" style="1633" customWidth="1"/>
    <col min="5135" max="5376" width="9" style="1633"/>
    <col min="5377" max="5377" width="41" style="1633" customWidth="1"/>
    <col min="5378" max="5378" width="6.25" style="1633" customWidth="1"/>
    <col min="5379" max="5381" width="13.875" style="1633" customWidth="1"/>
    <col min="5382" max="5382" width="25.37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35.375" style="1633" customWidth="1"/>
    <col min="5390" max="5390" width="7.875" style="1633" customWidth="1"/>
    <col min="5391" max="5632" width="9" style="1633"/>
    <col min="5633" max="5633" width="41" style="1633" customWidth="1"/>
    <col min="5634" max="5634" width="6.25" style="1633" customWidth="1"/>
    <col min="5635" max="5637" width="13.875" style="1633" customWidth="1"/>
    <col min="5638" max="5638" width="25.37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35.375" style="1633" customWidth="1"/>
    <col min="5646" max="5646" width="7.875" style="1633" customWidth="1"/>
    <col min="5647" max="5888" width="9" style="1633"/>
    <col min="5889" max="5889" width="41" style="1633" customWidth="1"/>
    <col min="5890" max="5890" width="6.25" style="1633" customWidth="1"/>
    <col min="5891" max="5893" width="13.875" style="1633" customWidth="1"/>
    <col min="5894" max="5894" width="25.37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35.375" style="1633" customWidth="1"/>
    <col min="5902" max="5902" width="7.875" style="1633" customWidth="1"/>
    <col min="5903" max="6144" width="9" style="1633"/>
    <col min="6145" max="6145" width="41" style="1633" customWidth="1"/>
    <col min="6146" max="6146" width="6.25" style="1633" customWidth="1"/>
    <col min="6147" max="6149" width="13.875" style="1633" customWidth="1"/>
    <col min="6150" max="6150" width="25.37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35.375" style="1633" customWidth="1"/>
    <col min="6158" max="6158" width="7.875" style="1633" customWidth="1"/>
    <col min="6159" max="6400" width="9" style="1633"/>
    <col min="6401" max="6401" width="41" style="1633" customWidth="1"/>
    <col min="6402" max="6402" width="6.25" style="1633" customWidth="1"/>
    <col min="6403" max="6405" width="13.875" style="1633" customWidth="1"/>
    <col min="6406" max="6406" width="25.37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35.375" style="1633" customWidth="1"/>
    <col min="6414" max="6414" width="7.875" style="1633" customWidth="1"/>
    <col min="6415" max="6656" width="9" style="1633"/>
    <col min="6657" max="6657" width="41" style="1633" customWidth="1"/>
    <col min="6658" max="6658" width="6.25" style="1633" customWidth="1"/>
    <col min="6659" max="6661" width="13.875" style="1633" customWidth="1"/>
    <col min="6662" max="6662" width="25.37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35.375" style="1633" customWidth="1"/>
    <col min="6670" max="6670" width="7.875" style="1633" customWidth="1"/>
    <col min="6671" max="6912" width="9" style="1633"/>
    <col min="6913" max="6913" width="41" style="1633" customWidth="1"/>
    <col min="6914" max="6914" width="6.25" style="1633" customWidth="1"/>
    <col min="6915" max="6917" width="13.875" style="1633" customWidth="1"/>
    <col min="6918" max="6918" width="25.37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35.375" style="1633" customWidth="1"/>
    <col min="6926" max="6926" width="7.875" style="1633" customWidth="1"/>
    <col min="6927" max="7168" width="9" style="1633"/>
    <col min="7169" max="7169" width="41" style="1633" customWidth="1"/>
    <col min="7170" max="7170" width="6.25" style="1633" customWidth="1"/>
    <col min="7171" max="7173" width="13.875" style="1633" customWidth="1"/>
    <col min="7174" max="7174" width="25.37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35.375" style="1633" customWidth="1"/>
    <col min="7182" max="7182" width="7.875" style="1633" customWidth="1"/>
    <col min="7183" max="7424" width="9" style="1633"/>
    <col min="7425" max="7425" width="41" style="1633" customWidth="1"/>
    <col min="7426" max="7426" width="6.25" style="1633" customWidth="1"/>
    <col min="7427" max="7429" width="13.875" style="1633" customWidth="1"/>
    <col min="7430" max="7430" width="25.37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35.375" style="1633" customWidth="1"/>
    <col min="7438" max="7438" width="7.875" style="1633" customWidth="1"/>
    <col min="7439" max="7680" width="9" style="1633"/>
    <col min="7681" max="7681" width="41" style="1633" customWidth="1"/>
    <col min="7682" max="7682" width="6.25" style="1633" customWidth="1"/>
    <col min="7683" max="7685" width="13.875" style="1633" customWidth="1"/>
    <col min="7686" max="7686" width="25.37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35.375" style="1633" customWidth="1"/>
    <col min="7694" max="7694" width="7.875" style="1633" customWidth="1"/>
    <col min="7695" max="7936" width="9" style="1633"/>
    <col min="7937" max="7937" width="41" style="1633" customWidth="1"/>
    <col min="7938" max="7938" width="6.25" style="1633" customWidth="1"/>
    <col min="7939" max="7941" width="13.875" style="1633" customWidth="1"/>
    <col min="7942" max="7942" width="25.37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35.375" style="1633" customWidth="1"/>
    <col min="7950" max="7950" width="7.875" style="1633" customWidth="1"/>
    <col min="7951" max="8192" width="9" style="1633"/>
    <col min="8193" max="8193" width="41" style="1633" customWidth="1"/>
    <col min="8194" max="8194" width="6.25" style="1633" customWidth="1"/>
    <col min="8195" max="8197" width="13.875" style="1633" customWidth="1"/>
    <col min="8198" max="8198" width="25.37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35.375" style="1633" customWidth="1"/>
    <col min="8206" max="8206" width="7.875" style="1633" customWidth="1"/>
    <col min="8207" max="8448" width="9" style="1633"/>
    <col min="8449" max="8449" width="41" style="1633" customWidth="1"/>
    <col min="8450" max="8450" width="6.25" style="1633" customWidth="1"/>
    <col min="8451" max="8453" width="13.875" style="1633" customWidth="1"/>
    <col min="8454" max="8454" width="25.37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35.375" style="1633" customWidth="1"/>
    <col min="8462" max="8462" width="7.875" style="1633" customWidth="1"/>
    <col min="8463" max="8704" width="9" style="1633"/>
    <col min="8705" max="8705" width="41" style="1633" customWidth="1"/>
    <col min="8706" max="8706" width="6.25" style="1633" customWidth="1"/>
    <col min="8707" max="8709" width="13.875" style="1633" customWidth="1"/>
    <col min="8710" max="8710" width="25.37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35.375" style="1633" customWidth="1"/>
    <col min="8718" max="8718" width="7.875" style="1633" customWidth="1"/>
    <col min="8719" max="8960" width="9" style="1633"/>
    <col min="8961" max="8961" width="41" style="1633" customWidth="1"/>
    <col min="8962" max="8962" width="6.25" style="1633" customWidth="1"/>
    <col min="8963" max="8965" width="13.875" style="1633" customWidth="1"/>
    <col min="8966" max="8966" width="25.37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35.375" style="1633" customWidth="1"/>
    <col min="8974" max="8974" width="7.875" style="1633" customWidth="1"/>
    <col min="8975" max="9216" width="9" style="1633"/>
    <col min="9217" max="9217" width="41" style="1633" customWidth="1"/>
    <col min="9218" max="9218" width="6.25" style="1633" customWidth="1"/>
    <col min="9219" max="9221" width="13.875" style="1633" customWidth="1"/>
    <col min="9222" max="9222" width="25.37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35.375" style="1633" customWidth="1"/>
    <col min="9230" max="9230" width="7.875" style="1633" customWidth="1"/>
    <col min="9231" max="9472" width="9" style="1633"/>
    <col min="9473" max="9473" width="41" style="1633" customWidth="1"/>
    <col min="9474" max="9474" width="6.25" style="1633" customWidth="1"/>
    <col min="9475" max="9477" width="13.875" style="1633" customWidth="1"/>
    <col min="9478" max="9478" width="25.37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35.375" style="1633" customWidth="1"/>
    <col min="9486" max="9486" width="7.875" style="1633" customWidth="1"/>
    <col min="9487" max="9728" width="9" style="1633"/>
    <col min="9729" max="9729" width="41" style="1633" customWidth="1"/>
    <col min="9730" max="9730" width="6.25" style="1633" customWidth="1"/>
    <col min="9731" max="9733" width="13.875" style="1633" customWidth="1"/>
    <col min="9734" max="9734" width="25.37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35.375" style="1633" customWidth="1"/>
    <col min="9742" max="9742" width="7.875" style="1633" customWidth="1"/>
    <col min="9743" max="9984" width="9" style="1633"/>
    <col min="9985" max="9985" width="41" style="1633" customWidth="1"/>
    <col min="9986" max="9986" width="6.25" style="1633" customWidth="1"/>
    <col min="9987" max="9989" width="13.875" style="1633" customWidth="1"/>
    <col min="9990" max="9990" width="25.37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35.375" style="1633" customWidth="1"/>
    <col min="9998" max="9998" width="7.875" style="1633" customWidth="1"/>
    <col min="9999" max="10240" width="9" style="1633"/>
    <col min="10241" max="10241" width="41" style="1633" customWidth="1"/>
    <col min="10242" max="10242" width="6.25" style="1633" customWidth="1"/>
    <col min="10243" max="10245" width="13.875" style="1633" customWidth="1"/>
    <col min="10246" max="10246" width="25.37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35.375" style="1633" customWidth="1"/>
    <col min="10254" max="10254" width="7.875" style="1633" customWidth="1"/>
    <col min="10255" max="10496" width="9" style="1633"/>
    <col min="10497" max="10497" width="41" style="1633" customWidth="1"/>
    <col min="10498" max="10498" width="6.25" style="1633" customWidth="1"/>
    <col min="10499" max="10501" width="13.875" style="1633" customWidth="1"/>
    <col min="10502" max="10502" width="25.37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35.375" style="1633" customWidth="1"/>
    <col min="10510" max="10510" width="7.875" style="1633" customWidth="1"/>
    <col min="10511" max="10752" width="9" style="1633"/>
    <col min="10753" max="10753" width="41" style="1633" customWidth="1"/>
    <col min="10754" max="10754" width="6.25" style="1633" customWidth="1"/>
    <col min="10755" max="10757" width="13.875" style="1633" customWidth="1"/>
    <col min="10758" max="10758" width="25.37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35.375" style="1633" customWidth="1"/>
    <col min="10766" max="10766" width="7.875" style="1633" customWidth="1"/>
    <col min="10767" max="11008" width="9" style="1633"/>
    <col min="11009" max="11009" width="41" style="1633" customWidth="1"/>
    <col min="11010" max="11010" width="6.25" style="1633" customWidth="1"/>
    <col min="11011" max="11013" width="13.875" style="1633" customWidth="1"/>
    <col min="11014" max="11014" width="25.37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35.375" style="1633" customWidth="1"/>
    <col min="11022" max="11022" width="7.875" style="1633" customWidth="1"/>
    <col min="11023" max="11264" width="9" style="1633"/>
    <col min="11265" max="11265" width="41" style="1633" customWidth="1"/>
    <col min="11266" max="11266" width="6.25" style="1633" customWidth="1"/>
    <col min="11267" max="11269" width="13.875" style="1633" customWidth="1"/>
    <col min="11270" max="11270" width="25.37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35.375" style="1633" customWidth="1"/>
    <col min="11278" max="11278" width="7.875" style="1633" customWidth="1"/>
    <col min="11279" max="11520" width="9" style="1633"/>
    <col min="11521" max="11521" width="41" style="1633" customWidth="1"/>
    <col min="11522" max="11522" width="6.25" style="1633" customWidth="1"/>
    <col min="11523" max="11525" width="13.875" style="1633" customWidth="1"/>
    <col min="11526" max="11526" width="25.37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35.375" style="1633" customWidth="1"/>
    <col min="11534" max="11534" width="7.875" style="1633" customWidth="1"/>
    <col min="11535" max="11776" width="9" style="1633"/>
    <col min="11777" max="11777" width="41" style="1633" customWidth="1"/>
    <col min="11778" max="11778" width="6.25" style="1633" customWidth="1"/>
    <col min="11779" max="11781" width="13.875" style="1633" customWidth="1"/>
    <col min="11782" max="11782" width="25.37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35.375" style="1633" customWidth="1"/>
    <col min="11790" max="11790" width="7.875" style="1633" customWidth="1"/>
    <col min="11791" max="12032" width="9" style="1633"/>
    <col min="12033" max="12033" width="41" style="1633" customWidth="1"/>
    <col min="12034" max="12034" width="6.25" style="1633" customWidth="1"/>
    <col min="12035" max="12037" width="13.875" style="1633" customWidth="1"/>
    <col min="12038" max="12038" width="25.37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35.375" style="1633" customWidth="1"/>
    <col min="12046" max="12046" width="7.875" style="1633" customWidth="1"/>
    <col min="12047" max="12288" width="9" style="1633"/>
    <col min="12289" max="12289" width="41" style="1633" customWidth="1"/>
    <col min="12290" max="12290" width="6.25" style="1633" customWidth="1"/>
    <col min="12291" max="12293" width="13.875" style="1633" customWidth="1"/>
    <col min="12294" max="12294" width="25.37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35.375" style="1633" customWidth="1"/>
    <col min="12302" max="12302" width="7.875" style="1633" customWidth="1"/>
    <col min="12303" max="12544" width="9" style="1633"/>
    <col min="12545" max="12545" width="41" style="1633" customWidth="1"/>
    <col min="12546" max="12546" width="6.25" style="1633" customWidth="1"/>
    <col min="12547" max="12549" width="13.875" style="1633" customWidth="1"/>
    <col min="12550" max="12550" width="25.37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35.375" style="1633" customWidth="1"/>
    <col min="12558" max="12558" width="7.875" style="1633" customWidth="1"/>
    <col min="12559" max="12800" width="9" style="1633"/>
    <col min="12801" max="12801" width="41" style="1633" customWidth="1"/>
    <col min="12802" max="12802" width="6.25" style="1633" customWidth="1"/>
    <col min="12803" max="12805" width="13.875" style="1633" customWidth="1"/>
    <col min="12806" max="12806" width="25.37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35.375" style="1633" customWidth="1"/>
    <col min="12814" max="12814" width="7.875" style="1633" customWidth="1"/>
    <col min="12815" max="13056" width="9" style="1633"/>
    <col min="13057" max="13057" width="41" style="1633" customWidth="1"/>
    <col min="13058" max="13058" width="6.25" style="1633" customWidth="1"/>
    <col min="13059" max="13061" width="13.875" style="1633" customWidth="1"/>
    <col min="13062" max="13062" width="25.37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35.375" style="1633" customWidth="1"/>
    <col min="13070" max="13070" width="7.875" style="1633" customWidth="1"/>
    <col min="13071" max="13312" width="9" style="1633"/>
    <col min="13313" max="13313" width="41" style="1633" customWidth="1"/>
    <col min="13314" max="13314" width="6.25" style="1633" customWidth="1"/>
    <col min="13315" max="13317" width="13.875" style="1633" customWidth="1"/>
    <col min="13318" max="13318" width="25.37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35.375" style="1633" customWidth="1"/>
    <col min="13326" max="13326" width="7.875" style="1633" customWidth="1"/>
    <col min="13327" max="13568" width="9" style="1633"/>
    <col min="13569" max="13569" width="41" style="1633" customWidth="1"/>
    <col min="13570" max="13570" width="6.25" style="1633" customWidth="1"/>
    <col min="13571" max="13573" width="13.875" style="1633" customWidth="1"/>
    <col min="13574" max="13574" width="25.37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35.375" style="1633" customWidth="1"/>
    <col min="13582" max="13582" width="7.875" style="1633" customWidth="1"/>
    <col min="13583" max="13824" width="9" style="1633"/>
    <col min="13825" max="13825" width="41" style="1633" customWidth="1"/>
    <col min="13826" max="13826" width="6.25" style="1633" customWidth="1"/>
    <col min="13827" max="13829" width="13.875" style="1633" customWidth="1"/>
    <col min="13830" max="13830" width="25.37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35.375" style="1633" customWidth="1"/>
    <col min="13838" max="13838" width="7.875" style="1633" customWidth="1"/>
    <col min="13839" max="14080" width="9" style="1633"/>
    <col min="14081" max="14081" width="41" style="1633" customWidth="1"/>
    <col min="14082" max="14082" width="6.25" style="1633" customWidth="1"/>
    <col min="14083" max="14085" width="13.875" style="1633" customWidth="1"/>
    <col min="14086" max="14086" width="25.37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35.375" style="1633" customWidth="1"/>
    <col min="14094" max="14094" width="7.875" style="1633" customWidth="1"/>
    <col min="14095" max="14336" width="9" style="1633"/>
    <col min="14337" max="14337" width="41" style="1633" customWidth="1"/>
    <col min="14338" max="14338" width="6.25" style="1633" customWidth="1"/>
    <col min="14339" max="14341" width="13.875" style="1633" customWidth="1"/>
    <col min="14342" max="14342" width="25.37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35.375" style="1633" customWidth="1"/>
    <col min="14350" max="14350" width="7.875" style="1633" customWidth="1"/>
    <col min="14351" max="14592" width="9" style="1633"/>
    <col min="14593" max="14593" width="41" style="1633" customWidth="1"/>
    <col min="14594" max="14594" width="6.25" style="1633" customWidth="1"/>
    <col min="14595" max="14597" width="13.875" style="1633" customWidth="1"/>
    <col min="14598" max="14598" width="25.37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35.375" style="1633" customWidth="1"/>
    <col min="14606" max="14606" width="7.875" style="1633" customWidth="1"/>
    <col min="14607" max="14848" width="9" style="1633"/>
    <col min="14849" max="14849" width="41" style="1633" customWidth="1"/>
    <col min="14850" max="14850" width="6.25" style="1633" customWidth="1"/>
    <col min="14851" max="14853" width="13.875" style="1633" customWidth="1"/>
    <col min="14854" max="14854" width="25.37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35.375" style="1633" customWidth="1"/>
    <col min="14862" max="14862" width="7.875" style="1633" customWidth="1"/>
    <col min="14863" max="15104" width="9" style="1633"/>
    <col min="15105" max="15105" width="41" style="1633" customWidth="1"/>
    <col min="15106" max="15106" width="6.25" style="1633" customWidth="1"/>
    <col min="15107" max="15109" width="13.875" style="1633" customWidth="1"/>
    <col min="15110" max="15110" width="25.37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35.375" style="1633" customWidth="1"/>
    <col min="15118" max="15118" width="7.875" style="1633" customWidth="1"/>
    <col min="15119" max="15360" width="9" style="1633"/>
    <col min="15361" max="15361" width="41" style="1633" customWidth="1"/>
    <col min="15362" max="15362" width="6.25" style="1633" customWidth="1"/>
    <col min="15363" max="15365" width="13.875" style="1633" customWidth="1"/>
    <col min="15366" max="15366" width="25.37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35.375" style="1633" customWidth="1"/>
    <col min="15374" max="15374" width="7.875" style="1633" customWidth="1"/>
    <col min="15375" max="15616" width="9" style="1633"/>
    <col min="15617" max="15617" width="41" style="1633" customWidth="1"/>
    <col min="15618" max="15618" width="6.25" style="1633" customWidth="1"/>
    <col min="15619" max="15621" width="13.875" style="1633" customWidth="1"/>
    <col min="15622" max="15622" width="25.37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35.375" style="1633" customWidth="1"/>
    <col min="15630" max="15630" width="7.875" style="1633" customWidth="1"/>
    <col min="15631" max="15872" width="9" style="1633"/>
    <col min="15873" max="15873" width="41" style="1633" customWidth="1"/>
    <col min="15874" max="15874" width="6.25" style="1633" customWidth="1"/>
    <col min="15875" max="15877" width="13.875" style="1633" customWidth="1"/>
    <col min="15878" max="15878" width="25.37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35.375" style="1633" customWidth="1"/>
    <col min="15886" max="15886" width="7.875" style="1633" customWidth="1"/>
    <col min="15887" max="16128" width="9" style="1633"/>
    <col min="16129" max="16129" width="41" style="1633" customWidth="1"/>
    <col min="16130" max="16130" width="6.25" style="1633" customWidth="1"/>
    <col min="16131" max="16133" width="13.875" style="1633" customWidth="1"/>
    <col min="16134" max="16134" width="25.37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35.375" style="1633" customWidth="1"/>
    <col min="16142" max="16142" width="7.875" style="1633" customWidth="1"/>
    <col min="16143" max="16384" width="9" style="1633"/>
  </cols>
  <sheetData>
    <row r="1" spans="1:14">
      <c r="A1" s="1633" t="s">
        <v>3052</v>
      </c>
      <c r="B1" s="1633" t="s">
        <v>3053</v>
      </c>
      <c r="C1" s="1633" t="s">
        <v>3054</v>
      </c>
      <c r="D1" s="1633" t="s">
        <v>3061</v>
      </c>
      <c r="E1" s="1633" t="s">
        <v>3062</v>
      </c>
      <c r="F1" s="1633" t="s">
        <v>3063</v>
      </c>
      <c r="G1" s="1633" t="s">
        <v>3058</v>
      </c>
      <c r="H1" s="1633" t="s">
        <v>3077</v>
      </c>
      <c r="I1" s="1633" t="s">
        <v>3083</v>
      </c>
      <c r="J1" s="1633" t="s">
        <v>3084</v>
      </c>
      <c r="K1" s="1633" t="s">
        <v>3088</v>
      </c>
      <c r="L1" s="1633" t="s">
        <v>3091</v>
      </c>
      <c r="M1" s="1633" t="s">
        <v>3081</v>
      </c>
      <c r="N1" s="1633" t="s">
        <v>3096</v>
      </c>
    </row>
    <row r="2" spans="1:14">
      <c r="A2" s="1633" t="s">
        <v>3374</v>
      </c>
      <c r="B2" s="1633" t="s">
        <v>3098</v>
      </c>
      <c r="C2" s="1633" t="s">
        <v>3099</v>
      </c>
      <c r="D2" s="1633">
        <v>20938.599999999999</v>
      </c>
      <c r="E2" s="1633">
        <v>64909.66</v>
      </c>
      <c r="F2" s="1633" t="s">
        <v>3375</v>
      </c>
      <c r="G2" s="1633" t="s">
        <v>3145</v>
      </c>
      <c r="H2" s="1633" t="s">
        <v>3376</v>
      </c>
      <c r="I2" s="1633">
        <v>4428.8100000000004</v>
      </c>
      <c r="J2" s="1633">
        <v>4428.8100000000004</v>
      </c>
      <c r="K2" s="1633">
        <v>682.29</v>
      </c>
      <c r="L2" s="1633">
        <v>0</v>
      </c>
      <c r="M2" s="1633" t="s">
        <v>3377</v>
      </c>
      <c r="N2" s="1633" t="s">
        <v>3115</v>
      </c>
    </row>
    <row r="3" spans="1:14" s="2959" customFormat="1">
      <c r="A3" s="2959" t="s">
        <v>3374</v>
      </c>
      <c r="B3" s="2959" t="s">
        <v>3098</v>
      </c>
      <c r="C3" s="2959" t="s">
        <v>3099</v>
      </c>
      <c r="D3" s="2959">
        <v>13023.31</v>
      </c>
      <c r="E3" s="2959">
        <v>59907.23</v>
      </c>
      <c r="F3" s="2959" t="s">
        <v>3378</v>
      </c>
      <c r="G3" s="2959" t="s">
        <v>3101</v>
      </c>
      <c r="H3" s="2959" t="s">
        <v>3379</v>
      </c>
      <c r="I3" s="2959">
        <v>5862</v>
      </c>
      <c r="J3" s="2959">
        <v>5862</v>
      </c>
      <c r="K3" s="2959">
        <v>978.5</v>
      </c>
      <c r="L3" s="2959">
        <v>0</v>
      </c>
      <c r="M3" s="2959" t="s">
        <v>3380</v>
      </c>
      <c r="N3" s="2959" t="s">
        <v>3115</v>
      </c>
    </row>
    <row r="4" spans="1:14">
      <c r="A4" s="1633" t="s">
        <v>3374</v>
      </c>
      <c r="B4" s="1633" t="s">
        <v>3098</v>
      </c>
      <c r="C4" s="1633" t="s">
        <v>3099</v>
      </c>
      <c r="D4" s="1633">
        <v>10321.08</v>
      </c>
      <c r="E4" s="1633">
        <v>20642.16</v>
      </c>
      <c r="F4" s="1633" t="s">
        <v>3381</v>
      </c>
      <c r="G4" s="1633" t="s">
        <v>3101</v>
      </c>
      <c r="H4" s="1633" t="s">
        <v>3382</v>
      </c>
      <c r="I4" s="1633">
        <v>1228.82</v>
      </c>
      <c r="J4" s="1633">
        <v>1228.82</v>
      </c>
      <c r="K4" s="1633">
        <v>595.29</v>
      </c>
      <c r="L4" s="1633">
        <v>0</v>
      </c>
      <c r="M4" s="1633" t="s">
        <v>3383</v>
      </c>
      <c r="N4" s="1633" t="s">
        <v>3115</v>
      </c>
    </row>
    <row r="5" spans="1:14">
      <c r="A5" s="1633" t="s">
        <v>3374</v>
      </c>
      <c r="B5" s="1633" t="s">
        <v>3098</v>
      </c>
      <c r="C5" s="1633" t="s">
        <v>3099</v>
      </c>
      <c r="D5" s="1633">
        <v>21693.4</v>
      </c>
      <c r="E5" s="1633">
        <v>43386.8</v>
      </c>
      <c r="F5" s="1633" t="s">
        <v>3384</v>
      </c>
      <c r="G5" s="1633" t="s">
        <v>3101</v>
      </c>
      <c r="H5" s="1633" t="s">
        <v>3382</v>
      </c>
      <c r="I5" s="1633">
        <v>2410.0500000000002</v>
      </c>
      <c r="J5" s="1633">
        <v>2410.0500000000002</v>
      </c>
      <c r="K5" s="1633">
        <v>555.48</v>
      </c>
      <c r="L5" s="1633">
        <v>0</v>
      </c>
      <c r="M5" s="1633" t="s">
        <v>3383</v>
      </c>
      <c r="N5" s="1633" t="s">
        <v>3115</v>
      </c>
    </row>
    <row r="6" spans="1:14" s="2959" customFormat="1">
      <c r="A6" s="2959" t="s">
        <v>3374</v>
      </c>
      <c r="B6" s="2959" t="s">
        <v>3098</v>
      </c>
      <c r="C6" s="2959" t="s">
        <v>3099</v>
      </c>
      <c r="D6" s="2959">
        <v>39807.040000000001</v>
      </c>
      <c r="E6" s="2959">
        <v>175150.98</v>
      </c>
      <c r="F6" s="2959" t="s">
        <v>3385</v>
      </c>
      <c r="G6" s="2959" t="s">
        <v>3101</v>
      </c>
      <c r="H6" s="2959" t="s">
        <v>3386</v>
      </c>
      <c r="I6" s="2959">
        <v>17913</v>
      </c>
      <c r="J6" s="2959">
        <v>17913</v>
      </c>
      <c r="K6" s="2959">
        <v>1022.72</v>
      </c>
      <c r="L6" s="2959">
        <v>0</v>
      </c>
      <c r="M6" s="2959" t="s">
        <v>3387</v>
      </c>
      <c r="N6" s="2959" t="s">
        <v>3115</v>
      </c>
    </row>
    <row r="7" spans="1:14">
      <c r="A7" s="1633" t="s">
        <v>3374</v>
      </c>
      <c r="B7" s="1633" t="s">
        <v>3098</v>
      </c>
      <c r="C7" s="1633" t="s">
        <v>3099</v>
      </c>
      <c r="D7" s="1633">
        <v>33949.32</v>
      </c>
      <c r="E7" s="1633">
        <v>118822.6</v>
      </c>
      <c r="F7" s="1633" t="s">
        <v>3388</v>
      </c>
      <c r="G7" s="1633" t="s">
        <v>3101</v>
      </c>
      <c r="H7" s="1633" t="s">
        <v>3386</v>
      </c>
      <c r="I7" s="1633">
        <v>15276</v>
      </c>
      <c r="J7" s="1633">
        <v>15276</v>
      </c>
      <c r="K7" s="1633">
        <v>1285.5999999999999</v>
      </c>
      <c r="L7" s="1633">
        <v>0</v>
      </c>
      <c r="M7" s="1633" t="s">
        <v>3387</v>
      </c>
      <c r="N7" s="1633" t="s">
        <v>3115</v>
      </c>
    </row>
    <row r="8" spans="1:14">
      <c r="A8" s="1633" t="s">
        <v>3389</v>
      </c>
      <c r="B8" s="1633" t="s">
        <v>3098</v>
      </c>
      <c r="C8" s="1633" t="s">
        <v>3099</v>
      </c>
      <c r="D8" s="1633">
        <v>38183.08</v>
      </c>
      <c r="E8" s="1633">
        <v>114549.24</v>
      </c>
      <c r="F8" s="1633" t="s">
        <v>3147</v>
      </c>
      <c r="G8" s="1633" t="s">
        <v>3145</v>
      </c>
      <c r="H8" s="1633" t="s">
        <v>3386</v>
      </c>
      <c r="I8" s="1633">
        <v>7159</v>
      </c>
      <c r="J8" s="1633">
        <v>7159</v>
      </c>
      <c r="K8" s="1633">
        <v>624.97</v>
      </c>
      <c r="L8" s="1633">
        <v>0</v>
      </c>
      <c r="M8" s="1633" t="s">
        <v>3390</v>
      </c>
      <c r="N8" s="1633" t="s">
        <v>3115</v>
      </c>
    </row>
    <row r="9" spans="1:14">
      <c r="A9" s="1633" t="s">
        <v>3374</v>
      </c>
      <c r="B9" s="1633" t="s">
        <v>3098</v>
      </c>
      <c r="C9" s="1633" t="s">
        <v>3099</v>
      </c>
      <c r="D9" s="1633">
        <v>31979.45</v>
      </c>
      <c r="E9" s="1633">
        <v>127917.8</v>
      </c>
      <c r="F9" s="1633" t="s">
        <v>3391</v>
      </c>
      <c r="G9" s="1633" t="s">
        <v>3101</v>
      </c>
      <c r="H9" s="1633" t="s">
        <v>3386</v>
      </c>
      <c r="I9" s="1633">
        <v>14391</v>
      </c>
      <c r="J9" s="1633">
        <v>14391</v>
      </c>
      <c r="K9" s="1633">
        <v>1125.01</v>
      </c>
      <c r="L9" s="1633">
        <v>0</v>
      </c>
      <c r="M9" s="1633" t="s">
        <v>3387</v>
      </c>
      <c r="N9" s="1633" t="s">
        <v>3115</v>
      </c>
    </row>
    <row r="10" spans="1:14">
      <c r="A10" s="1633" t="s">
        <v>3374</v>
      </c>
      <c r="B10" s="1633" t="s">
        <v>3098</v>
      </c>
      <c r="C10" s="1633" t="s">
        <v>3099</v>
      </c>
      <c r="D10" s="1633">
        <v>19332</v>
      </c>
      <c r="E10" s="1633">
        <v>77328</v>
      </c>
      <c r="F10" s="1633" t="s">
        <v>3391</v>
      </c>
      <c r="G10" s="1633" t="s">
        <v>3101</v>
      </c>
      <c r="H10" s="1633" t="s">
        <v>3386</v>
      </c>
      <c r="I10" s="1633">
        <v>8700</v>
      </c>
      <c r="J10" s="1633">
        <v>8700</v>
      </c>
      <c r="K10" s="1633">
        <v>1125.07</v>
      </c>
      <c r="L10" s="1633">
        <v>0</v>
      </c>
      <c r="M10" s="1633" t="s">
        <v>3387</v>
      </c>
      <c r="N10" s="1633" t="s">
        <v>3115</v>
      </c>
    </row>
    <row r="11" spans="1:14">
      <c r="A11" s="1633" t="s">
        <v>3389</v>
      </c>
      <c r="B11" s="1633" t="s">
        <v>3098</v>
      </c>
      <c r="C11" s="1633" t="s">
        <v>3099</v>
      </c>
      <c r="D11" s="1633">
        <v>7637.97</v>
      </c>
      <c r="E11" s="1633">
        <v>24441.5</v>
      </c>
      <c r="F11" s="1633" t="s">
        <v>3117</v>
      </c>
      <c r="G11" s="1633" t="s">
        <v>3145</v>
      </c>
      <c r="H11" s="1633" t="s">
        <v>3386</v>
      </c>
      <c r="I11" s="1633">
        <v>1433</v>
      </c>
      <c r="J11" s="1633">
        <v>1433</v>
      </c>
      <c r="K11" s="1633">
        <v>586.29</v>
      </c>
      <c r="L11" s="1633">
        <v>0</v>
      </c>
      <c r="M11" s="1633" t="s">
        <v>3390</v>
      </c>
      <c r="N11" s="1633" t="s">
        <v>3115</v>
      </c>
    </row>
    <row r="12" spans="1:14">
      <c r="A12" s="1633" t="s">
        <v>3389</v>
      </c>
      <c r="B12" s="1633" t="s">
        <v>3098</v>
      </c>
      <c r="C12" s="1633" t="s">
        <v>3099</v>
      </c>
      <c r="D12" s="1633">
        <v>40289.56</v>
      </c>
      <c r="E12" s="1633">
        <v>48347.47</v>
      </c>
      <c r="F12" s="1633" t="s">
        <v>3135</v>
      </c>
      <c r="G12" s="1633" t="s">
        <v>3145</v>
      </c>
      <c r="H12" s="1633" t="s">
        <v>3392</v>
      </c>
      <c r="I12" s="1633">
        <v>7373</v>
      </c>
      <c r="J12" s="1633">
        <v>7373</v>
      </c>
      <c r="K12" s="1633">
        <v>1525</v>
      </c>
      <c r="L12" s="1633">
        <v>0</v>
      </c>
      <c r="M12" s="1633" t="s">
        <v>3393</v>
      </c>
      <c r="N12" s="1633" t="s">
        <v>3115</v>
      </c>
    </row>
    <row r="13" spans="1:14">
      <c r="A13" s="1633" t="s">
        <v>3394</v>
      </c>
      <c r="B13" s="1633" t="s">
        <v>3098</v>
      </c>
      <c r="C13" s="1633" t="s">
        <v>3099</v>
      </c>
      <c r="D13" s="1633">
        <v>53264.11</v>
      </c>
      <c r="E13" s="1633">
        <v>61253.73</v>
      </c>
      <c r="F13" s="1633" t="s">
        <v>3395</v>
      </c>
      <c r="G13" s="1633" t="s">
        <v>3145</v>
      </c>
      <c r="H13" s="1633" t="s">
        <v>3392</v>
      </c>
      <c r="I13" s="1633">
        <v>9748</v>
      </c>
      <c r="J13" s="1633">
        <v>9748</v>
      </c>
      <c r="K13" s="1633">
        <v>1591.41</v>
      </c>
      <c r="L13" s="1633">
        <v>0</v>
      </c>
      <c r="M13" s="1633" t="s">
        <v>3393</v>
      </c>
      <c r="N13" s="1633" t="s">
        <v>3115</v>
      </c>
    </row>
    <row r="14" spans="1:14">
      <c r="A14" s="1633" t="s">
        <v>3389</v>
      </c>
      <c r="B14" s="1633" t="s">
        <v>3098</v>
      </c>
      <c r="C14" s="1633" t="s">
        <v>3099</v>
      </c>
      <c r="D14" s="1633">
        <v>66152.36</v>
      </c>
      <c r="E14" s="1633">
        <v>79382.83</v>
      </c>
      <c r="F14" s="1633" t="s">
        <v>3135</v>
      </c>
      <c r="G14" s="1633" t="s">
        <v>3145</v>
      </c>
      <c r="H14" s="1633" t="s">
        <v>3392</v>
      </c>
      <c r="I14" s="1633">
        <v>12107</v>
      </c>
      <c r="J14" s="1633">
        <v>12107</v>
      </c>
      <c r="K14" s="1633">
        <v>1525.14</v>
      </c>
      <c r="L14" s="1633">
        <v>0</v>
      </c>
      <c r="M14" s="1633" t="s">
        <v>3393</v>
      </c>
      <c r="N14" s="1633" t="s">
        <v>3115</v>
      </c>
    </row>
    <row r="15" spans="1:14">
      <c r="A15" s="1633" t="s">
        <v>3394</v>
      </c>
      <c r="B15" s="1633" t="s">
        <v>3098</v>
      </c>
      <c r="C15" s="1633" t="s">
        <v>3099</v>
      </c>
      <c r="D15" s="1633">
        <v>38614.400000000001</v>
      </c>
      <c r="E15" s="1633">
        <v>44406.559999999998</v>
      </c>
      <c r="F15" s="1633" t="s">
        <v>3395</v>
      </c>
      <c r="G15" s="1633" t="s">
        <v>3145</v>
      </c>
      <c r="H15" s="1633" t="s">
        <v>3392</v>
      </c>
      <c r="I15" s="1633">
        <v>7067</v>
      </c>
      <c r="J15" s="1633">
        <v>7067</v>
      </c>
      <c r="K15" s="1633">
        <v>1591.43</v>
      </c>
      <c r="L15" s="1633">
        <v>0</v>
      </c>
      <c r="M15" s="1633" t="s">
        <v>3393</v>
      </c>
      <c r="N15" s="1633" t="s">
        <v>3115</v>
      </c>
    </row>
    <row r="16" spans="1:14">
      <c r="A16" s="1633" t="s">
        <v>3394</v>
      </c>
      <c r="B16" s="1633" t="s">
        <v>3098</v>
      </c>
      <c r="C16" s="1633" t="s">
        <v>3099</v>
      </c>
      <c r="D16" s="1633">
        <v>53082.2</v>
      </c>
      <c r="E16" s="1633">
        <v>106164.4</v>
      </c>
      <c r="F16" s="1633" t="s">
        <v>3381</v>
      </c>
      <c r="G16" s="1633" t="s">
        <v>3145</v>
      </c>
      <c r="H16" s="1633" t="s">
        <v>3396</v>
      </c>
      <c r="I16" s="1633">
        <v>17358</v>
      </c>
      <c r="J16" s="1633">
        <v>20858</v>
      </c>
      <c r="K16" s="1633">
        <v>1964.69</v>
      </c>
      <c r="L16" s="1633">
        <v>20.16</v>
      </c>
      <c r="M16" s="1633" t="s">
        <v>3397</v>
      </c>
      <c r="N16" s="1633" t="s">
        <v>3115</v>
      </c>
    </row>
    <row r="17" spans="1:14">
      <c r="A17" s="1633" t="s">
        <v>3394</v>
      </c>
      <c r="B17" s="1633" t="s">
        <v>3098</v>
      </c>
      <c r="C17" s="1633" t="s">
        <v>3099</v>
      </c>
      <c r="D17" s="1633">
        <v>37230.589999999997</v>
      </c>
      <c r="E17" s="1633">
        <v>74461.179999999993</v>
      </c>
      <c r="F17" s="1633" t="s">
        <v>3381</v>
      </c>
      <c r="G17" s="1633" t="s">
        <v>3145</v>
      </c>
      <c r="H17" s="1633" t="s">
        <v>3396</v>
      </c>
      <c r="I17" s="1633">
        <v>12176</v>
      </c>
      <c r="J17" s="1633">
        <v>14276</v>
      </c>
      <c r="K17" s="1633">
        <v>1917.24</v>
      </c>
      <c r="L17" s="1633">
        <v>17.25</v>
      </c>
      <c r="M17" s="1633" t="s">
        <v>3397</v>
      </c>
      <c r="N17" s="1633" t="s">
        <v>3115</v>
      </c>
    </row>
    <row r="18" spans="1:14">
      <c r="A18" s="1633" t="s">
        <v>3394</v>
      </c>
      <c r="B18" s="1633" t="s">
        <v>3098</v>
      </c>
      <c r="C18" s="1633" t="s">
        <v>3099</v>
      </c>
      <c r="D18" s="1633">
        <v>59532.43</v>
      </c>
      <c r="E18" s="1633">
        <v>119064.9</v>
      </c>
      <c r="F18" s="1633" t="s">
        <v>3381</v>
      </c>
      <c r="G18" s="1633" t="s">
        <v>3145</v>
      </c>
      <c r="H18" s="1633" t="s">
        <v>3396</v>
      </c>
      <c r="I18" s="1633">
        <v>19468</v>
      </c>
      <c r="J18" s="1633">
        <v>22968</v>
      </c>
      <c r="K18" s="1633">
        <v>1929.02</v>
      </c>
      <c r="L18" s="1633">
        <v>17.98</v>
      </c>
      <c r="M18" s="1633" t="s">
        <v>3397</v>
      </c>
      <c r="N18" s="1633" t="s">
        <v>3115</v>
      </c>
    </row>
    <row r="19" spans="1:14" s="2959" customFormat="1">
      <c r="A19" s="2959" t="s">
        <v>3394</v>
      </c>
      <c r="B19" s="2959" t="s">
        <v>3098</v>
      </c>
      <c r="C19" s="2959" t="s">
        <v>3099</v>
      </c>
      <c r="D19" s="2959">
        <v>6836.24</v>
      </c>
      <c r="E19" s="2959">
        <v>13672.48</v>
      </c>
      <c r="F19" s="2959" t="s">
        <v>3381</v>
      </c>
      <c r="G19" s="2959" t="s">
        <v>3145</v>
      </c>
      <c r="H19" s="2959" t="s">
        <v>3398</v>
      </c>
      <c r="I19" s="2959">
        <v>1251</v>
      </c>
      <c r="J19" s="2959">
        <v>1251</v>
      </c>
      <c r="K19" s="2959">
        <v>914.98</v>
      </c>
      <c r="L19" s="2959">
        <v>0</v>
      </c>
      <c r="M19" s="2959" t="s">
        <v>3399</v>
      </c>
      <c r="N19" s="2959" t="s">
        <v>3115</v>
      </c>
    </row>
    <row r="20" spans="1:14">
      <c r="A20" s="1633" t="s">
        <v>3374</v>
      </c>
      <c r="B20" s="1633" t="s">
        <v>3098</v>
      </c>
      <c r="C20" s="1633" t="s">
        <v>3099</v>
      </c>
      <c r="D20" s="1633">
        <v>28190.37</v>
      </c>
      <c r="E20" s="1633">
        <v>152228</v>
      </c>
      <c r="F20" s="1633" t="s">
        <v>3400</v>
      </c>
      <c r="G20" s="1633" t="s">
        <v>3145</v>
      </c>
      <c r="H20" s="1633" t="s">
        <v>3401</v>
      </c>
      <c r="I20" s="1633">
        <v>25374</v>
      </c>
      <c r="J20" s="1633">
        <v>25374</v>
      </c>
      <c r="K20" s="1633">
        <v>1666.83</v>
      </c>
      <c r="L20" s="1633">
        <v>0</v>
      </c>
      <c r="M20" s="1633" t="s">
        <v>3402</v>
      </c>
      <c r="N20" s="1633" t="s">
        <v>3115</v>
      </c>
    </row>
    <row r="21" spans="1:14">
      <c r="A21" s="1633" t="s">
        <v>3374</v>
      </c>
      <c r="B21" s="1633" t="s">
        <v>3098</v>
      </c>
      <c r="C21" s="1633" t="s">
        <v>3099</v>
      </c>
      <c r="D21" s="1633">
        <v>10729.12</v>
      </c>
      <c r="E21" s="1633">
        <v>34333.18</v>
      </c>
      <c r="F21" s="1633" t="s">
        <v>3403</v>
      </c>
      <c r="G21" s="1633" t="s">
        <v>3145</v>
      </c>
      <c r="H21" s="1633" t="s">
        <v>3404</v>
      </c>
      <c r="I21" s="1633">
        <v>2044</v>
      </c>
      <c r="J21" s="1633">
        <v>6044</v>
      </c>
      <c r="K21" s="1633">
        <v>1760.4</v>
      </c>
      <c r="L21" s="1633">
        <v>195.69</v>
      </c>
      <c r="M21" s="1633" t="s">
        <v>3405</v>
      </c>
      <c r="N21" s="1633" t="s">
        <v>3115</v>
      </c>
    </row>
    <row r="22" spans="1:14">
      <c r="A22" s="1633" t="s">
        <v>3374</v>
      </c>
      <c r="B22" s="1633" t="s">
        <v>3098</v>
      </c>
      <c r="C22" s="1633" t="s">
        <v>3099</v>
      </c>
      <c r="D22" s="1633">
        <v>10655.11</v>
      </c>
      <c r="E22" s="1633">
        <v>34096.35</v>
      </c>
      <c r="F22" s="1633" t="s">
        <v>3406</v>
      </c>
      <c r="G22" s="1633" t="s">
        <v>3145</v>
      </c>
      <c r="H22" s="1633" t="s">
        <v>3404</v>
      </c>
      <c r="I22" s="1633">
        <v>2238</v>
      </c>
      <c r="J22" s="1633">
        <v>6238</v>
      </c>
      <c r="K22" s="1633">
        <v>1829.51</v>
      </c>
      <c r="L22" s="1633">
        <v>178.73</v>
      </c>
      <c r="M22" s="1633" t="s">
        <v>3405</v>
      </c>
      <c r="N22" s="1633" t="s">
        <v>3115</v>
      </c>
    </row>
    <row r="23" spans="1:14">
      <c r="A23" s="1633" t="s">
        <v>3407</v>
      </c>
      <c r="B23" s="1633" t="s">
        <v>3098</v>
      </c>
      <c r="C23" s="1633" t="s">
        <v>3099</v>
      </c>
      <c r="D23" s="1633">
        <v>43052.19</v>
      </c>
      <c r="E23" s="1633">
        <v>64578.29</v>
      </c>
      <c r="F23" s="1633" t="s">
        <v>3121</v>
      </c>
      <c r="G23" s="1633" t="s">
        <v>3145</v>
      </c>
      <c r="H23" s="1633" t="s">
        <v>3408</v>
      </c>
      <c r="I23" s="1633">
        <v>6523</v>
      </c>
      <c r="J23" s="1633">
        <v>6523</v>
      </c>
      <c r="K23" s="1633">
        <v>1010.09</v>
      </c>
      <c r="L23" s="1633">
        <v>0</v>
      </c>
      <c r="M23" s="1633" t="s">
        <v>3409</v>
      </c>
      <c r="N23" s="1633" t="s">
        <v>3115</v>
      </c>
    </row>
    <row r="24" spans="1:14">
      <c r="A24" s="1633" t="s">
        <v>3407</v>
      </c>
      <c r="B24" s="1633" t="s">
        <v>3098</v>
      </c>
      <c r="C24" s="1633" t="s">
        <v>3099</v>
      </c>
      <c r="D24" s="1633">
        <v>36051.910000000003</v>
      </c>
      <c r="E24" s="1633">
        <v>54077.87</v>
      </c>
      <c r="F24" s="1633" t="s">
        <v>3121</v>
      </c>
      <c r="G24" s="1633" t="s">
        <v>3145</v>
      </c>
      <c r="H24" s="1633" t="s">
        <v>3408</v>
      </c>
      <c r="I24" s="1633">
        <v>5463</v>
      </c>
      <c r="J24" s="1633">
        <v>5463</v>
      </c>
      <c r="K24" s="1633">
        <v>1010.21</v>
      </c>
      <c r="L24" s="1633">
        <v>0</v>
      </c>
      <c r="M24" s="1633" t="s">
        <v>3409</v>
      </c>
      <c r="N24" s="1633" t="s">
        <v>3115</v>
      </c>
    </row>
    <row r="25" spans="1:14">
      <c r="A25" s="1633" t="s">
        <v>3374</v>
      </c>
      <c r="B25" s="1633" t="s">
        <v>3098</v>
      </c>
      <c r="C25" s="1633" t="s">
        <v>3099</v>
      </c>
      <c r="D25" s="1633">
        <v>57911.01</v>
      </c>
      <c r="E25" s="1633">
        <v>202688.54</v>
      </c>
      <c r="F25" s="1633" t="s">
        <v>3410</v>
      </c>
      <c r="G25" s="1633" t="s">
        <v>3145</v>
      </c>
      <c r="H25" s="1633" t="s">
        <v>3411</v>
      </c>
      <c r="I25" s="1633">
        <v>15637</v>
      </c>
      <c r="J25" s="1633">
        <v>20737</v>
      </c>
      <c r="K25" s="1633">
        <v>1023.1</v>
      </c>
      <c r="L25" s="1633">
        <v>32.61</v>
      </c>
      <c r="M25" s="1633" t="s">
        <v>3412</v>
      </c>
      <c r="N25" s="1633" t="s">
        <v>3115</v>
      </c>
    </row>
    <row r="26" spans="1:14">
      <c r="A26" s="1633" t="s">
        <v>3413</v>
      </c>
      <c r="B26" s="1633" t="s">
        <v>3098</v>
      </c>
      <c r="C26" s="1633" t="s">
        <v>3414</v>
      </c>
      <c r="D26" s="1633">
        <v>35437.730000000003</v>
      </c>
      <c r="E26" s="1633">
        <v>124032</v>
      </c>
      <c r="F26" s="1633" t="s">
        <v>3415</v>
      </c>
      <c r="G26" s="1633" t="s">
        <v>3145</v>
      </c>
      <c r="H26" s="1633" t="s">
        <v>3416</v>
      </c>
      <c r="I26" s="1633" t="s">
        <v>1327</v>
      </c>
      <c r="J26" s="1633">
        <v>37147</v>
      </c>
      <c r="K26" s="1633">
        <v>2994.94</v>
      </c>
      <c r="L26" s="1633" t="s">
        <v>1327</v>
      </c>
      <c r="M26" s="1633" t="s">
        <v>3417</v>
      </c>
      <c r="N26" s="1633" t="s">
        <v>3418</v>
      </c>
    </row>
    <row r="27" spans="1:14">
      <c r="A27" s="1633" t="s">
        <v>3419</v>
      </c>
      <c r="B27" s="1633" t="s">
        <v>3098</v>
      </c>
      <c r="C27" s="1633" t="s">
        <v>3414</v>
      </c>
      <c r="D27" s="1633">
        <v>56074.66</v>
      </c>
      <c r="E27" s="1633">
        <v>213083</v>
      </c>
      <c r="F27" s="1633" t="s">
        <v>3420</v>
      </c>
      <c r="G27" s="1633" t="s">
        <v>3145</v>
      </c>
      <c r="H27" s="1633" t="s">
        <v>3416</v>
      </c>
      <c r="I27" s="1633" t="s">
        <v>1327</v>
      </c>
      <c r="J27" s="1633">
        <v>58100</v>
      </c>
      <c r="K27" s="1633">
        <v>2726.63</v>
      </c>
      <c r="L27" s="1633" t="s">
        <v>1327</v>
      </c>
      <c r="M27" s="1633" t="s">
        <v>3421</v>
      </c>
      <c r="N27" s="1633" t="s">
        <v>3422</v>
      </c>
    </row>
    <row r="28" spans="1:14">
      <c r="A28" s="1633" t="s">
        <v>3407</v>
      </c>
      <c r="B28" s="1633" t="s">
        <v>3098</v>
      </c>
      <c r="C28" s="1633" t="s">
        <v>3099</v>
      </c>
      <c r="D28" s="1633">
        <v>24706.92</v>
      </c>
      <c r="E28" s="1633">
        <v>29648.3</v>
      </c>
      <c r="F28" s="1633" t="s">
        <v>3135</v>
      </c>
      <c r="G28" s="1633" t="s">
        <v>3145</v>
      </c>
      <c r="H28" s="1633" t="s">
        <v>3423</v>
      </c>
      <c r="I28" s="1633">
        <v>4077</v>
      </c>
      <c r="J28" s="1633">
        <v>4077</v>
      </c>
      <c r="K28" s="1633">
        <v>1375.11</v>
      </c>
      <c r="L28" s="1633">
        <v>0</v>
      </c>
      <c r="M28" s="1633" t="s">
        <v>3424</v>
      </c>
      <c r="N28" s="1633" t="s">
        <v>3115</v>
      </c>
    </row>
    <row r="29" spans="1:14">
      <c r="A29" s="1633" t="s">
        <v>3407</v>
      </c>
      <c r="B29" s="1633" t="s">
        <v>3098</v>
      </c>
      <c r="C29" s="1633" t="s">
        <v>3099</v>
      </c>
      <c r="D29" s="1633">
        <v>29747.14</v>
      </c>
      <c r="E29" s="1633">
        <v>35696.57</v>
      </c>
      <c r="F29" s="1633" t="s">
        <v>3135</v>
      </c>
      <c r="G29" s="1633" t="s">
        <v>3145</v>
      </c>
      <c r="H29" s="1633" t="s">
        <v>3423</v>
      </c>
      <c r="I29" s="1633">
        <v>4909</v>
      </c>
      <c r="J29" s="1633">
        <v>4909</v>
      </c>
      <c r="K29" s="1633">
        <v>1375.2</v>
      </c>
      <c r="L29" s="1633">
        <v>0</v>
      </c>
      <c r="M29" s="1633" t="s">
        <v>3424</v>
      </c>
      <c r="N29" s="1633" t="s">
        <v>3115</v>
      </c>
    </row>
    <row r="30" spans="1:14">
      <c r="A30" s="1633" t="s">
        <v>3407</v>
      </c>
      <c r="B30" s="1633" t="s">
        <v>3098</v>
      </c>
      <c r="C30" s="1633" t="s">
        <v>3099</v>
      </c>
      <c r="D30" s="1633">
        <v>9732.7900000000009</v>
      </c>
      <c r="E30" s="1633">
        <v>11679.35</v>
      </c>
      <c r="F30" s="1633" t="s">
        <v>3135</v>
      </c>
      <c r="G30" s="1633" t="s">
        <v>3145</v>
      </c>
      <c r="H30" s="1633" t="s">
        <v>3423</v>
      </c>
      <c r="I30" s="1633">
        <v>1606</v>
      </c>
      <c r="J30" s="1633">
        <v>1606</v>
      </c>
      <c r="K30" s="1633">
        <v>1375.07</v>
      </c>
      <c r="L30" s="1633">
        <v>0</v>
      </c>
      <c r="M30" s="1633" t="s">
        <v>3424</v>
      </c>
      <c r="N30" s="1633" t="s">
        <v>3115</v>
      </c>
    </row>
    <row r="31" spans="1:14">
      <c r="A31" s="1633" t="s">
        <v>3374</v>
      </c>
      <c r="B31" s="1633" t="s">
        <v>3098</v>
      </c>
      <c r="C31" s="1633" t="s">
        <v>3099</v>
      </c>
      <c r="D31" s="1633">
        <v>15668.06</v>
      </c>
      <c r="E31" s="1633">
        <v>47004.18</v>
      </c>
      <c r="F31" s="1633" t="s">
        <v>3425</v>
      </c>
      <c r="G31" s="1633" t="s">
        <v>3145</v>
      </c>
      <c r="H31" s="1633" t="s">
        <v>3426</v>
      </c>
      <c r="I31" s="1633">
        <v>4700</v>
      </c>
      <c r="J31" s="1633">
        <v>5000</v>
      </c>
      <c r="K31" s="1633">
        <v>1063.74</v>
      </c>
      <c r="L31" s="1633">
        <v>6.38</v>
      </c>
      <c r="M31" s="1633" t="s">
        <v>3427</v>
      </c>
      <c r="N31" s="1633" t="s">
        <v>3115</v>
      </c>
    </row>
    <row r="32" spans="1:14">
      <c r="A32" s="1633" t="s">
        <v>3428</v>
      </c>
      <c r="B32" s="1633" t="s">
        <v>3098</v>
      </c>
      <c r="C32" s="1633" t="s">
        <v>3099</v>
      </c>
      <c r="D32" s="1633">
        <v>69648.070000000007</v>
      </c>
      <c r="E32" s="1633">
        <v>139296.14000000001</v>
      </c>
      <c r="F32" s="1633" t="s">
        <v>3429</v>
      </c>
      <c r="G32" s="1633" t="s">
        <v>3145</v>
      </c>
      <c r="H32" s="1633" t="s">
        <v>3430</v>
      </c>
      <c r="I32" s="1633">
        <v>8776</v>
      </c>
      <c r="J32" s="1633">
        <v>8776</v>
      </c>
      <c r="K32" s="1633">
        <v>630.01</v>
      </c>
      <c r="L32" s="1633">
        <v>0</v>
      </c>
      <c r="M32" s="1633" t="s">
        <v>3431</v>
      </c>
      <c r="N32" s="1633" t="s">
        <v>3115</v>
      </c>
    </row>
    <row r="33" spans="1:14">
      <c r="A33" s="1633" t="s">
        <v>3428</v>
      </c>
      <c r="B33" s="1633" t="s">
        <v>3098</v>
      </c>
      <c r="C33" s="1633" t="s">
        <v>3099</v>
      </c>
      <c r="D33" s="1633">
        <v>10160.74</v>
      </c>
      <c r="E33" s="1633">
        <v>20321.48</v>
      </c>
      <c r="F33" s="1633" t="s">
        <v>3384</v>
      </c>
      <c r="G33" s="1633" t="s">
        <v>3145</v>
      </c>
      <c r="H33" s="1633" t="s">
        <v>3430</v>
      </c>
      <c r="I33" s="1633">
        <v>1281</v>
      </c>
      <c r="J33" s="1633">
        <v>1281</v>
      </c>
      <c r="K33" s="1633">
        <v>630.37</v>
      </c>
      <c r="L33" s="1633">
        <v>0</v>
      </c>
      <c r="M33" s="1633" t="s">
        <v>3431</v>
      </c>
      <c r="N33" s="1633" t="s">
        <v>3115</v>
      </c>
    </row>
    <row r="34" spans="1:14">
      <c r="A34" s="1633" t="s">
        <v>3407</v>
      </c>
      <c r="B34" s="1633" t="s">
        <v>3098</v>
      </c>
      <c r="C34" s="1633" t="s">
        <v>3099</v>
      </c>
      <c r="D34" s="1633">
        <v>46478.8</v>
      </c>
      <c r="E34" s="1633">
        <v>55774.559999999998</v>
      </c>
      <c r="F34" s="1633" t="s">
        <v>3135</v>
      </c>
      <c r="G34" s="1633" t="s">
        <v>3145</v>
      </c>
      <c r="H34" s="1633" t="s">
        <v>3432</v>
      </c>
      <c r="I34" s="1633">
        <v>7670</v>
      </c>
      <c r="J34" s="1633">
        <v>7670</v>
      </c>
      <c r="K34" s="1633">
        <v>1375.18</v>
      </c>
      <c r="L34" s="1633">
        <v>0</v>
      </c>
      <c r="M34" s="1633" t="s">
        <v>3424</v>
      </c>
      <c r="N34" s="1633" t="s">
        <v>3115</v>
      </c>
    </row>
    <row r="35" spans="1:14">
      <c r="A35" s="1633" t="s">
        <v>3407</v>
      </c>
      <c r="B35" s="1633" t="s">
        <v>3098</v>
      </c>
      <c r="C35" s="1633" t="s">
        <v>3099</v>
      </c>
      <c r="D35" s="1633">
        <v>59630.39</v>
      </c>
      <c r="E35" s="1633">
        <v>71556.47</v>
      </c>
      <c r="F35" s="1633" t="s">
        <v>3135</v>
      </c>
      <c r="G35" s="1633" t="s">
        <v>3145</v>
      </c>
      <c r="H35" s="1633" t="s">
        <v>3432</v>
      </c>
      <c r="I35" s="1633">
        <v>9840</v>
      </c>
      <c r="J35" s="1633">
        <v>9840</v>
      </c>
      <c r="K35" s="1633">
        <v>1375.14</v>
      </c>
      <c r="L35" s="1633">
        <v>0</v>
      </c>
      <c r="M35" s="1633" t="s">
        <v>3424</v>
      </c>
      <c r="N35" s="1633" t="s">
        <v>3115</v>
      </c>
    </row>
    <row r="36" spans="1:14">
      <c r="A36" s="1633" t="s">
        <v>3407</v>
      </c>
      <c r="B36" s="1633" t="s">
        <v>3098</v>
      </c>
      <c r="C36" s="1633" t="s">
        <v>3099</v>
      </c>
      <c r="D36" s="1633">
        <v>44872.93</v>
      </c>
      <c r="E36" s="1633">
        <v>53847.519999999997</v>
      </c>
      <c r="F36" s="1633" t="s">
        <v>3135</v>
      </c>
      <c r="G36" s="1633" t="s">
        <v>3145</v>
      </c>
      <c r="H36" s="1633" t="s">
        <v>3432</v>
      </c>
      <c r="I36" s="1633">
        <v>7405</v>
      </c>
      <c r="J36" s="1633">
        <v>7405</v>
      </c>
      <c r="K36" s="1633">
        <v>1375.18</v>
      </c>
      <c r="L36" s="1633">
        <v>0</v>
      </c>
      <c r="M36" s="1633" t="s">
        <v>3424</v>
      </c>
      <c r="N36" s="1633" t="s">
        <v>3115</v>
      </c>
    </row>
    <row r="37" spans="1:14">
      <c r="A37" s="1633" t="s">
        <v>3407</v>
      </c>
      <c r="B37" s="1633" t="s">
        <v>3098</v>
      </c>
      <c r="C37" s="1633" t="s">
        <v>3099</v>
      </c>
      <c r="D37" s="1633">
        <v>10374.27</v>
      </c>
      <c r="E37" s="1633">
        <v>12449.12</v>
      </c>
      <c r="F37" s="1633" t="s">
        <v>3135</v>
      </c>
      <c r="G37" s="1633" t="s">
        <v>3145</v>
      </c>
      <c r="H37" s="1633" t="s">
        <v>3432</v>
      </c>
      <c r="I37" s="1633">
        <v>1712</v>
      </c>
      <c r="J37" s="1633">
        <v>1712</v>
      </c>
      <c r="K37" s="1633">
        <v>1375.2</v>
      </c>
      <c r="L37" s="1633">
        <v>0</v>
      </c>
      <c r="M37" s="1633" t="s">
        <v>3424</v>
      </c>
      <c r="N37" s="1633" t="s">
        <v>3115</v>
      </c>
    </row>
    <row r="38" spans="1:14">
      <c r="A38" s="1633" t="s">
        <v>3407</v>
      </c>
      <c r="B38" s="1633" t="s">
        <v>3098</v>
      </c>
      <c r="C38" s="1633" t="s">
        <v>3099</v>
      </c>
      <c r="D38" s="1633">
        <v>48856.36</v>
      </c>
      <c r="E38" s="1633">
        <v>58627.63</v>
      </c>
      <c r="F38" s="1633" t="s">
        <v>3135</v>
      </c>
      <c r="G38" s="1633" t="s">
        <v>3145</v>
      </c>
      <c r="H38" s="1633" t="s">
        <v>3432</v>
      </c>
      <c r="I38" s="1633">
        <v>8061</v>
      </c>
      <c r="J38" s="1633">
        <v>8061</v>
      </c>
      <c r="K38" s="1633">
        <v>1374.95</v>
      </c>
      <c r="L38" s="1633">
        <v>0</v>
      </c>
      <c r="M38" s="1633" t="s">
        <v>3424</v>
      </c>
      <c r="N38" s="1633" t="s">
        <v>3115</v>
      </c>
    </row>
    <row r="39" spans="1:14">
      <c r="A39" s="1633" t="s">
        <v>3407</v>
      </c>
      <c r="B39" s="1633" t="s">
        <v>3098</v>
      </c>
      <c r="C39" s="1633" t="s">
        <v>3099</v>
      </c>
      <c r="D39" s="1633">
        <v>51497.85</v>
      </c>
      <c r="E39" s="1633">
        <v>61797.42</v>
      </c>
      <c r="F39" s="1633" t="s">
        <v>3135</v>
      </c>
      <c r="G39" s="1633" t="s">
        <v>3145</v>
      </c>
      <c r="H39" s="1633" t="s">
        <v>3432</v>
      </c>
      <c r="I39" s="1633">
        <v>8498</v>
      </c>
      <c r="J39" s="1633">
        <v>8498</v>
      </c>
      <c r="K39" s="1633">
        <v>1375.14</v>
      </c>
      <c r="L39" s="1633">
        <v>0</v>
      </c>
      <c r="M39" s="1633" t="s">
        <v>3424</v>
      </c>
      <c r="N39" s="1633" t="s">
        <v>3115</v>
      </c>
    </row>
    <row r="40" spans="1:14">
      <c r="A40" s="1633" t="s">
        <v>3407</v>
      </c>
      <c r="B40" s="1633" t="s">
        <v>3098</v>
      </c>
      <c r="C40" s="1633" t="s">
        <v>3099</v>
      </c>
      <c r="D40" s="1633">
        <v>5619.42</v>
      </c>
      <c r="E40" s="1633">
        <v>6743.3</v>
      </c>
      <c r="F40" s="1633" t="s">
        <v>3135</v>
      </c>
      <c r="G40" s="1633" t="s">
        <v>3145</v>
      </c>
      <c r="H40" s="1633" t="s">
        <v>3432</v>
      </c>
      <c r="I40" s="1633">
        <v>928</v>
      </c>
      <c r="J40" s="1633">
        <v>928</v>
      </c>
      <c r="K40" s="1633">
        <v>1376.18</v>
      </c>
      <c r="L40" s="1633">
        <v>0</v>
      </c>
      <c r="M40" s="1633" t="s">
        <v>3424</v>
      </c>
      <c r="N40" s="1633" t="s">
        <v>3115</v>
      </c>
    </row>
    <row r="41" spans="1:14">
      <c r="A41" s="1633" t="s">
        <v>3407</v>
      </c>
      <c r="B41" s="1633" t="s">
        <v>3098</v>
      </c>
      <c r="C41" s="1633" t="s">
        <v>3099</v>
      </c>
      <c r="D41" s="1633">
        <v>25858.01</v>
      </c>
      <c r="E41" s="1633">
        <v>31029.61</v>
      </c>
      <c r="F41" s="1633" t="s">
        <v>3135</v>
      </c>
      <c r="G41" s="1633" t="s">
        <v>3145</v>
      </c>
      <c r="H41" s="1633" t="s">
        <v>3432</v>
      </c>
      <c r="I41" s="1633">
        <v>4267</v>
      </c>
      <c r="J41" s="1633">
        <v>4267</v>
      </c>
      <c r="K41" s="1633">
        <v>1375.14</v>
      </c>
      <c r="L41" s="1633">
        <v>0</v>
      </c>
      <c r="M41" s="1633" t="s">
        <v>3424</v>
      </c>
      <c r="N41" s="1633" t="s">
        <v>3115</v>
      </c>
    </row>
    <row r="42" spans="1:14">
      <c r="A42" s="1633" t="s">
        <v>3394</v>
      </c>
      <c r="B42" s="1633" t="s">
        <v>3098</v>
      </c>
      <c r="C42" s="1633" t="s">
        <v>3099</v>
      </c>
      <c r="D42" s="1633">
        <v>39075.22</v>
      </c>
      <c r="E42" s="1633">
        <v>58612.83</v>
      </c>
      <c r="F42" s="1633" t="s">
        <v>3121</v>
      </c>
      <c r="G42" s="1633" t="s">
        <v>3145</v>
      </c>
      <c r="H42" s="1633" t="s">
        <v>3433</v>
      </c>
      <c r="I42" s="1633">
        <v>6155</v>
      </c>
      <c r="J42" s="1633">
        <v>12486</v>
      </c>
      <c r="K42" s="1633">
        <v>2130.25</v>
      </c>
      <c r="L42" s="1633">
        <v>102.86</v>
      </c>
      <c r="M42" s="1633" t="s">
        <v>3405</v>
      </c>
      <c r="N42" s="1633" t="s">
        <v>3115</v>
      </c>
    </row>
    <row r="43" spans="1:14">
      <c r="A43" s="1633" t="s">
        <v>3394</v>
      </c>
      <c r="B43" s="1633" t="s">
        <v>3098</v>
      </c>
      <c r="C43" s="1633" t="s">
        <v>3099</v>
      </c>
      <c r="D43" s="1633">
        <v>59512.92</v>
      </c>
      <c r="E43" s="1633">
        <v>89269.38</v>
      </c>
      <c r="F43" s="1633" t="s">
        <v>3121</v>
      </c>
      <c r="G43" s="1633" t="s">
        <v>3145</v>
      </c>
      <c r="H43" s="1633" t="s">
        <v>3433</v>
      </c>
      <c r="I43" s="1633">
        <v>9374</v>
      </c>
      <c r="J43" s="1633">
        <v>19017</v>
      </c>
      <c r="K43" s="1633">
        <v>2130.2800000000002</v>
      </c>
      <c r="L43" s="1633">
        <v>102.87</v>
      </c>
      <c r="M43" s="1633" t="s">
        <v>3405</v>
      </c>
      <c r="N43" s="1633" t="s">
        <v>3115</v>
      </c>
    </row>
    <row r="44" spans="1:14">
      <c r="A44" s="1633" t="s">
        <v>3394</v>
      </c>
      <c r="B44" s="1633" t="s">
        <v>3098</v>
      </c>
      <c r="C44" s="1633" t="s">
        <v>3099</v>
      </c>
      <c r="D44" s="1633">
        <v>50765.59</v>
      </c>
      <c r="E44" s="1633">
        <v>76148.39</v>
      </c>
      <c r="F44" s="1633" t="s">
        <v>3121</v>
      </c>
      <c r="G44" s="1633" t="s">
        <v>3145</v>
      </c>
      <c r="H44" s="1633" t="s">
        <v>3433</v>
      </c>
      <c r="I44" s="1633">
        <v>7996</v>
      </c>
      <c r="J44" s="1633">
        <v>16222</v>
      </c>
      <c r="K44" s="1633">
        <v>2130.3000000000002</v>
      </c>
      <c r="L44" s="1633">
        <v>102.88</v>
      </c>
      <c r="M44" s="1633" t="s">
        <v>3405</v>
      </c>
      <c r="N44" s="1633" t="s">
        <v>3115</v>
      </c>
    </row>
    <row r="45" spans="1:14">
      <c r="A45" s="1633" t="s">
        <v>3407</v>
      </c>
      <c r="B45" s="1633" t="s">
        <v>3098</v>
      </c>
      <c r="C45" s="1633" t="s">
        <v>3099</v>
      </c>
      <c r="D45" s="1633">
        <v>19970.68</v>
      </c>
      <c r="E45" s="1633">
        <v>23964.82</v>
      </c>
      <c r="F45" s="1633" t="s">
        <v>3135</v>
      </c>
      <c r="G45" s="1633" t="s">
        <v>3145</v>
      </c>
      <c r="H45" s="1633" t="s">
        <v>3434</v>
      </c>
      <c r="I45" s="1633">
        <v>2128</v>
      </c>
      <c r="J45" s="1633">
        <v>2128</v>
      </c>
      <c r="K45" s="1633">
        <v>887.97</v>
      </c>
      <c r="L45" s="1633">
        <v>0</v>
      </c>
      <c r="M45" s="1633" t="s">
        <v>3435</v>
      </c>
      <c r="N45" s="1633" t="s">
        <v>3115</v>
      </c>
    </row>
    <row r="46" spans="1:14">
      <c r="A46" s="1633" t="s">
        <v>3374</v>
      </c>
      <c r="B46" s="1633" t="s">
        <v>3098</v>
      </c>
      <c r="C46" s="1633" t="s">
        <v>3099</v>
      </c>
      <c r="D46" s="1633">
        <v>15850.17</v>
      </c>
      <c r="E46" s="1633">
        <v>72910.78</v>
      </c>
      <c r="F46" s="1633" t="s">
        <v>3436</v>
      </c>
      <c r="G46" s="1633" t="s">
        <v>3145</v>
      </c>
      <c r="H46" s="1633" t="s">
        <v>3437</v>
      </c>
      <c r="I46" s="1633">
        <v>6659</v>
      </c>
      <c r="J46" s="1633">
        <v>8059</v>
      </c>
      <c r="K46" s="1633">
        <v>1105.31</v>
      </c>
      <c r="L46" s="1633">
        <v>21.02</v>
      </c>
      <c r="M46" s="1633" t="s">
        <v>3438</v>
      </c>
      <c r="N46" s="1633" t="s">
        <v>3115</v>
      </c>
    </row>
    <row r="47" spans="1:14">
      <c r="A47" s="1633" t="s">
        <v>3394</v>
      </c>
      <c r="B47" s="1633" t="s">
        <v>3098</v>
      </c>
      <c r="C47" s="1633" t="s">
        <v>3099</v>
      </c>
      <c r="D47" s="1633">
        <v>42645.63</v>
      </c>
      <c r="E47" s="1633">
        <v>68233.009999999995</v>
      </c>
      <c r="F47" s="1633" t="s">
        <v>3439</v>
      </c>
      <c r="G47" s="1633" t="s">
        <v>3145</v>
      </c>
      <c r="H47" s="1633" t="s">
        <v>3440</v>
      </c>
      <c r="I47" s="1633">
        <v>6653</v>
      </c>
      <c r="J47" s="1633">
        <v>7253</v>
      </c>
      <c r="K47" s="1633">
        <v>1062.98</v>
      </c>
      <c r="L47" s="1633">
        <v>9.02</v>
      </c>
      <c r="M47" s="1633" t="s">
        <v>3441</v>
      </c>
      <c r="N47" s="1633" t="s">
        <v>3115</v>
      </c>
    </row>
    <row r="48" spans="1:14">
      <c r="A48" s="1633" t="s">
        <v>3374</v>
      </c>
      <c r="B48" s="1633" t="s">
        <v>3098</v>
      </c>
      <c r="C48" s="1633" t="s">
        <v>3099</v>
      </c>
      <c r="D48" s="1633">
        <v>24764.31</v>
      </c>
      <c r="E48" s="1633">
        <v>86675.09</v>
      </c>
      <c r="F48" s="1633" t="s">
        <v>3410</v>
      </c>
      <c r="G48" s="1633" t="s">
        <v>3145</v>
      </c>
      <c r="H48" s="1633" t="s">
        <v>3442</v>
      </c>
      <c r="I48" s="1633">
        <v>8694</v>
      </c>
      <c r="J48" s="1633">
        <v>8694</v>
      </c>
      <c r="K48" s="1633">
        <v>1003.05</v>
      </c>
      <c r="L48" s="1633">
        <v>0</v>
      </c>
      <c r="M48" s="1633" t="s">
        <v>3443</v>
      </c>
      <c r="N48" s="1633" t="s">
        <v>3115</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1" sqref="H41"/>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79"/>
      <c r="C1" s="1580"/>
      <c r="D1" s="1578"/>
      <c r="E1" s="320"/>
      <c r="F1" s="320"/>
      <c r="G1" s="1579"/>
      <c r="H1" s="320"/>
      <c r="I1" s="320"/>
      <c r="J1" s="320"/>
      <c r="K1" s="320">
        <f>MATCH(C1,'数据-取费表'!A6:A16,0)+5</f>
        <v>10</v>
      </c>
    </row>
    <row r="2" spans="1:33" ht="18" customHeight="1">
      <c r="A2" s="245" t="s">
        <v>2318</v>
      </c>
      <c r="B2" s="248">
        <f ca="1">C32</f>
        <v>48089</v>
      </c>
      <c r="C2" s="320" t="s">
        <v>2451</v>
      </c>
      <c r="D2" s="320"/>
      <c r="E2" s="320"/>
      <c r="F2" s="320"/>
      <c r="G2" s="320"/>
      <c r="H2" s="320"/>
      <c r="I2" s="320"/>
      <c r="J2" s="320"/>
      <c r="K2" s="320"/>
    </row>
    <row r="3" spans="1:33" ht="18" customHeight="1" thickBot="1">
      <c r="A3" s="247" t="s">
        <v>2320</v>
      </c>
      <c r="B3" s="248">
        <f ca="1">ROUND(B2*10000/IF(C1="",'数据-汇总表'!E3,INDIRECT("'数据-取费表'!K"&amp;$K$1)),0)</f>
        <v>1874</v>
      </c>
      <c r="C3" s="320" t="s">
        <v>2452</v>
      </c>
      <c r="D3" s="320"/>
      <c r="E3" s="320"/>
      <c r="F3" s="320"/>
      <c r="G3" s="320"/>
      <c r="H3" s="320"/>
      <c r="I3" s="320"/>
      <c r="J3" s="320"/>
      <c r="K3" s="320"/>
    </row>
    <row r="4" spans="1:33" s="955" customFormat="1" ht="16.5" customHeight="1">
      <c r="A4" s="952" t="s">
        <v>2453</v>
      </c>
      <c r="B4" s="953"/>
      <c r="C4" s="995">
        <f ca="1">SUM(C8:K8)</f>
        <v>138441</v>
      </c>
      <c r="D4" s="953"/>
      <c r="E4" s="953"/>
      <c r="F4" s="953"/>
      <c r="G4" s="953"/>
      <c r="H4" s="953"/>
      <c r="I4" s="953"/>
      <c r="J4" s="953"/>
      <c r="K4" s="954"/>
    </row>
    <row r="5" spans="1:33" s="959" customFormat="1" ht="15">
      <c r="A5" s="956" t="s">
        <v>2454</v>
      </c>
      <c r="B5" s="957" t="s">
        <v>2455</v>
      </c>
      <c r="C5" s="2546" t="s">
        <v>3514</v>
      </c>
      <c r="D5" s="2546" t="s">
        <v>1373</v>
      </c>
      <c r="E5" s="2546" t="s">
        <v>3049</v>
      </c>
      <c r="F5" s="2546" t="s">
        <v>3516</v>
      </c>
      <c r="G5" s="2546"/>
      <c r="H5" s="2546"/>
      <c r="I5" s="2546"/>
      <c r="J5" s="2546"/>
      <c r="K5" s="254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2456</v>
      </c>
      <c r="C6" s="961">
        <f>'比较法-住宅'!C49</f>
        <v>6541</v>
      </c>
      <c r="D6" s="961">
        <f>'比较法-商业'!C49</f>
        <v>10668</v>
      </c>
      <c r="E6" s="961">
        <f ca="1">收益法!B3</f>
        <v>2821</v>
      </c>
      <c r="F6" s="961">
        <f>ROUND(C6*1.06,0)</f>
        <v>6933</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2457</v>
      </c>
      <c r="B7" s="140" t="s">
        <v>2458</v>
      </c>
      <c r="C7" s="321">
        <f>SUMIF('数据-汇总表'!$C19:$C33,假设开发法!C5,'数据-汇总表'!$E19:$E33)</f>
        <v>172317.95</v>
      </c>
      <c r="D7" s="321">
        <f>SUMIF('数据-汇总表'!$C19:$C33,假设开发法!D5,'数据-汇总表'!$E19:$E33)</f>
        <v>1453.71</v>
      </c>
      <c r="E7" s="321">
        <f>SUMIF('数据-汇总表'!$C19:$C33,假设开发法!E5,'数据-汇总表'!$E19:$E33)</f>
        <v>54445.270000000004</v>
      </c>
      <c r="F7" s="321">
        <f>SUMIF('数据-汇总表'!$C19:$C33,假设开发法!F5,'数据-汇总表'!$E19:$E33)</f>
        <v>12717.05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7" t="s">
        <v>2459</v>
      </c>
      <c r="B8" s="177" t="s">
        <v>2460</v>
      </c>
      <c r="C8" s="996">
        <f>'比较法-住宅'!B2</f>
        <v>112713</v>
      </c>
      <c r="D8" s="996">
        <f>'比较法-商业'!B2</f>
        <v>1551</v>
      </c>
      <c r="E8" s="996">
        <f ca="1">收益法!B2</f>
        <v>15360</v>
      </c>
      <c r="F8" s="997">
        <f>ROUND(F6*F7/10000,0)</f>
        <v>8817</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2461</v>
      </c>
      <c r="B9" s="953"/>
      <c r="C9" s="953"/>
      <c r="D9" s="953"/>
      <c r="E9" s="953"/>
      <c r="F9" s="953"/>
      <c r="G9" s="953"/>
      <c r="H9" s="953"/>
      <c r="I9" s="953"/>
      <c r="J9" s="953"/>
      <c r="K9" s="954"/>
    </row>
    <row r="10" spans="1:33" s="969" customFormat="1" ht="13.5" customHeight="1">
      <c r="A10" s="956" t="s">
        <v>2462</v>
      </c>
      <c r="B10" s="8" t="s">
        <v>2463</v>
      </c>
      <c r="C10" s="965" t="s">
        <v>2464</v>
      </c>
      <c r="D10" s="966" t="s">
        <v>2465</v>
      </c>
      <c r="E10" s="966" t="s">
        <v>2466</v>
      </c>
      <c r="F10" s="966" t="s">
        <v>2467</v>
      </c>
      <c r="G10" s="8"/>
      <c r="H10" s="967"/>
      <c r="I10" s="967"/>
      <c r="J10" s="967"/>
      <c r="K10" s="968"/>
    </row>
    <row r="11" spans="1:33" s="974" customFormat="1" ht="13.5" customHeight="1">
      <c r="A11" s="970" t="s">
        <v>1330</v>
      </c>
      <c r="B11" s="971" t="s">
        <v>2468</v>
      </c>
      <c r="C11" s="323">
        <f ca="1">IF(C1="",'数据-取费表'!P16,INDIRECT("'数据-取费表'!p"&amp;$K$1)+INDIRECT("'数据-取费表'!ar"&amp;$K$1))</f>
        <v>50817</v>
      </c>
      <c r="D11" s="972"/>
      <c r="E11" s="375"/>
      <c r="F11" s="973">
        <f ca="1">1-IF('数据-取费表'!B24=0,1,IF(C1="",'数据-取费表'!N16,INDIRECT("'数据-取费表'!n"&amp;$K$1)))</f>
        <v>0.85</v>
      </c>
      <c r="G11" s="8"/>
      <c r="H11" s="967"/>
      <c r="I11" s="967"/>
      <c r="J11" s="967"/>
      <c r="K11" s="968"/>
    </row>
    <row r="12" spans="1:33" s="974" customFormat="1" ht="13.5" customHeight="1">
      <c r="A12" s="970" t="s">
        <v>1331</v>
      </c>
      <c r="B12" s="971" t="s">
        <v>2469</v>
      </c>
      <c r="C12" s="24">
        <f ca="1">ROUND(C11*F12,0)</f>
        <v>2033</v>
      </c>
      <c r="D12" s="972"/>
      <c r="E12" s="375"/>
      <c r="F12" s="975">
        <f>'数据-取费表'!B33</f>
        <v>0.04</v>
      </c>
      <c r="G12" s="8" t="s">
        <v>2470</v>
      </c>
      <c r="H12" s="967"/>
      <c r="I12" s="967"/>
      <c r="J12" s="967"/>
      <c r="K12" s="968"/>
    </row>
    <row r="13" spans="1:33" s="974" customFormat="1" ht="13.5" customHeight="1">
      <c r="A13" s="970" t="s">
        <v>1332</v>
      </c>
      <c r="B13" s="971" t="s">
        <v>2471</v>
      </c>
      <c r="C13" s="24">
        <f ca="1">ROUND(IF(C1="",SUMIF('数据-取费表'!C:C,"住宅",'数据-取费表'!P:P)*F13,IF(INDIRECT("'数据-取费表'!c"&amp;$K$1)="住宅",INDIRECT("'数据-取费表'!P"&amp;$K$1)*F13,0)),0)</f>
        <v>1982</v>
      </c>
      <c r="D13" s="1032"/>
      <c r="E13" s="375"/>
      <c r="F13" s="975">
        <f>'数据-取费表'!B34</f>
        <v>0.05</v>
      </c>
      <c r="G13" s="8" t="s">
        <v>2472</v>
      </c>
      <c r="H13" s="967"/>
      <c r="I13" s="967"/>
      <c r="J13" s="967"/>
      <c r="K13" s="968"/>
    </row>
    <row r="14" spans="1:33" s="976" customFormat="1" ht="13.5" customHeight="1">
      <c r="A14" s="970" t="s">
        <v>1333</v>
      </c>
      <c r="B14" s="971" t="s">
        <v>2473</v>
      </c>
      <c r="C14" s="24">
        <f ca="1">ROUND(D14*E14*F11/10000,0)</f>
        <v>4362</v>
      </c>
      <c r="D14" s="1032">
        <f ca="1">IF(C1="",'数据-汇总表'!E3,INDIRECT("'数据-取费表'!K"&amp;$K$1)+INDIRECT("'数据-取费表'!S"&amp;$K$1))</f>
        <v>256595.18999999997</v>
      </c>
      <c r="E14" s="24">
        <f>'数据-取费表'!B35</f>
        <v>200</v>
      </c>
      <c r="F14" s="975"/>
      <c r="G14" s="8" t="s">
        <v>2474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2475</v>
      </c>
      <c r="C15" s="982">
        <f ca="1">ROUND(C11*F15,0)</f>
        <v>762</v>
      </c>
      <c r="D15" s="977"/>
      <c r="E15" s="982"/>
      <c r="F15" s="983">
        <f>'数据-取费表'!B36</f>
        <v>1.4999999999999999E-2</v>
      </c>
      <c r="G15" s="140" t="s">
        <v>2476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2477</v>
      </c>
      <c r="C16" s="982">
        <f ca="1">SUM(C11:C15)</f>
        <v>59956</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2478</v>
      </c>
      <c r="C17" s="24">
        <f ca="1">ROUND(D17*E17/10000,0)</f>
        <v>0</v>
      </c>
      <c r="D17" s="1032">
        <f ca="1">D14</f>
        <v>256595.18999999997</v>
      </c>
      <c r="E17" s="24">
        <f>'数据-取费表'!B32</f>
        <v>0</v>
      </c>
      <c r="F17" s="977"/>
      <c r="G17" s="140" t="s">
        <v>2479</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2480</v>
      </c>
      <c r="C18" s="24">
        <f ca="1">C19+C20-IF(C1="",'数据-取费表'!B29,IF(G18="已全部缴纳",C19+C20,H18))</f>
        <v>2625</v>
      </c>
      <c r="D18" s="1032"/>
      <c r="E18" s="24"/>
      <c r="F18" s="975"/>
      <c r="G18" s="2548"/>
      <c r="H18" s="1575"/>
      <c r="I18" s="2549" t="s">
        <v>2481</v>
      </c>
      <c r="J18" s="978"/>
      <c r="K18" s="979"/>
    </row>
    <row r="19" spans="1:33" s="974" customFormat="1" ht="13.5" customHeight="1">
      <c r="A19" s="970" t="s">
        <v>805</v>
      </c>
      <c r="B19" s="971" t="s">
        <v>2482</v>
      </c>
      <c r="C19" s="24">
        <f ca="1">ROUND(D19*E19/10000,0)</f>
        <v>1480</v>
      </c>
      <c r="D19" s="1032">
        <f ca="1">IF(C1="",'数据-汇总表'!E5,IF(INDIRECT("'数据-取费表'!c"&amp;$K$1)="住宅",INDIRECT("'数据-取费表'!k"&amp;$K$1),0))</f>
        <v>185035</v>
      </c>
      <c r="E19" s="24">
        <f>'数据-取费表'!B27</f>
        <v>80</v>
      </c>
      <c r="F19" s="975"/>
      <c r="G19" s="15"/>
      <c r="H19" s="1577"/>
      <c r="I19" s="980"/>
      <c r="J19" s="980"/>
      <c r="K19" s="981"/>
    </row>
    <row r="20" spans="1:33" s="974" customFormat="1" ht="13.5" customHeight="1">
      <c r="A20" s="970" t="s">
        <v>806</v>
      </c>
      <c r="B20" s="971" t="s">
        <v>2483</v>
      </c>
      <c r="C20" s="24">
        <f ca="1">ROUND(D20*E20/10000,0)</f>
        <v>1145</v>
      </c>
      <c r="D20" s="1032">
        <f ca="1">IF(C1="",'数据-汇总表'!E6,IF(INDIRECT("'数据-取费表'!c"&amp;$K$1)="住宅",INDIRECT("'数据-取费表'!s"&amp;$K$1),INDIRECT("'数据-取费表'!k"&amp;$K$1)+INDIRECT("'数据-取费表'!s"&amp;$K$1)))</f>
        <v>71560.189999999973</v>
      </c>
      <c r="E20" s="24">
        <f>'数据-取费表'!B28</f>
        <v>160</v>
      </c>
      <c r="F20" s="975"/>
      <c r="G20" s="15"/>
      <c r="H20" s="980"/>
      <c r="I20" s="980"/>
      <c r="J20" s="980"/>
      <c r="K20" s="981"/>
    </row>
    <row r="21" spans="1:33" s="974" customFormat="1" ht="13.5" customHeight="1">
      <c r="A21" s="960" t="s">
        <v>802</v>
      </c>
      <c r="B21" s="984" t="s">
        <v>2484</v>
      </c>
      <c r="C21" s="985">
        <f ca="1">C16+C17+C18</f>
        <v>62581</v>
      </c>
      <c r="D21" s="986"/>
      <c r="E21" s="325"/>
      <c r="F21" s="325"/>
      <c r="G21" s="140" t="s">
        <v>2485</v>
      </c>
      <c r="H21" s="978"/>
      <c r="I21" s="978"/>
      <c r="J21" s="978"/>
      <c r="K21" s="979"/>
    </row>
    <row r="22" spans="1:33" s="974" customFormat="1" ht="13.5" customHeight="1">
      <c r="A22" s="960" t="s">
        <v>2457</v>
      </c>
      <c r="B22" s="984" t="s">
        <v>2486</v>
      </c>
      <c r="C22" s="985">
        <f ca="1">ROUND(C21*F22,0)</f>
        <v>1252</v>
      </c>
      <c r="D22" s="325"/>
      <c r="E22" s="325"/>
      <c r="F22" s="987">
        <f>'数据-取费表'!B37</f>
        <v>0.02</v>
      </c>
      <c r="G22" s="8" t="s">
        <v>2487</v>
      </c>
      <c r="H22" s="967"/>
      <c r="I22" s="967"/>
      <c r="J22" s="967"/>
      <c r="K22" s="968"/>
    </row>
    <row r="23" spans="1:33" s="974" customFormat="1" ht="13.5" customHeight="1">
      <c r="A23" s="960" t="s">
        <v>2459</v>
      </c>
      <c r="B23" s="984" t="s">
        <v>2488</v>
      </c>
      <c r="C23" s="985">
        <f ca="1">ROUND(C4*F23*F11,0)</f>
        <v>2353</v>
      </c>
      <c r="D23" s="325"/>
      <c r="E23" s="325"/>
      <c r="F23" s="987">
        <f>'数据-取费表'!B38</f>
        <v>0.02</v>
      </c>
      <c r="G23" s="8" t="s">
        <v>2489</v>
      </c>
      <c r="H23" s="967"/>
      <c r="I23" s="967"/>
      <c r="J23" s="967"/>
      <c r="K23" s="968"/>
    </row>
    <row r="24" spans="1:33" s="974" customFormat="1" ht="13.5" customHeight="1">
      <c r="A24" s="960" t="s">
        <v>2490</v>
      </c>
      <c r="B24" s="984" t="s">
        <v>2491</v>
      </c>
      <c r="C24" s="324">
        <f>ROUND(F24/(1+'数据-取费表'!C42),4)</f>
        <v>2.9000000000000001E-2</v>
      </c>
      <c r="D24" s="325" t="s">
        <v>15</v>
      </c>
      <c r="E24" s="325"/>
      <c r="F24" s="987">
        <f>'数据-取费表'!B48+'数据-取费表'!B49</f>
        <v>3.0499999999999999E-2</v>
      </c>
      <c r="G24" s="8" t="s">
        <v>2492</v>
      </c>
      <c r="H24" s="989"/>
      <c r="I24" s="989"/>
      <c r="J24" s="989"/>
      <c r="K24" s="990"/>
    </row>
    <row r="25" spans="1:33" s="974" customFormat="1" ht="13.5" customHeight="1">
      <c r="A25" s="960" t="s">
        <v>2493</v>
      </c>
      <c r="B25" s="986" t="s">
        <v>2494</v>
      </c>
      <c r="C25" s="1355">
        <f ca="1">C27</f>
        <v>2663</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2495</v>
      </c>
      <c r="C26" s="1356">
        <f ca="1">ROUND(IF('数据-取费表'!B22&lt;=1,(1+C24)*F25*'数据-取费表'!B24,(1+C24)*(POWER((1+F25),'数据-取费表'!B24)-1)),4)</f>
        <v>8.4500000000000006E-2</v>
      </c>
      <c r="D26" s="328"/>
      <c r="E26" s="329"/>
      <c r="F26" s="330"/>
      <c r="G26" s="255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2496</v>
      </c>
      <c r="C27" s="1357">
        <f ca="1">ROUND(IF('数据-取费表'!B22&lt;=1,(C21+C22+C23)*F25*'数据-取费表'!B24/2,(C21+C22+C23)*(POWER((1+F25),'数据-取费表'!B24/2)-1)),0)</f>
        <v>2663</v>
      </c>
      <c r="D27" s="328"/>
      <c r="E27" s="329"/>
      <c r="F27" s="330"/>
      <c r="G27" s="2550" t="str">
        <f>IF('数据-取费表'!B22&lt;=1,"（1）-（3）项×年利率×建设期÷2","（1）-（3）项×((1+年利率)^(建设期÷2)-1)")</f>
        <v>（1）-（3）项×((1+年利率)^(建设期÷2)-1)</v>
      </c>
      <c r="H27" s="978"/>
      <c r="I27" s="978"/>
      <c r="J27" s="978"/>
      <c r="K27" s="979"/>
    </row>
    <row r="28" spans="1:33" s="333" customFormat="1" ht="13.5" customHeight="1">
      <c r="A28" s="960" t="s">
        <v>2497</v>
      </c>
      <c r="B28" s="2551" t="s">
        <v>2498</v>
      </c>
      <c r="C28" s="331">
        <f ca="1">C30</f>
        <v>5295</v>
      </c>
      <c r="D28" s="324">
        <f ca="1">C29</f>
        <v>7.0000000000000007E-2</v>
      </c>
      <c r="E28" s="326" t="s">
        <v>15</v>
      </c>
      <c r="F28" s="332">
        <f ca="1">IF(C1="",'数据-取费表'!Q16,INDIRECT("'数据-取费表'!q"&amp;$K$1))</f>
        <v>0.08</v>
      </c>
      <c r="G28" s="988"/>
      <c r="H28" s="989"/>
      <c r="I28" s="989"/>
      <c r="J28" s="989"/>
      <c r="K28" s="990"/>
    </row>
    <row r="29" spans="1:33" s="335" customFormat="1" ht="13.5" customHeight="1">
      <c r="A29" s="970" t="s">
        <v>803</v>
      </c>
      <c r="B29" s="993" t="s">
        <v>2499</v>
      </c>
      <c r="C29" s="328">
        <f ca="1">ROUND((1+C24)*F28*'数据-取费表'!B24/'数据-取费表'!B20,4)</f>
        <v>7.0000000000000007E-2</v>
      </c>
      <c r="D29" s="328"/>
      <c r="E29" s="329"/>
      <c r="F29" s="334"/>
      <c r="G29" s="140" t="s">
        <v>2500</v>
      </c>
      <c r="H29" s="978"/>
      <c r="I29" s="978"/>
      <c r="J29" s="978"/>
      <c r="K29" s="979"/>
    </row>
    <row r="30" spans="1:33" s="335" customFormat="1" ht="13.5" customHeight="1">
      <c r="A30" s="970" t="s">
        <v>804</v>
      </c>
      <c r="B30" s="993" t="s">
        <v>2501</v>
      </c>
      <c r="C30" s="336">
        <f ca="1">ROUND((C21+C22+C23)*F28,0)</f>
        <v>5295</v>
      </c>
      <c r="D30" s="328"/>
      <c r="E30" s="329"/>
      <c r="F30" s="334"/>
      <c r="G30" s="140"/>
      <c r="H30" s="978"/>
      <c r="I30" s="978"/>
      <c r="J30" s="978"/>
      <c r="K30" s="979"/>
    </row>
    <row r="31" spans="1:33" s="974" customFormat="1" ht="13.5" customHeight="1" thickBot="1">
      <c r="A31" s="2552" t="s">
        <v>2502</v>
      </c>
      <c r="B31" s="1004" t="s">
        <v>2503</v>
      </c>
      <c r="C31" s="1005">
        <f ca="1">ROUND(C4*F31/(1+'数据-取费表'!C42),0)</f>
        <v>7384</v>
      </c>
      <c r="D31" s="1006"/>
      <c r="E31" s="1007"/>
      <c r="F31" s="1008">
        <f>'数据-取费表'!B41</f>
        <v>5.6000000000000001E-2</v>
      </c>
      <c r="G31" s="1009" t="s">
        <v>2504</v>
      </c>
      <c r="H31" s="1010"/>
      <c r="I31" s="1010"/>
      <c r="J31" s="1010"/>
      <c r="K31" s="1011"/>
    </row>
    <row r="32" spans="1:33" s="969" customFormat="1" ht="13.5" customHeight="1" thickBot="1">
      <c r="A32" s="999" t="s">
        <v>2505</v>
      </c>
      <c r="B32" s="1000"/>
      <c r="C32" s="1001">
        <f ca="1">ROUND((C4-C21-C22-C23-C25-C28-C31)/(1+C24+D25+D28),0)</f>
        <v>48089</v>
      </c>
      <c r="D32" s="1000"/>
      <c r="E32" s="1000"/>
      <c r="F32" s="1000"/>
      <c r="G32" s="1002" t="s">
        <v>2506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J52" sqref="J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574" t="s">
        <v>2517</v>
      </c>
      <c r="C1" s="1632" t="s">
        <v>2518</v>
      </c>
      <c r="D1" s="1619" t="s">
        <v>3514</v>
      </c>
      <c r="E1" s="2575"/>
      <c r="F1" s="2576" t="s">
        <v>2519</v>
      </c>
      <c r="G1" s="1629" t="s">
        <v>2520</v>
      </c>
      <c r="H1" s="1628"/>
      <c r="I1" s="1628"/>
      <c r="J1" s="1628"/>
      <c r="K1" s="1630"/>
      <c r="L1" s="1631"/>
      <c r="M1" s="1632"/>
      <c r="N1" s="1632"/>
      <c r="O1" s="1632"/>
      <c r="P1" s="2577"/>
      <c r="Q1" s="1618"/>
      <c r="R1" s="1618"/>
      <c r="S1" s="1618"/>
      <c r="T1" s="1618"/>
      <c r="U1" s="1618"/>
      <c r="V1" s="1618"/>
      <c r="W1" s="1618"/>
      <c r="X1" s="1618"/>
      <c r="Y1" s="1618"/>
      <c r="Z1" s="1618"/>
      <c r="AA1" s="1618"/>
      <c r="AB1" s="1618"/>
      <c r="AC1" s="1626"/>
    </row>
    <row r="2" spans="1:29" s="393" customFormat="1" ht="28.5" customHeight="1" thickTop="1">
      <c r="A2" s="1615" t="s">
        <v>1390</v>
      </c>
      <c r="B2" s="1417">
        <f>IF(C2="——",ROUND(C49*D3/10000,0),ROUND(C49*D3/10000,0)-D2)</f>
        <v>112713</v>
      </c>
      <c r="C2" s="2578" t="s">
        <v>70</v>
      </c>
      <c r="D2" s="1364" t="e">
        <f ca="1">SUMIF(INDIRECT("'"&amp;F2&amp;"'"&amp;"!A:A"),"承租人权益价值",INDIRECT("'"&amp;F2&amp;"'"&amp;"!c:c"))</f>
        <v>#REF!</v>
      </c>
      <c r="E2" s="2579" t="s">
        <v>2521</v>
      </c>
      <c r="F2" s="2580"/>
      <c r="G2" s="1123"/>
      <c r="H2" s="1123"/>
      <c r="I2" s="1123"/>
      <c r="J2" s="1123"/>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1391</v>
      </c>
      <c r="B3" s="399">
        <f>IF(C2="——",C49,ROUND(B2*10000/D3,0))</f>
        <v>6541</v>
      </c>
      <c r="C3" s="400" t="s">
        <v>2522</v>
      </c>
      <c r="D3" s="399">
        <f>IF(D1="",'数据-汇总表'!E3,SUMIF('数据-汇总表'!$C19:$C33,D1,'数据-汇总表'!$E19:$E33))</f>
        <v>172317.95</v>
      </c>
      <c r="E3" s="1123"/>
      <c r="F3" s="2587"/>
      <c r="G3" s="1123"/>
      <c r="H3" s="1123"/>
      <c r="I3" s="1123"/>
      <c r="J3" s="1123"/>
      <c r="K3" s="2581"/>
      <c r="L3" s="2582"/>
      <c r="M3" s="2583"/>
      <c r="N3" s="2583"/>
      <c r="O3" s="2583"/>
      <c r="P3" s="2584"/>
      <c r="Q3" s="2585"/>
      <c r="R3" s="2585"/>
      <c r="S3" s="2585"/>
      <c r="T3" s="2585"/>
      <c r="U3" s="2585"/>
      <c r="V3" s="2585"/>
      <c r="W3" s="2585"/>
      <c r="X3" s="2585"/>
      <c r="Y3" s="2585"/>
      <c r="Z3" s="2585"/>
      <c r="AA3" s="2585"/>
      <c r="AB3" s="2585"/>
      <c r="AC3" s="1281"/>
    </row>
    <row r="4" spans="1:29" ht="15">
      <c r="A4" s="401" t="s">
        <v>2523</v>
      </c>
      <c r="B4" s="402"/>
      <c r="C4" s="3212" t="s">
        <v>2524</v>
      </c>
      <c r="D4" s="3225"/>
      <c r="E4" s="3226" t="s">
        <v>2525</v>
      </c>
      <c r="F4" s="3227"/>
      <c r="G4" s="3212" t="s">
        <v>2526</v>
      </c>
      <c r="H4" s="3225"/>
      <c r="I4" s="3212" t="s">
        <v>2527</v>
      </c>
      <c r="J4" s="3225"/>
      <c r="K4" s="2588" t="s">
        <v>2528</v>
      </c>
      <c r="L4" s="1129"/>
      <c r="M4" s="1130"/>
      <c r="N4" s="1130"/>
      <c r="O4" s="1130"/>
      <c r="P4" s="3228" t="s">
        <v>2529</v>
      </c>
      <c r="Q4" s="3229"/>
      <c r="R4" s="3234" t="s">
        <v>2525</v>
      </c>
      <c r="S4" s="3235"/>
      <c r="T4" s="3234" t="s">
        <v>2526</v>
      </c>
      <c r="U4" s="3235"/>
      <c r="V4" s="3221" t="s">
        <v>2527</v>
      </c>
      <c r="W4" s="3221"/>
      <c r="X4" s="1811"/>
      <c r="Y4" s="3234" t="s">
        <v>2529</v>
      </c>
      <c r="Z4" s="3235"/>
      <c r="AA4" s="3222" t="s">
        <v>2525</v>
      </c>
      <c r="AB4" s="3222" t="s">
        <v>2526</v>
      </c>
      <c r="AC4" s="3222" t="s">
        <v>2527</v>
      </c>
    </row>
    <row r="5" spans="1:29" ht="15">
      <c r="A5" s="404"/>
      <c r="B5" s="405"/>
      <c r="C5" s="3242" t="s">
        <v>2530</v>
      </c>
      <c r="D5" s="3243"/>
      <c r="E5" s="3260" t="s">
        <v>3329</v>
      </c>
      <c r="F5" s="3250"/>
      <c r="G5" s="3259" t="s">
        <v>3330</v>
      </c>
      <c r="H5" s="3243"/>
      <c r="I5" s="3259" t="s">
        <v>3549</v>
      </c>
      <c r="J5" s="3243"/>
      <c r="K5" s="2589"/>
      <c r="L5" s="1129"/>
      <c r="M5" s="1130"/>
      <c r="N5" s="1130"/>
      <c r="O5" s="1130"/>
      <c r="P5" s="3230"/>
      <c r="Q5" s="3231"/>
      <c r="R5" s="3236"/>
      <c r="S5" s="3237"/>
      <c r="T5" s="3236"/>
      <c r="U5" s="3237"/>
      <c r="V5" s="3221"/>
      <c r="W5" s="3221"/>
      <c r="X5" s="1811"/>
      <c r="Y5" s="3236"/>
      <c r="Z5" s="3237"/>
      <c r="AA5" s="3223"/>
      <c r="AB5" s="3223"/>
      <c r="AC5" s="3223"/>
    </row>
    <row r="6" spans="1:29" ht="15.75" thickBot="1">
      <c r="A6" s="406"/>
      <c r="B6" s="407"/>
      <c r="C6" s="3240" t="s">
        <v>2534</v>
      </c>
      <c r="D6" s="3241"/>
      <c r="E6" s="3247" t="s">
        <v>2534</v>
      </c>
      <c r="F6" s="3248"/>
      <c r="G6" s="3240" t="s">
        <v>2534</v>
      </c>
      <c r="H6" s="3241"/>
      <c r="I6" s="3240" t="s">
        <v>2534</v>
      </c>
      <c r="J6" s="3241"/>
      <c r="K6" s="2589" t="s">
        <v>2535</v>
      </c>
      <c r="L6" s="1129"/>
      <c r="M6" s="1130"/>
      <c r="N6" s="1130"/>
      <c r="O6" s="1130"/>
      <c r="P6" s="3232"/>
      <c r="Q6" s="3233"/>
      <c r="R6" s="3236"/>
      <c r="S6" s="3237"/>
      <c r="T6" s="3238"/>
      <c r="U6" s="3239"/>
      <c r="V6" s="3221"/>
      <c r="W6" s="3221"/>
      <c r="X6" s="1811"/>
      <c r="Y6" s="3238"/>
      <c r="Z6" s="3239"/>
      <c r="AA6" s="3224"/>
      <c r="AB6" s="3224"/>
      <c r="AC6" s="3224"/>
    </row>
    <row r="7" spans="1:29" s="117" customFormat="1" ht="15.75" thickBot="1">
      <c r="A7" s="408" t="s">
        <v>2536</v>
      </c>
      <c r="B7" s="409"/>
      <c r="C7" s="410">
        <f>'数据-取费表'!B2</f>
        <v>43621</v>
      </c>
      <c r="D7" s="411">
        <v>100</v>
      </c>
      <c r="E7" s="412">
        <f>C7</f>
        <v>43621</v>
      </c>
      <c r="F7" s="413">
        <f>SUMIF(58:58,YEAR(E7)&amp;"-"&amp;MONTH(E7),59:59)</f>
        <v>100</v>
      </c>
      <c r="G7" s="412">
        <f>C7</f>
        <v>43621</v>
      </c>
      <c r="H7" s="411">
        <f>SUMIF(58:58,YEAR(G7)&amp;"-"&amp;MONTH(G7),59:59)</f>
        <v>100</v>
      </c>
      <c r="I7" s="412">
        <f>C7</f>
        <v>43621</v>
      </c>
      <c r="J7" s="411">
        <f>SUMIF(58:58,YEAR(I7)&amp;"-"&amp;MONTH(I7),59:59)</f>
        <v>100</v>
      </c>
      <c r="K7" s="2590"/>
      <c r="L7" s="1131"/>
      <c r="M7" s="1132"/>
      <c r="N7" s="1132"/>
      <c r="O7" s="1132"/>
      <c r="P7" s="3244" t="s">
        <v>2537</v>
      </c>
      <c r="Q7" s="3246"/>
      <c r="R7" s="769" t="s">
        <v>23</v>
      </c>
      <c r="S7" s="770">
        <f t="shared" ref="S7:S15" si="0">F7</f>
        <v>100</v>
      </c>
      <c r="T7" s="769" t="s">
        <v>23</v>
      </c>
      <c r="U7" s="770">
        <f t="shared" ref="U7:U15" si="1">H7</f>
        <v>100</v>
      </c>
      <c r="V7" s="769" t="s">
        <v>23</v>
      </c>
      <c r="W7" s="770">
        <f t="shared" ref="W7:W15" si="2">J7</f>
        <v>100</v>
      </c>
      <c r="X7" s="771"/>
      <c r="Y7" s="3244" t="s">
        <v>2537</v>
      </c>
      <c r="Z7" s="3245"/>
      <c r="AA7" s="772">
        <f>D7/F7</f>
        <v>1</v>
      </c>
      <c r="AB7" s="772">
        <f>D7/H7</f>
        <v>1</v>
      </c>
      <c r="AC7" s="772">
        <f>D7/J7</f>
        <v>1</v>
      </c>
    </row>
    <row r="8" spans="1:29" s="117" customFormat="1" ht="15.75" thickBot="1">
      <c r="A8" s="408" t="s">
        <v>2538</v>
      </c>
      <c r="B8" s="409"/>
      <c r="C8" s="414" t="s">
        <v>2539</v>
      </c>
      <c r="D8" s="411">
        <v>100</v>
      </c>
      <c r="E8" s="2591" t="s">
        <v>3261</v>
      </c>
      <c r="F8" s="413">
        <f>SUMIF(61:61,E8,62:62)-SUMIF(61:61,C8,62:62)+100</f>
        <v>100</v>
      </c>
      <c r="G8" s="414" t="s">
        <v>3261</v>
      </c>
      <c r="H8" s="411">
        <f>SUMIF(61:61,G8,62:62)-SUMIF(61:61,C8,62:62)+100</f>
        <v>100</v>
      </c>
      <c r="I8" s="2591" t="s">
        <v>3261</v>
      </c>
      <c r="J8" s="411">
        <f>SUMIF(61:61,I8,62:62)-SUMIF(61:61,C8,62:62)+100</f>
        <v>100</v>
      </c>
      <c r="K8" s="2590"/>
      <c r="L8" s="1131"/>
      <c r="M8" s="1132"/>
      <c r="N8" s="1132"/>
      <c r="O8" s="1132"/>
      <c r="P8" s="3244" t="s">
        <v>2540</v>
      </c>
      <c r="Q8" s="3245"/>
      <c r="R8" s="769" t="s">
        <v>23</v>
      </c>
      <c r="S8" s="770">
        <f t="shared" si="0"/>
        <v>100</v>
      </c>
      <c r="T8" s="769" t="s">
        <v>23</v>
      </c>
      <c r="U8" s="770">
        <f t="shared" si="1"/>
        <v>100</v>
      </c>
      <c r="V8" s="769" t="s">
        <v>23</v>
      </c>
      <c r="W8" s="770">
        <f t="shared" si="2"/>
        <v>100</v>
      </c>
      <c r="X8" s="771"/>
      <c r="Y8" s="3244" t="s">
        <v>2540</v>
      </c>
      <c r="Z8" s="3245"/>
      <c r="AA8" s="772">
        <f t="shared" ref="AA8:AA19" si="3">D8/F8</f>
        <v>1</v>
      </c>
      <c r="AB8" s="772">
        <f t="shared" ref="AB8:AB19" si="4">D8/H8</f>
        <v>1</v>
      </c>
      <c r="AC8" s="772">
        <f t="shared" ref="AC8:AC19" si="5">D8/J8</f>
        <v>1</v>
      </c>
    </row>
    <row r="9" spans="1:29" s="117" customFormat="1">
      <c r="A9" s="415" t="s">
        <v>2541</v>
      </c>
      <c r="B9" s="71" t="s">
        <v>2542</v>
      </c>
      <c r="C9" s="2956" t="s">
        <v>3327</v>
      </c>
      <c r="D9" s="135">
        <v>100</v>
      </c>
      <c r="E9" s="417" t="s">
        <v>3047</v>
      </c>
      <c r="F9" s="418">
        <f>SUMIF(63:63,E9,64:64)-SUMIF(63:63,C9,64:64)+100</f>
        <v>100</v>
      </c>
      <c r="G9" s="419" t="s">
        <v>3047</v>
      </c>
      <c r="H9" s="135">
        <f>SUMIF(63:63,G9,64:64)-SUMIF(63:63,C9,64:64)+100</f>
        <v>100</v>
      </c>
      <c r="I9" s="419" t="s">
        <v>3047</v>
      </c>
      <c r="J9" s="135">
        <f>SUMIF(63:63,I9,64:64)-SUMIF(63:63,C9,64:64)+100</f>
        <v>100</v>
      </c>
      <c r="K9" s="2590"/>
      <c r="L9" s="1131"/>
      <c r="M9" s="1132"/>
      <c r="N9" s="1132"/>
      <c r="O9" s="1132"/>
      <c r="P9" s="3214" t="s">
        <v>2543</v>
      </c>
      <c r="Q9" s="1793" t="str">
        <f t="shared" ref="Q9:Q15" si="6">B9</f>
        <v>用途</v>
      </c>
      <c r="R9" s="769" t="s">
        <v>17</v>
      </c>
      <c r="S9" s="770">
        <f t="shared" si="0"/>
        <v>100</v>
      </c>
      <c r="T9" s="769" t="s">
        <v>17</v>
      </c>
      <c r="U9" s="770">
        <f t="shared" si="1"/>
        <v>100</v>
      </c>
      <c r="V9" s="769" t="s">
        <v>17</v>
      </c>
      <c r="W9" s="770">
        <f t="shared" si="2"/>
        <v>100</v>
      </c>
      <c r="X9" s="771"/>
      <c r="Y9" s="3043" t="s">
        <v>2544</v>
      </c>
      <c r="Z9" s="55" t="str">
        <f t="shared" ref="Z9:Z15" si="7">Q9</f>
        <v>用途</v>
      </c>
      <c r="AA9" s="772">
        <f t="shared" si="3"/>
        <v>1</v>
      </c>
      <c r="AB9" s="772">
        <f t="shared" si="4"/>
        <v>1</v>
      </c>
      <c r="AC9" s="772">
        <f t="shared" si="5"/>
        <v>1</v>
      </c>
    </row>
    <row r="10" spans="1:29" s="427" customFormat="1" ht="27">
      <c r="A10" s="421"/>
      <c r="B10" s="422" t="s">
        <v>2545</v>
      </c>
      <c r="C10" s="423" t="s">
        <v>3328</v>
      </c>
      <c r="D10" s="136">
        <v>100</v>
      </c>
      <c r="E10" s="424" t="s">
        <v>3328</v>
      </c>
      <c r="F10" s="425">
        <f>SUMIF(65:65,E10,66:66)-SUMIF(65:65,C10,66:66)+100</f>
        <v>100</v>
      </c>
      <c r="G10" s="423" t="s">
        <v>3328</v>
      </c>
      <c r="H10" s="136">
        <f>SUMIF(65:65,G10,66:66)-SUMIF(65:65,C10,66:66)+100</f>
        <v>100</v>
      </c>
      <c r="I10" s="423" t="s">
        <v>3328</v>
      </c>
      <c r="J10" s="136">
        <f>SUMIF(65:65,I10,66:66)-SUMIF(65:65,C10,66:66)+100</f>
        <v>100</v>
      </c>
      <c r="K10" s="426">
        <v>2</v>
      </c>
      <c r="L10" s="1134"/>
      <c r="M10" s="1135"/>
      <c r="N10" s="1135"/>
      <c r="O10" s="1135"/>
      <c r="P10" s="3214"/>
      <c r="Q10" s="1793" t="str">
        <f t="shared" si="6"/>
        <v>土地使用年限（年）</v>
      </c>
      <c r="R10" s="769" t="s">
        <v>17</v>
      </c>
      <c r="S10" s="770">
        <f t="shared" si="0"/>
        <v>100</v>
      </c>
      <c r="T10" s="769" t="s">
        <v>17</v>
      </c>
      <c r="U10" s="770">
        <f t="shared" si="1"/>
        <v>100</v>
      </c>
      <c r="V10" s="769" t="s">
        <v>17</v>
      </c>
      <c r="W10" s="770">
        <f t="shared" si="2"/>
        <v>100</v>
      </c>
      <c r="X10" s="771"/>
      <c r="Y10" s="3043"/>
      <c r="Z10" s="55" t="str">
        <f t="shared" si="7"/>
        <v>土地使用年限（年）</v>
      </c>
      <c r="AA10" s="772">
        <f t="shared" si="3"/>
        <v>1</v>
      </c>
      <c r="AB10" s="772">
        <f t="shared" si="4"/>
        <v>1</v>
      </c>
      <c r="AC10" s="772">
        <f t="shared" si="5"/>
        <v>1</v>
      </c>
    </row>
    <row r="11" spans="1:29" ht="15.75" thickBot="1">
      <c r="A11" s="428"/>
      <c r="B11" s="422" t="s">
        <v>2546</v>
      </c>
      <c r="C11" s="429">
        <f>'数据-汇总表'!I7</f>
        <v>3</v>
      </c>
      <c r="D11" s="136">
        <v>100</v>
      </c>
      <c r="E11" s="430">
        <v>3.5</v>
      </c>
      <c r="F11" s="425">
        <f>LOOKUP(E11,68:68,69:69)-LOOKUP(C11,68:68,69:69)+100</f>
        <v>100</v>
      </c>
      <c r="G11" s="429">
        <v>3.14</v>
      </c>
      <c r="H11" s="136">
        <f>LOOKUP(G11,68:68,69:69)-LOOKUP(C11,68:68,69:69)+100</f>
        <v>100</v>
      </c>
      <c r="I11" s="429">
        <v>2.2999999999999998</v>
      </c>
      <c r="J11" s="136">
        <f>LOOKUP(I11,68:68,69:69)-LOOKUP(C11,68:68,69:69)+100</f>
        <v>103</v>
      </c>
      <c r="K11" s="426">
        <v>3</v>
      </c>
      <c r="L11" s="1137"/>
      <c r="M11" s="1130"/>
      <c r="N11" s="1130"/>
      <c r="O11" s="1130"/>
      <c r="P11" s="3214"/>
      <c r="Q11" s="1793" t="str">
        <f t="shared" si="6"/>
        <v>容积率</v>
      </c>
      <c r="R11" s="769" t="s">
        <v>21</v>
      </c>
      <c r="S11" s="770">
        <f t="shared" si="0"/>
        <v>100</v>
      </c>
      <c r="T11" s="769" t="s">
        <v>21</v>
      </c>
      <c r="U11" s="770">
        <f t="shared" si="1"/>
        <v>100</v>
      </c>
      <c r="V11" s="769" t="s">
        <v>21</v>
      </c>
      <c r="W11" s="770">
        <f t="shared" si="2"/>
        <v>103</v>
      </c>
      <c r="X11" s="771"/>
      <c r="Y11" s="3043"/>
      <c r="Z11" s="55" t="str">
        <f t="shared" si="7"/>
        <v>容积率</v>
      </c>
      <c r="AA11" s="772">
        <f t="shared" si="3"/>
        <v>1</v>
      </c>
      <c r="AB11" s="772">
        <f t="shared" si="4"/>
        <v>1</v>
      </c>
      <c r="AC11" s="772">
        <f t="shared" si="5"/>
        <v>0.970873786407767</v>
      </c>
    </row>
    <row r="12" spans="1:29" s="117" customFormat="1" ht="15"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1"/>
      <c r="M12" s="1132"/>
      <c r="N12" s="1132"/>
      <c r="O12" s="1132"/>
      <c r="P12" s="3214"/>
      <c r="Q12" s="1793">
        <f t="shared" si="6"/>
        <v>111</v>
      </c>
      <c r="R12" s="769" t="s">
        <v>21</v>
      </c>
      <c r="S12" s="770">
        <f t="shared" si="0"/>
        <v>100</v>
      </c>
      <c r="T12" s="769" t="s">
        <v>21</v>
      </c>
      <c r="U12" s="770">
        <f t="shared" si="1"/>
        <v>100</v>
      </c>
      <c r="V12" s="769" t="s">
        <v>21</v>
      </c>
      <c r="W12" s="770">
        <f t="shared" si="2"/>
        <v>100</v>
      </c>
      <c r="X12" s="771"/>
      <c r="Y12" s="3043"/>
      <c r="Z12" s="55">
        <f t="shared" si="7"/>
        <v>111</v>
      </c>
      <c r="AA12" s="772">
        <f>D12/F12</f>
        <v>1</v>
      </c>
      <c r="AB12" s="772">
        <f>D12/H12</f>
        <v>1</v>
      </c>
      <c r="AC12" s="772">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9"/>
      <c r="M13" s="1130"/>
      <c r="N13" s="1130"/>
      <c r="O13" s="1130"/>
      <c r="P13" s="3214"/>
      <c r="Q13" s="1793">
        <f t="shared" si="6"/>
        <v>111</v>
      </c>
      <c r="R13" s="769" t="s">
        <v>21</v>
      </c>
      <c r="S13" s="770">
        <f t="shared" si="0"/>
        <v>100</v>
      </c>
      <c r="T13" s="769" t="s">
        <v>21</v>
      </c>
      <c r="U13" s="770">
        <f t="shared" si="1"/>
        <v>100</v>
      </c>
      <c r="V13" s="769" t="s">
        <v>21</v>
      </c>
      <c r="W13" s="770">
        <f t="shared" si="2"/>
        <v>100</v>
      </c>
      <c r="X13" s="771"/>
      <c r="Y13" s="3043"/>
      <c r="Z13" s="55">
        <f t="shared" si="7"/>
        <v>111</v>
      </c>
      <c r="AA13" s="772">
        <f t="shared" si="3"/>
        <v>1</v>
      </c>
      <c r="AB13" s="772">
        <f t="shared" si="4"/>
        <v>1</v>
      </c>
      <c r="AC13" s="772">
        <f t="shared" si="5"/>
        <v>1</v>
      </c>
    </row>
    <row r="14" spans="1:29" ht="15.75"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9"/>
      <c r="M14" s="1130"/>
      <c r="N14" s="1130"/>
      <c r="O14" s="1130"/>
      <c r="P14" s="3214"/>
      <c r="Q14" s="1793">
        <f t="shared" si="6"/>
        <v>111</v>
      </c>
      <c r="R14" s="769" t="s">
        <v>21</v>
      </c>
      <c r="S14" s="770">
        <f t="shared" si="0"/>
        <v>100</v>
      </c>
      <c r="T14" s="769" t="s">
        <v>21</v>
      </c>
      <c r="U14" s="770">
        <f t="shared" si="1"/>
        <v>100</v>
      </c>
      <c r="V14" s="769" t="s">
        <v>21</v>
      </c>
      <c r="W14" s="770">
        <f t="shared" si="2"/>
        <v>100</v>
      </c>
      <c r="X14" s="771"/>
      <c r="Y14" s="3043"/>
      <c r="Z14" s="55">
        <f t="shared" si="7"/>
        <v>111</v>
      </c>
      <c r="AA14" s="772">
        <f t="shared" si="3"/>
        <v>1</v>
      </c>
      <c r="AB14" s="772">
        <f t="shared" si="4"/>
        <v>1</v>
      </c>
      <c r="AC14" s="772">
        <f t="shared" si="5"/>
        <v>1</v>
      </c>
    </row>
    <row r="15" spans="1:29" ht="108">
      <c r="A15" s="440" t="s">
        <v>2547</v>
      </c>
      <c r="B15" s="69" t="s">
        <v>2078</v>
      </c>
      <c r="C15" s="2595" t="str">
        <f>估价对象房地状况!C3</f>
        <v>估价对象所在区域住宅社区较少，分布密度较差，入住率较低，综合评价居住社区成熟度较差。</v>
      </c>
      <c r="D15" s="441">
        <v>100</v>
      </c>
      <c r="E15" s="3353" t="s">
        <v>3546</v>
      </c>
      <c r="F15" s="441">
        <f>SUMIF(76:76,E16,77:77)-SUMIF(76:76,C16,77:77)+100</f>
        <v>104</v>
      </c>
      <c r="G15" s="3353" t="s">
        <v>3550</v>
      </c>
      <c r="H15" s="441">
        <f>SUMIF(76:76,G16,77:77)-SUMIF(76:76,C16,77:77)+100</f>
        <v>100</v>
      </c>
      <c r="I15" s="3353" t="s">
        <v>3550</v>
      </c>
      <c r="J15" s="441">
        <f>SUMIF(76:76,I16,77:77)-SUMIF(76:76,C16,77:77)+100</f>
        <v>100</v>
      </c>
      <c r="K15" s="445">
        <v>2</v>
      </c>
      <c r="L15" s="1139"/>
      <c r="M15" s="1130"/>
      <c r="N15" s="1130"/>
      <c r="O15" s="1130"/>
      <c r="P15" s="3257" t="s">
        <v>2548</v>
      </c>
      <c r="Q15" s="1808" t="str">
        <f t="shared" si="6"/>
        <v>居住社区成熟度</v>
      </c>
      <c r="R15" s="773" t="s">
        <v>21</v>
      </c>
      <c r="S15" s="774">
        <f t="shared" si="0"/>
        <v>104</v>
      </c>
      <c r="T15" s="773" t="s">
        <v>21</v>
      </c>
      <c r="U15" s="774">
        <f t="shared" si="1"/>
        <v>100</v>
      </c>
      <c r="V15" s="773" t="s">
        <v>21</v>
      </c>
      <c r="W15" s="774">
        <f t="shared" si="2"/>
        <v>100</v>
      </c>
      <c r="X15" s="1811"/>
      <c r="Y15" s="3217" t="s">
        <v>2548</v>
      </c>
      <c r="Z15" s="1812" t="str">
        <f t="shared" si="7"/>
        <v>居住社区成熟度</v>
      </c>
      <c r="AA15" s="1809">
        <f t="shared" si="3"/>
        <v>0.96153846153846156</v>
      </c>
      <c r="AB15" s="1809">
        <f t="shared" si="4"/>
        <v>1</v>
      </c>
      <c r="AC15" s="1809">
        <f t="shared" si="5"/>
        <v>1</v>
      </c>
    </row>
    <row r="16" spans="1:29" ht="15">
      <c r="A16" s="428"/>
      <c r="B16" s="446"/>
      <c r="C16" s="447" t="s">
        <v>3298</v>
      </c>
      <c r="D16" s="448"/>
      <c r="E16" s="2596" t="s">
        <v>3323</v>
      </c>
      <c r="F16" s="448"/>
      <c r="G16" s="2597" t="s">
        <v>3298</v>
      </c>
      <c r="H16" s="450"/>
      <c r="I16" s="2597" t="s">
        <v>3298</v>
      </c>
      <c r="J16" s="448"/>
      <c r="K16" s="2598"/>
      <c r="L16" s="1139"/>
      <c r="M16" s="1130"/>
      <c r="N16" s="1130"/>
      <c r="O16" s="1130"/>
      <c r="P16" s="3258"/>
      <c r="Q16" s="1808"/>
      <c r="R16" s="773"/>
      <c r="S16" s="774"/>
      <c r="T16" s="773"/>
      <c r="U16" s="774"/>
      <c r="V16" s="773"/>
      <c r="W16" s="774"/>
      <c r="X16" s="1811"/>
      <c r="Y16" s="3218"/>
      <c r="Z16" s="1812"/>
      <c r="AA16" s="1809">
        <v>1</v>
      </c>
      <c r="AB16" s="1809">
        <v>1</v>
      </c>
      <c r="AC16" s="1809">
        <v>1</v>
      </c>
    </row>
    <row r="17" spans="1:29" ht="99.75">
      <c r="A17" s="428"/>
      <c r="B17" s="451" t="s">
        <v>2087</v>
      </c>
      <c r="C17" s="2599" t="str">
        <f>估价对象房地状况!C6</f>
        <v>估价对象邻近昆磨高速，公共交通线路较少，路网密集度一般，停车便捷程度较好，综合评价交通便捷度一般。</v>
      </c>
      <c r="D17" s="450">
        <v>100</v>
      </c>
      <c r="E17" s="3352" t="s">
        <v>3554</v>
      </c>
      <c r="F17" s="450">
        <f>SUMIF(78:78,E18,79:79)-SUMIF(78:78,C18,79:79)+100</f>
        <v>98</v>
      </c>
      <c r="G17" s="3354" t="s">
        <v>3554</v>
      </c>
      <c r="H17" s="455">
        <f>SUMIF(78:78,G18,79:79)-SUMIF(78:78,C18,79:79)+100</f>
        <v>98</v>
      </c>
      <c r="I17" s="3354" t="s">
        <v>3554</v>
      </c>
      <c r="J17" s="455">
        <f>SUMIF(78:78,I18,79:79)-SUMIF(78:78,C18,79:79)+100</f>
        <v>98</v>
      </c>
      <c r="K17" s="445">
        <v>2</v>
      </c>
      <c r="L17" s="1139"/>
      <c r="M17" s="1130"/>
      <c r="N17" s="1130"/>
      <c r="O17" s="1130"/>
      <c r="P17" s="3258"/>
      <c r="Q17" s="1808" t="str">
        <f>B17</f>
        <v>交通便捷度</v>
      </c>
      <c r="R17" s="773" t="s">
        <v>21</v>
      </c>
      <c r="S17" s="774">
        <f>F17</f>
        <v>98</v>
      </c>
      <c r="T17" s="773" t="s">
        <v>21</v>
      </c>
      <c r="U17" s="774">
        <f>H17</f>
        <v>98</v>
      </c>
      <c r="V17" s="773" t="s">
        <v>21</v>
      </c>
      <c r="W17" s="774">
        <f>J17</f>
        <v>98</v>
      </c>
      <c r="X17" s="1811"/>
      <c r="Y17" s="3218"/>
      <c r="Z17" s="1812" t="str">
        <f>Q17</f>
        <v>交通便捷度</v>
      </c>
      <c r="AA17" s="1809">
        <f t="shared" si="3"/>
        <v>1.0204081632653061</v>
      </c>
      <c r="AB17" s="1809">
        <f t="shared" si="4"/>
        <v>1.0204081632653061</v>
      </c>
      <c r="AC17" s="1809">
        <f t="shared" si="5"/>
        <v>1.0204081632653061</v>
      </c>
    </row>
    <row r="18" spans="1:29" ht="15">
      <c r="A18" s="428"/>
      <c r="B18" s="456"/>
      <c r="C18" s="2600" t="s">
        <v>3300</v>
      </c>
      <c r="D18" s="450"/>
      <c r="E18" s="2601" t="s">
        <v>3298</v>
      </c>
      <c r="F18" s="450"/>
      <c r="G18" s="2602" t="s">
        <v>3298</v>
      </c>
      <c r="H18" s="448"/>
      <c r="I18" s="2602" t="s">
        <v>3298</v>
      </c>
      <c r="J18" s="448"/>
      <c r="K18" s="2598"/>
      <c r="L18" s="1139"/>
      <c r="M18" s="1130"/>
      <c r="N18" s="1130"/>
      <c r="O18" s="1130"/>
      <c r="P18" s="3258"/>
      <c r="Q18" s="1808"/>
      <c r="R18" s="773"/>
      <c r="S18" s="774"/>
      <c r="T18" s="773"/>
      <c r="U18" s="774"/>
      <c r="V18" s="773"/>
      <c r="W18" s="774"/>
      <c r="X18" s="1811"/>
      <c r="Y18" s="3218"/>
      <c r="Z18" s="1812"/>
      <c r="AA18" s="1809">
        <v>1</v>
      </c>
      <c r="AB18" s="1809">
        <v>1</v>
      </c>
      <c r="AC18" s="1809">
        <v>1</v>
      </c>
    </row>
    <row r="19" spans="1:29" ht="42.75">
      <c r="A19" s="428"/>
      <c r="B19" s="451" t="s">
        <v>2085</v>
      </c>
      <c r="C19" s="2599" t="str">
        <f>估价对象房地状况!C7</f>
        <v>估价对象所在区域公共配套设施齐备情况较差。</v>
      </c>
      <c r="D19" s="455">
        <v>100</v>
      </c>
      <c r="E19" s="3355" t="s">
        <v>3551</v>
      </c>
      <c r="F19" s="455">
        <f>SUMIF(80:80,E20,81:81)-SUMIF(80:80,C20,81:81)+100</f>
        <v>104</v>
      </c>
      <c r="G19" s="3355" t="s">
        <v>3552</v>
      </c>
      <c r="H19" s="450">
        <f>SUMIF(80:80,G20,81:81)-SUMIF(80:80,C20,81:81)+100</f>
        <v>100</v>
      </c>
      <c r="I19" s="3355" t="s">
        <v>3552</v>
      </c>
      <c r="J19" s="450">
        <f>SUMIF(80:80,I20,81:81)-SUMIF(80:80,C20,81:81)+100</f>
        <v>100</v>
      </c>
      <c r="K19" s="445">
        <v>2</v>
      </c>
      <c r="L19" s="1139"/>
      <c r="M19" s="1130"/>
      <c r="N19" s="1130"/>
      <c r="O19" s="1130"/>
      <c r="P19" s="3258"/>
      <c r="Q19" s="1808" t="str">
        <f>B19</f>
        <v>公共配套设施</v>
      </c>
      <c r="R19" s="773" t="s">
        <v>21</v>
      </c>
      <c r="S19" s="774">
        <f>F19</f>
        <v>104</v>
      </c>
      <c r="T19" s="773" t="s">
        <v>21</v>
      </c>
      <c r="U19" s="774">
        <f>H19</f>
        <v>100</v>
      </c>
      <c r="V19" s="773" t="s">
        <v>21</v>
      </c>
      <c r="W19" s="774">
        <f>J19</f>
        <v>100</v>
      </c>
      <c r="X19" s="1811"/>
      <c r="Y19" s="3218"/>
      <c r="Z19" s="1812" t="str">
        <f>Q19</f>
        <v>公共配套设施</v>
      </c>
      <c r="AA19" s="1809">
        <f t="shared" si="3"/>
        <v>0.96153846153846156</v>
      </c>
      <c r="AB19" s="1809">
        <f t="shared" si="4"/>
        <v>1</v>
      </c>
      <c r="AC19" s="1809">
        <f t="shared" si="5"/>
        <v>1</v>
      </c>
    </row>
    <row r="20" spans="1:29" ht="15">
      <c r="A20" s="428"/>
      <c r="B20" s="456"/>
      <c r="C20" s="447" t="s">
        <v>3298</v>
      </c>
      <c r="D20" s="448"/>
      <c r="E20" s="2596" t="s">
        <v>3323</v>
      </c>
      <c r="F20" s="448"/>
      <c r="G20" s="2597" t="s">
        <v>3298</v>
      </c>
      <c r="H20" s="448"/>
      <c r="I20" s="2597" t="s">
        <v>3298</v>
      </c>
      <c r="J20" s="448"/>
      <c r="K20" s="2598"/>
      <c r="L20" s="1139"/>
      <c r="M20" s="1130"/>
      <c r="N20" s="1130"/>
      <c r="O20" s="1130"/>
      <c r="P20" s="3258"/>
      <c r="Q20" s="1808"/>
      <c r="R20" s="773"/>
      <c r="S20" s="774"/>
      <c r="T20" s="773"/>
      <c r="U20" s="774"/>
      <c r="V20" s="773"/>
      <c r="W20" s="774"/>
      <c r="X20" s="1811"/>
      <c r="Y20" s="3218"/>
      <c r="Z20" s="1812"/>
      <c r="AA20" s="1809">
        <v>1</v>
      </c>
      <c r="AB20" s="1809">
        <v>1</v>
      </c>
      <c r="AC20" s="1809">
        <v>1</v>
      </c>
    </row>
    <row r="21" spans="1:29" ht="42.75">
      <c r="A21" s="428"/>
      <c r="B21" s="1383" t="s">
        <v>2088</v>
      </c>
      <c r="C21" s="2599" t="str">
        <f>估价对象房地状况!C8</f>
        <v>估价对象所在区域基础设施水平达“六通”。</v>
      </c>
      <c r="D21" s="450">
        <v>100</v>
      </c>
      <c r="E21" s="459" t="s">
        <v>3547</v>
      </c>
      <c r="F21" s="455">
        <f>SUMIF(82:82,E22,83:83)-SUMIF(82:82,C22,83:83)+100</f>
        <v>100</v>
      </c>
      <c r="G21" s="459" t="s">
        <v>3547</v>
      </c>
      <c r="H21" s="450">
        <f>SUMIF(82:82,G22,83:83)-SUMIF(82:82,C22,83:83)+100</f>
        <v>100</v>
      </c>
      <c r="I21" s="459" t="s">
        <v>3547</v>
      </c>
      <c r="J21" s="450">
        <f>SUMIF(82:82,I22,83:83)-SUMIF(82:82,C22,83:83)+100</f>
        <v>100</v>
      </c>
      <c r="K21" s="445">
        <v>2</v>
      </c>
      <c r="L21" s="1139"/>
      <c r="M21" s="1130"/>
      <c r="N21" s="1130"/>
      <c r="O21" s="1130"/>
      <c r="P21" s="3258"/>
      <c r="Q21" s="1808" t="str">
        <f>B21</f>
        <v>基础设施水平</v>
      </c>
      <c r="R21" s="773" t="s">
        <v>17</v>
      </c>
      <c r="S21" s="774">
        <f>F21</f>
        <v>100</v>
      </c>
      <c r="T21" s="773" t="s">
        <v>17</v>
      </c>
      <c r="U21" s="774">
        <f>H21</f>
        <v>100</v>
      </c>
      <c r="V21" s="773" t="s">
        <v>17</v>
      </c>
      <c r="W21" s="774">
        <f>J21</f>
        <v>100</v>
      </c>
      <c r="X21" s="1811"/>
      <c r="Y21" s="3218"/>
      <c r="Z21" s="1812" t="str">
        <f>Q21</f>
        <v>基础设施水平</v>
      </c>
      <c r="AA21" s="1809">
        <f t="shared" ref="AA21" si="8">D21/F21</f>
        <v>1</v>
      </c>
      <c r="AB21" s="1809">
        <f t="shared" ref="AB21" si="9">D21/H21</f>
        <v>1</v>
      </c>
      <c r="AC21" s="1809">
        <f t="shared" ref="AC21" si="10">D21/J21</f>
        <v>1</v>
      </c>
    </row>
    <row r="22" spans="1:29" ht="15">
      <c r="A22" s="428"/>
      <c r="B22" s="1383"/>
      <c r="C22" s="2600" t="s">
        <v>3292</v>
      </c>
      <c r="D22" s="448"/>
      <c r="E22" s="447" t="s">
        <v>3292</v>
      </c>
      <c r="F22" s="448"/>
      <c r="G22" s="2603" t="s">
        <v>3292</v>
      </c>
      <c r="H22" s="448"/>
      <c r="I22" s="447" t="s">
        <v>3292</v>
      </c>
      <c r="J22" s="448"/>
      <c r="K22" s="2604"/>
      <c r="L22" s="1139"/>
      <c r="M22" s="1130"/>
      <c r="N22" s="1130"/>
      <c r="O22" s="1130"/>
      <c r="P22" s="3258"/>
      <c r="Q22" s="1808"/>
      <c r="R22" s="773"/>
      <c r="S22" s="774"/>
      <c r="T22" s="773"/>
      <c r="U22" s="774"/>
      <c r="V22" s="773"/>
      <c r="W22" s="774"/>
      <c r="X22" s="1811"/>
      <c r="Y22" s="3218"/>
      <c r="Z22" s="1812"/>
      <c r="AA22" s="1809">
        <v>1</v>
      </c>
      <c r="AB22" s="1809">
        <v>1</v>
      </c>
      <c r="AC22" s="1809">
        <v>1</v>
      </c>
    </row>
    <row r="23" spans="1:29" ht="135">
      <c r="A23" s="428"/>
      <c r="B23" s="451" t="s">
        <v>2092</v>
      </c>
      <c r="C23" s="2599" t="str">
        <f>估价对象房地状况!C9</f>
        <v>估价对象所在区域无公园等自然环境设施，自然环境较差；所在区域无博物馆等人文设施，人文设施较差，综合评价自然及人文环境状况较差。</v>
      </c>
      <c r="D23" s="450">
        <v>100</v>
      </c>
      <c r="E23" s="3352" t="s">
        <v>3548</v>
      </c>
      <c r="F23" s="450">
        <f>SUMIF(84:84,E24,85:85)-SUMIF(84:84,C24,85:85)+100</f>
        <v>102</v>
      </c>
      <c r="G23" s="3354" t="s">
        <v>3553</v>
      </c>
      <c r="H23" s="450">
        <f>SUMIF(84:84,G24,85:85)-SUMIF(84:84,C24,85:85)+100</f>
        <v>100</v>
      </c>
      <c r="I23" s="3354" t="s">
        <v>3553</v>
      </c>
      <c r="J23" s="450">
        <f>SUMIF(84:84,I24,85:85)-SUMIF(84:84,C24,85:85)+100</f>
        <v>100</v>
      </c>
      <c r="K23" s="445">
        <v>2</v>
      </c>
      <c r="L23" s="1139"/>
      <c r="M23" s="1130"/>
      <c r="N23" s="1130"/>
      <c r="O23" s="1130"/>
      <c r="P23" s="3258"/>
      <c r="Q23" s="1808" t="str">
        <f>B23</f>
        <v>自然及人文环境</v>
      </c>
      <c r="R23" s="773" t="s">
        <v>21</v>
      </c>
      <c r="S23" s="774">
        <f>F23</f>
        <v>102</v>
      </c>
      <c r="T23" s="773" t="s">
        <v>21</v>
      </c>
      <c r="U23" s="774">
        <f>H23</f>
        <v>100</v>
      </c>
      <c r="V23" s="773" t="s">
        <v>21</v>
      </c>
      <c r="W23" s="774">
        <f>J23</f>
        <v>100</v>
      </c>
      <c r="X23" s="1811"/>
      <c r="Y23" s="3218"/>
      <c r="Z23" s="1812" t="str">
        <f>Q23</f>
        <v>自然及人文环境</v>
      </c>
      <c r="AA23" s="1809">
        <f>D23/F23</f>
        <v>0.98039215686274506</v>
      </c>
      <c r="AB23" s="1809">
        <f>D23/H23</f>
        <v>1</v>
      </c>
      <c r="AC23" s="1809">
        <f>D23/J23</f>
        <v>1</v>
      </c>
    </row>
    <row r="24" spans="1:29" ht="15.75" thickBot="1">
      <c r="A24" s="428"/>
      <c r="B24" s="456"/>
      <c r="C24" s="447" t="s">
        <v>3298</v>
      </c>
      <c r="D24" s="448"/>
      <c r="E24" s="2596" t="s">
        <v>3300</v>
      </c>
      <c r="F24" s="448"/>
      <c r="G24" s="2597" t="s">
        <v>3298</v>
      </c>
      <c r="H24" s="448"/>
      <c r="I24" s="2597" t="s">
        <v>3298</v>
      </c>
      <c r="J24" s="448"/>
      <c r="K24" s="2598"/>
      <c r="L24" s="1139"/>
      <c r="M24" s="1130"/>
      <c r="N24" s="1130"/>
      <c r="O24" s="1130"/>
      <c r="P24" s="3258"/>
      <c r="Q24" s="1808"/>
      <c r="R24" s="773"/>
      <c r="S24" s="774"/>
      <c r="T24" s="773"/>
      <c r="U24" s="774"/>
      <c r="V24" s="773"/>
      <c r="W24" s="774"/>
      <c r="X24" s="1811"/>
      <c r="Y24" s="3218"/>
      <c r="Z24" s="1812"/>
      <c r="AA24" s="1809">
        <v>1</v>
      </c>
      <c r="AB24" s="1809">
        <v>1</v>
      </c>
      <c r="AC24" s="1809">
        <v>1</v>
      </c>
    </row>
    <row r="25" spans="1:29" ht="15" hidden="1">
      <c r="A25" s="428"/>
      <c r="B25" s="422" t="s">
        <v>2549</v>
      </c>
      <c r="C25" s="460"/>
      <c r="D25" s="435">
        <v>100</v>
      </c>
      <c r="E25" s="2605"/>
      <c r="F25" s="435">
        <f>SUMIF(86:86,E25,87:87)-SUMIF(86:86,C25,87:87)+100</f>
        <v>100</v>
      </c>
      <c r="G25" s="2606"/>
      <c r="H25" s="435">
        <f>SUMIF(86:86,G25,87:87)-SUMIF(86:86,C25,87:87)+100</f>
        <v>100</v>
      </c>
      <c r="I25" s="2606"/>
      <c r="J25" s="435">
        <f>SUMIF(86:86,I25,87:87)-SUMIF(86:86,C25,87:87)+100</f>
        <v>100</v>
      </c>
      <c r="K25" s="426">
        <v>0</v>
      </c>
      <c r="L25" s="1139"/>
      <c r="M25" s="1130"/>
      <c r="N25" s="1130"/>
      <c r="O25" s="1130"/>
      <c r="P25" s="325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18"/>
      <c r="Z25" s="1812" t="str">
        <f>Q25</f>
        <v>楼层-1</v>
      </c>
      <c r="AA25" s="1809">
        <f t="shared" ref="AA25:AA46" si="15">D25/F25</f>
        <v>1</v>
      </c>
      <c r="AB25" s="1809">
        <f t="shared" ref="AB25:AB46" si="16">D25/H25</f>
        <v>1</v>
      </c>
      <c r="AC25" s="1809">
        <f t="shared" ref="AC25:AC46" si="17">D25/J25</f>
        <v>1</v>
      </c>
    </row>
    <row r="26" spans="1:29" ht="15" hidden="1">
      <c r="A26" s="428"/>
      <c r="B26" s="422" t="s">
        <v>2550</v>
      </c>
      <c r="C26" s="460"/>
      <c r="D26" s="435">
        <v>100</v>
      </c>
      <c r="E26" s="2605"/>
      <c r="F26" s="435">
        <f>SUMIF(88:88,E26,89:89)-SUMIF(88:88,C26,89:89)+100</f>
        <v>100</v>
      </c>
      <c r="G26" s="2606"/>
      <c r="H26" s="435">
        <f>SUMIF(88:88,G26,89:89)-SUMIF(88:88,C26,89:89)+100</f>
        <v>100</v>
      </c>
      <c r="I26" s="2606"/>
      <c r="J26" s="435">
        <f>SUMIF(88:88,I26,89:89)-SUMIF(88:88,C26,89:89)+100</f>
        <v>100</v>
      </c>
      <c r="K26" s="426">
        <v>0</v>
      </c>
      <c r="L26" s="1139"/>
      <c r="M26" s="1130"/>
      <c r="N26" s="1130"/>
      <c r="O26" s="1130"/>
      <c r="P26" s="3258"/>
      <c r="Q26" s="1808" t="str">
        <f t="shared" si="11"/>
        <v>朝向</v>
      </c>
      <c r="R26" s="773" t="s">
        <v>21</v>
      </c>
      <c r="S26" s="774">
        <f t="shared" si="12"/>
        <v>100</v>
      </c>
      <c r="T26" s="773" t="s">
        <v>21</v>
      </c>
      <c r="U26" s="774">
        <f t="shared" si="13"/>
        <v>100</v>
      </c>
      <c r="V26" s="773" t="s">
        <v>21</v>
      </c>
      <c r="W26" s="774">
        <f t="shared" si="14"/>
        <v>100</v>
      </c>
      <c r="X26" s="1811"/>
      <c r="Y26" s="3218"/>
      <c r="Z26" s="1812" t="str">
        <f>Q26</f>
        <v>朝向</v>
      </c>
      <c r="AA26" s="1809">
        <f t="shared" si="15"/>
        <v>1</v>
      </c>
      <c r="AB26" s="1809">
        <f t="shared" si="16"/>
        <v>1</v>
      </c>
      <c r="AC26" s="1809">
        <f t="shared" si="17"/>
        <v>1</v>
      </c>
    </row>
    <row r="27" spans="1:29" s="117" customFormat="1" ht="15" hidden="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3"/>
      <c r="L27" s="1131"/>
      <c r="M27" s="1132"/>
      <c r="N27" s="1132"/>
      <c r="O27" s="1132"/>
      <c r="P27" s="3258"/>
      <c r="Q27" s="1793">
        <f t="shared" si="11"/>
        <v>111</v>
      </c>
      <c r="R27" s="769" t="s">
        <v>21</v>
      </c>
      <c r="S27" s="770">
        <f t="shared" si="12"/>
        <v>100</v>
      </c>
      <c r="T27" s="769" t="s">
        <v>21</v>
      </c>
      <c r="U27" s="770">
        <f t="shared" si="13"/>
        <v>100</v>
      </c>
      <c r="V27" s="769" t="s">
        <v>21</v>
      </c>
      <c r="W27" s="770">
        <f t="shared" si="14"/>
        <v>100</v>
      </c>
      <c r="X27" s="771"/>
      <c r="Y27" s="3218"/>
      <c r="Z27" s="55">
        <f>Q27</f>
        <v>111</v>
      </c>
      <c r="AA27" s="1809">
        <f t="shared" si="15"/>
        <v>1</v>
      </c>
      <c r="AB27" s="1809">
        <f t="shared" si="16"/>
        <v>1</v>
      </c>
      <c r="AC27" s="1809">
        <f t="shared" si="17"/>
        <v>1</v>
      </c>
    </row>
    <row r="28" spans="1:29" ht="15" hidden="1">
      <c r="A28" s="428"/>
      <c r="B28" s="1385">
        <v>111</v>
      </c>
      <c r="C28" s="434"/>
      <c r="D28" s="435">
        <v>100</v>
      </c>
      <c r="E28" s="434"/>
      <c r="F28" s="435">
        <f>SUMIF(92:92,E28,93:93)-SUMIF(92:92,C28,93:93)+100</f>
        <v>100</v>
      </c>
      <c r="G28" s="2607"/>
      <c r="H28" s="435">
        <f>SUMIF(92:92,G28,93:93)-SUMIF(92:92,C28,93:93)+100</f>
        <v>100</v>
      </c>
      <c r="I28" s="434"/>
      <c r="J28" s="435">
        <f>SUMIF(92:92,I28,93:93)-SUMIF(92:92,C28,93:93)+100</f>
        <v>100</v>
      </c>
      <c r="K28" s="2593"/>
      <c r="L28" s="1139"/>
      <c r="M28" s="1130"/>
      <c r="N28" s="1130"/>
      <c r="O28" s="1130"/>
      <c r="P28" s="3258"/>
      <c r="Q28" s="1808">
        <f t="shared" si="11"/>
        <v>111</v>
      </c>
      <c r="R28" s="773" t="s">
        <v>21</v>
      </c>
      <c r="S28" s="774">
        <f t="shared" si="12"/>
        <v>100</v>
      </c>
      <c r="T28" s="773" t="s">
        <v>21</v>
      </c>
      <c r="U28" s="774">
        <f t="shared" si="13"/>
        <v>100</v>
      </c>
      <c r="V28" s="773" t="s">
        <v>21</v>
      </c>
      <c r="W28" s="774">
        <f t="shared" si="14"/>
        <v>100</v>
      </c>
      <c r="X28" s="1811"/>
      <c r="Y28" s="3218"/>
      <c r="Z28" s="1812">
        <f t="shared" ref="Z28:Z46" si="18">Q28</f>
        <v>111</v>
      </c>
      <c r="AA28" s="1809">
        <f t="shared" si="15"/>
        <v>1</v>
      </c>
      <c r="AB28" s="1809">
        <f t="shared" si="16"/>
        <v>1</v>
      </c>
      <c r="AC28" s="1809">
        <f t="shared" si="17"/>
        <v>1</v>
      </c>
    </row>
    <row r="29" spans="1:29" ht="15" hidden="1">
      <c r="A29" s="428"/>
      <c r="B29" s="1385">
        <v>111</v>
      </c>
      <c r="C29" s="434"/>
      <c r="D29" s="435">
        <v>100</v>
      </c>
      <c r="E29" s="434"/>
      <c r="F29" s="435">
        <f>SUMIF(94:94,E29,95:95)-SUMIF(94:94,C29,95:95)+100</f>
        <v>100</v>
      </c>
      <c r="G29" s="2607"/>
      <c r="H29" s="435">
        <f>SUMIF(94:94,G29,95:95)-SUMIF(94:94,C29,95:95)+100</f>
        <v>100</v>
      </c>
      <c r="I29" s="434"/>
      <c r="J29" s="435">
        <f>SUMIF(94:94,I29,95:95)-SUMIF(94:94,C29,95:95)+100</f>
        <v>100</v>
      </c>
      <c r="K29" s="2593"/>
      <c r="L29" s="1139"/>
      <c r="M29" s="1130"/>
      <c r="N29" s="1130"/>
      <c r="O29" s="1130"/>
      <c r="P29" s="3258"/>
      <c r="Q29" s="1808">
        <f t="shared" si="11"/>
        <v>111</v>
      </c>
      <c r="R29" s="773" t="s">
        <v>21</v>
      </c>
      <c r="S29" s="774">
        <f t="shared" si="12"/>
        <v>100</v>
      </c>
      <c r="T29" s="773" t="s">
        <v>21</v>
      </c>
      <c r="U29" s="774">
        <f t="shared" si="13"/>
        <v>100</v>
      </c>
      <c r="V29" s="773" t="s">
        <v>21</v>
      </c>
      <c r="W29" s="774">
        <f t="shared" si="14"/>
        <v>100</v>
      </c>
      <c r="X29" s="1811"/>
      <c r="Y29" s="3218"/>
      <c r="Z29" s="1812">
        <f t="shared" si="18"/>
        <v>111</v>
      </c>
      <c r="AA29" s="1809">
        <f t="shared" si="15"/>
        <v>1</v>
      </c>
      <c r="AB29" s="1809">
        <f t="shared" si="16"/>
        <v>1</v>
      </c>
      <c r="AC29" s="1809">
        <f t="shared" si="17"/>
        <v>1</v>
      </c>
    </row>
    <row r="30" spans="1:29" ht="15" hidden="1">
      <c r="A30" s="428"/>
      <c r="B30" s="1385">
        <v>111</v>
      </c>
      <c r="C30" s="434"/>
      <c r="D30" s="435">
        <v>100</v>
      </c>
      <c r="E30" s="434"/>
      <c r="F30" s="435">
        <f>SUMIF(96:96,E30,97:97)-SUMIF(96:96,C30,97:97)+100</f>
        <v>100</v>
      </c>
      <c r="G30" s="2607"/>
      <c r="H30" s="435">
        <f>SUMIF(96:96,G30,97:97)-SUMIF(96:96,C30,97:97)+100</f>
        <v>100</v>
      </c>
      <c r="I30" s="434"/>
      <c r="J30" s="435">
        <f>SUMIF(96:96,I30,97:97)-SUMIF(96:96,C30,97:97)+100</f>
        <v>100</v>
      </c>
      <c r="K30" s="2593"/>
      <c r="L30" s="1139"/>
      <c r="M30" s="1130"/>
      <c r="N30" s="1130"/>
      <c r="O30" s="1130"/>
      <c r="P30" s="3258"/>
      <c r="Q30" s="1808">
        <f t="shared" si="11"/>
        <v>111</v>
      </c>
      <c r="R30" s="773" t="s">
        <v>21</v>
      </c>
      <c r="S30" s="774">
        <f t="shared" si="12"/>
        <v>100</v>
      </c>
      <c r="T30" s="773" t="s">
        <v>21</v>
      </c>
      <c r="U30" s="774">
        <f t="shared" si="13"/>
        <v>100</v>
      </c>
      <c r="V30" s="773" t="s">
        <v>21</v>
      </c>
      <c r="W30" s="774">
        <f t="shared" si="14"/>
        <v>100</v>
      </c>
      <c r="X30" s="1811"/>
      <c r="Y30" s="3218"/>
      <c r="Z30" s="1812">
        <f t="shared" si="18"/>
        <v>111</v>
      </c>
      <c r="AA30" s="1809">
        <f t="shared" si="15"/>
        <v>1</v>
      </c>
      <c r="AB30" s="1809">
        <f t="shared" si="16"/>
        <v>1</v>
      </c>
      <c r="AC30" s="1809">
        <f t="shared" si="17"/>
        <v>1</v>
      </c>
    </row>
    <row r="31" spans="1:29" ht="15.75" hidden="1" thickBot="1">
      <c r="A31" s="436"/>
      <c r="B31" s="1385">
        <v>111</v>
      </c>
      <c r="C31" s="437"/>
      <c r="D31" s="438">
        <v>100</v>
      </c>
      <c r="E31" s="437"/>
      <c r="F31" s="438">
        <f>SUMIF(98:98,E31,99:99)-SUMIF(98:98,C31,99:99)+100</f>
        <v>100</v>
      </c>
      <c r="G31" s="2608"/>
      <c r="H31" s="438">
        <f>SUMIF(98:98,G31,99:99)-SUMIF(98:98,C31,99:99)+100</f>
        <v>100</v>
      </c>
      <c r="I31" s="437"/>
      <c r="J31" s="438">
        <f>SUMIF(98:98,I31,99:99)-SUMIF(98:98,C31,99:99)+100</f>
        <v>100</v>
      </c>
      <c r="K31" s="2593"/>
      <c r="L31" s="1139"/>
      <c r="M31" s="1130"/>
      <c r="N31" s="1130"/>
      <c r="O31" s="1130"/>
      <c r="P31" s="3258"/>
      <c r="Q31" s="1808">
        <f t="shared" si="11"/>
        <v>111</v>
      </c>
      <c r="R31" s="773" t="s">
        <v>21</v>
      </c>
      <c r="S31" s="774">
        <f t="shared" si="12"/>
        <v>100</v>
      </c>
      <c r="T31" s="773" t="s">
        <v>21</v>
      </c>
      <c r="U31" s="774">
        <f t="shared" si="13"/>
        <v>100</v>
      </c>
      <c r="V31" s="773" t="s">
        <v>21</v>
      </c>
      <c r="W31" s="774">
        <f t="shared" si="14"/>
        <v>100</v>
      </c>
      <c r="X31" s="1811"/>
      <c r="Y31" s="3218"/>
      <c r="Z31" s="1812">
        <f t="shared" si="18"/>
        <v>111</v>
      </c>
      <c r="AA31" s="1809">
        <f t="shared" si="15"/>
        <v>1</v>
      </c>
      <c r="AB31" s="1809">
        <f t="shared" si="16"/>
        <v>1</v>
      </c>
      <c r="AC31" s="1809">
        <f t="shared" si="17"/>
        <v>1</v>
      </c>
    </row>
    <row r="32" spans="1:29" ht="15">
      <c r="A32" s="440" t="s">
        <v>2551</v>
      </c>
      <c r="B32" s="71" t="s">
        <v>2552</v>
      </c>
      <c r="C32" s="2609" t="s">
        <v>3272</v>
      </c>
      <c r="D32" s="467">
        <v>100</v>
      </c>
      <c r="E32" s="2610" t="s">
        <v>3272</v>
      </c>
      <c r="F32" s="461">
        <f>SUMIF(100:100,E32,101:101)-SUMIF(100:100,C32,101:101)+100</f>
        <v>100</v>
      </c>
      <c r="G32" s="2609" t="s">
        <v>3272</v>
      </c>
      <c r="H32" s="467">
        <f>SUMIF(100:100,G32,101:101)-SUMIF(100:100,C32,101:101)+100</f>
        <v>100</v>
      </c>
      <c r="I32" s="2610" t="s">
        <v>3272</v>
      </c>
      <c r="J32" s="435">
        <f>SUMIF(100:100,I32,101:101)-SUMIF(100:100,C32,101:101)+100</f>
        <v>100</v>
      </c>
      <c r="K32" s="426">
        <v>2</v>
      </c>
      <c r="L32" s="1139"/>
      <c r="M32" s="1130"/>
      <c r="N32" s="1130"/>
      <c r="O32" s="1130"/>
      <c r="P32" s="3253" t="s">
        <v>2553</v>
      </c>
      <c r="Q32" s="1808" t="str">
        <f t="shared" si="11"/>
        <v>建筑类型</v>
      </c>
      <c r="R32" s="773" t="s">
        <v>21</v>
      </c>
      <c r="S32" s="774">
        <f t="shared" si="12"/>
        <v>100</v>
      </c>
      <c r="T32" s="773" t="s">
        <v>21</v>
      </c>
      <c r="U32" s="774">
        <f t="shared" si="13"/>
        <v>100</v>
      </c>
      <c r="V32" s="773" t="s">
        <v>21</v>
      </c>
      <c r="W32" s="774">
        <f t="shared" si="14"/>
        <v>100</v>
      </c>
      <c r="X32" s="1811"/>
      <c r="Y32" s="3220" t="s">
        <v>2553</v>
      </c>
      <c r="Z32" s="1812" t="str">
        <f t="shared" si="18"/>
        <v>建筑类型</v>
      </c>
      <c r="AA32" s="1809">
        <f t="shared" si="15"/>
        <v>1</v>
      </c>
      <c r="AB32" s="1809">
        <f t="shared" si="16"/>
        <v>1</v>
      </c>
      <c r="AC32" s="1809">
        <f t="shared" si="17"/>
        <v>1</v>
      </c>
    </row>
    <row r="33" spans="1:29" s="471" customFormat="1" ht="15">
      <c r="A33" s="468"/>
      <c r="B33" s="422" t="s">
        <v>2554</v>
      </c>
      <c r="C33" s="2995">
        <f>'数据-汇总表'!E3</f>
        <v>256595.18999999997</v>
      </c>
      <c r="D33" s="136">
        <v>100</v>
      </c>
      <c r="E33" s="430">
        <v>247000</v>
      </c>
      <c r="F33" s="425">
        <f>LOOKUP(E33,103:103,104:104)-LOOKUP(C33,103:103,104:104)+100</f>
        <v>100</v>
      </c>
      <c r="G33" s="429">
        <v>1040000</v>
      </c>
      <c r="H33" s="136">
        <f>LOOKUP(G33,103:103,104:104)-LOOKUP(C33,103:103,104:104)+100</f>
        <v>108</v>
      </c>
      <c r="I33" s="430">
        <v>1140000</v>
      </c>
      <c r="J33" s="136">
        <f>LOOKUP(I33,103:103,104:104)-LOOKUP(C33,103:103,104:104)+100</f>
        <v>108</v>
      </c>
      <c r="K33" s="2593"/>
      <c r="L33" s="1137"/>
      <c r="M33" s="1140"/>
      <c r="N33" s="1140"/>
      <c r="O33" s="1140"/>
      <c r="P33" s="3254"/>
      <c r="Q33" s="775" t="str">
        <f t="shared" si="11"/>
        <v>项目建筑规模</v>
      </c>
      <c r="R33" s="776" t="s">
        <v>21</v>
      </c>
      <c r="S33" s="777">
        <f t="shared" si="12"/>
        <v>100</v>
      </c>
      <c r="T33" s="776" t="s">
        <v>21</v>
      </c>
      <c r="U33" s="777">
        <f t="shared" si="13"/>
        <v>108</v>
      </c>
      <c r="V33" s="776" t="s">
        <v>21</v>
      </c>
      <c r="W33" s="777">
        <f t="shared" si="14"/>
        <v>108</v>
      </c>
      <c r="X33" s="778"/>
      <c r="Y33" s="3220"/>
      <c r="Z33" s="779" t="str">
        <f t="shared" si="18"/>
        <v>项目建筑规模</v>
      </c>
      <c r="AA33" s="1809">
        <f t="shared" si="15"/>
        <v>1</v>
      </c>
      <c r="AB33" s="1809">
        <f t="shared" si="16"/>
        <v>0.92592592592592593</v>
      </c>
      <c r="AC33" s="1809">
        <f t="shared" si="17"/>
        <v>0.92592592592592593</v>
      </c>
    </row>
    <row r="34" spans="1:29" ht="15">
      <c r="A34" s="472"/>
      <c r="B34" s="422" t="s">
        <v>2555</v>
      </c>
      <c r="C34" s="2611" t="s">
        <v>3237</v>
      </c>
      <c r="D34" s="435">
        <v>100</v>
      </c>
      <c r="E34" s="2612" t="s">
        <v>3237</v>
      </c>
      <c r="F34" s="461">
        <f>SUMIF(105:105,E34,106:106)-SUMIF(105:105,C34,106:106)+100</f>
        <v>100</v>
      </c>
      <c r="G34" s="2611" t="s">
        <v>3237</v>
      </c>
      <c r="H34" s="435">
        <f>SUMIF(105:105,G34,106:106)-SUMIF(105:105,C34,106:106)+100</f>
        <v>100</v>
      </c>
      <c r="I34" s="2612" t="s">
        <v>3237</v>
      </c>
      <c r="J34" s="435">
        <f>SUMIF(105:105,I34,106:106)-SUMIF(105:105,C34,106:106)+100</f>
        <v>100</v>
      </c>
      <c r="K34" s="426">
        <v>2</v>
      </c>
      <c r="L34" s="1139"/>
      <c r="M34" s="1130"/>
      <c r="N34" s="1130"/>
      <c r="O34" s="1130"/>
      <c r="P34" s="3254"/>
      <c r="Q34" s="1808" t="str">
        <f t="shared" si="11"/>
        <v>建筑结构</v>
      </c>
      <c r="R34" s="773" t="s">
        <v>21</v>
      </c>
      <c r="S34" s="774">
        <f t="shared" si="12"/>
        <v>100</v>
      </c>
      <c r="T34" s="773" t="s">
        <v>21</v>
      </c>
      <c r="U34" s="774">
        <f t="shared" si="13"/>
        <v>100</v>
      </c>
      <c r="V34" s="773" t="s">
        <v>21</v>
      </c>
      <c r="W34" s="774">
        <f t="shared" si="14"/>
        <v>100</v>
      </c>
      <c r="X34" s="1811"/>
      <c r="Y34" s="3220"/>
      <c r="Z34" s="1812" t="str">
        <f t="shared" si="18"/>
        <v>建筑结构</v>
      </c>
      <c r="AA34" s="1809">
        <f t="shared" si="15"/>
        <v>1</v>
      </c>
      <c r="AB34" s="1809">
        <f t="shared" si="16"/>
        <v>1</v>
      </c>
      <c r="AC34" s="1809">
        <f t="shared" si="17"/>
        <v>1</v>
      </c>
    </row>
    <row r="35" spans="1:29" ht="15">
      <c r="A35" s="472"/>
      <c r="B35" s="422" t="s">
        <v>2556</v>
      </c>
      <c r="C35" s="2605" t="s">
        <v>3278</v>
      </c>
      <c r="D35" s="435">
        <v>100</v>
      </c>
      <c r="E35" s="2606" t="s">
        <v>3278</v>
      </c>
      <c r="F35" s="461">
        <f>SUMIF(107:107,E35,108:108)-SUMIF(107:107,C35,108:108)+100</f>
        <v>100</v>
      </c>
      <c r="G35" s="2605" t="s">
        <v>3278</v>
      </c>
      <c r="H35" s="435">
        <f>SUMIF(107:107,G35,108:108)-SUMIF(107:107,C35,108:108)+100</f>
        <v>100</v>
      </c>
      <c r="I35" s="2606" t="s">
        <v>3278</v>
      </c>
      <c r="J35" s="435">
        <f>SUMIF(107:107,I35,108:108)-SUMIF(107:107,C35,108:108)+100</f>
        <v>100</v>
      </c>
      <c r="K35" s="426">
        <v>2</v>
      </c>
      <c r="L35" s="1139"/>
      <c r="M35" s="1130"/>
      <c r="N35" s="1130"/>
      <c r="O35" s="1130"/>
      <c r="P35" s="3254"/>
      <c r="Q35" s="1808" t="str">
        <f t="shared" si="11"/>
        <v>建筑品质</v>
      </c>
      <c r="R35" s="773" t="s">
        <v>21</v>
      </c>
      <c r="S35" s="774">
        <f t="shared" si="12"/>
        <v>100</v>
      </c>
      <c r="T35" s="773" t="s">
        <v>21</v>
      </c>
      <c r="U35" s="774">
        <f t="shared" si="13"/>
        <v>100</v>
      </c>
      <c r="V35" s="773" t="s">
        <v>21</v>
      </c>
      <c r="W35" s="774">
        <f t="shared" si="14"/>
        <v>100</v>
      </c>
      <c r="X35" s="1811"/>
      <c r="Y35" s="3220"/>
      <c r="Z35" s="1812" t="str">
        <f t="shared" si="18"/>
        <v>建筑品质</v>
      </c>
      <c r="AA35" s="1809">
        <f t="shared" si="15"/>
        <v>1</v>
      </c>
      <c r="AB35" s="1809">
        <f t="shared" si="16"/>
        <v>1</v>
      </c>
      <c r="AC35" s="1809">
        <f t="shared" si="17"/>
        <v>1</v>
      </c>
    </row>
    <row r="36" spans="1:29" ht="15">
      <c r="A36" s="472"/>
      <c r="B36" s="422" t="s">
        <v>2557</v>
      </c>
      <c r="C36" s="2605" t="s">
        <v>3280</v>
      </c>
      <c r="D36" s="435">
        <v>100</v>
      </c>
      <c r="E36" s="2606" t="s">
        <v>3280</v>
      </c>
      <c r="F36" s="461">
        <f>SUMIF(109:109,E36,110:110)-SUMIF(109:109,C36,110:110)+100</f>
        <v>100</v>
      </c>
      <c r="G36" s="2605" t="s">
        <v>3280</v>
      </c>
      <c r="H36" s="435">
        <f>SUMIF(109:109,G36,110:110)-SUMIF(109:109,C36,110:110)+100</f>
        <v>100</v>
      </c>
      <c r="I36" s="2606" t="s">
        <v>3280</v>
      </c>
      <c r="J36" s="435">
        <f>SUMIF(109:109,I36,110:110)-SUMIF(109:109,C36,110:110)+100</f>
        <v>100</v>
      </c>
      <c r="K36" s="426">
        <v>2</v>
      </c>
      <c r="L36" s="1139"/>
      <c r="M36" s="1130"/>
      <c r="N36" s="1130"/>
      <c r="O36" s="1130"/>
      <c r="P36" s="3254"/>
      <c r="Q36" s="1808" t="str">
        <f t="shared" si="11"/>
        <v>公共部分装修</v>
      </c>
      <c r="R36" s="773" t="s">
        <v>21</v>
      </c>
      <c r="S36" s="774">
        <f t="shared" si="12"/>
        <v>100</v>
      </c>
      <c r="T36" s="773" t="s">
        <v>21</v>
      </c>
      <c r="U36" s="774">
        <f t="shared" si="13"/>
        <v>100</v>
      </c>
      <c r="V36" s="773" t="s">
        <v>21</v>
      </c>
      <c r="W36" s="774">
        <f t="shared" si="14"/>
        <v>100</v>
      </c>
      <c r="X36" s="1811"/>
      <c r="Y36" s="3220"/>
      <c r="Z36" s="1812" t="str">
        <f t="shared" si="18"/>
        <v>公共部分装修</v>
      </c>
      <c r="AA36" s="1809">
        <f t="shared" si="15"/>
        <v>1</v>
      </c>
      <c r="AB36" s="1809">
        <f t="shared" si="16"/>
        <v>1</v>
      </c>
      <c r="AC36" s="1809">
        <f t="shared" si="17"/>
        <v>1</v>
      </c>
    </row>
    <row r="37" spans="1:29" s="117" customFormat="1" ht="15">
      <c r="A37" s="473"/>
      <c r="B37" s="422" t="s">
        <v>2558</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1"/>
      <c r="M37" s="1132"/>
      <c r="N37" s="1132"/>
      <c r="O37" s="1132"/>
      <c r="P37" s="3254"/>
      <c r="Q37" s="1793" t="str">
        <f t="shared" si="11"/>
        <v>成新度</v>
      </c>
      <c r="R37" s="769" t="s">
        <v>21</v>
      </c>
      <c r="S37" s="770">
        <f t="shared" si="12"/>
        <v>100</v>
      </c>
      <c r="T37" s="769" t="s">
        <v>21</v>
      </c>
      <c r="U37" s="770">
        <f t="shared" si="13"/>
        <v>100</v>
      </c>
      <c r="V37" s="769" t="s">
        <v>21</v>
      </c>
      <c r="W37" s="770">
        <f t="shared" si="14"/>
        <v>100</v>
      </c>
      <c r="X37" s="771"/>
      <c r="Y37" s="3220"/>
      <c r="Z37" s="55" t="str">
        <f t="shared" si="18"/>
        <v>成新度</v>
      </c>
      <c r="AA37" s="772">
        <f t="shared" si="15"/>
        <v>1</v>
      </c>
      <c r="AB37" s="772">
        <f t="shared" si="16"/>
        <v>1</v>
      </c>
      <c r="AC37" s="772">
        <f t="shared" si="17"/>
        <v>1</v>
      </c>
    </row>
    <row r="38" spans="1:29" ht="15">
      <c r="A38" s="472"/>
      <c r="B38" s="422" t="s">
        <v>2559</v>
      </c>
      <c r="C38" s="2605" t="s">
        <v>3288</v>
      </c>
      <c r="D38" s="435">
        <v>100</v>
      </c>
      <c r="E38" s="2606" t="s">
        <v>3288</v>
      </c>
      <c r="F38" s="461">
        <f>SUMIF(114:114,E38,115:115)-SUMIF(114:114,C38,115:115)+100</f>
        <v>100</v>
      </c>
      <c r="G38" s="2605" t="s">
        <v>3288</v>
      </c>
      <c r="H38" s="435">
        <f>SUMIF(114:114,G38,115:115)-SUMIF(114:114,C38,115:115)+100</f>
        <v>100</v>
      </c>
      <c r="I38" s="2606" t="s">
        <v>3288</v>
      </c>
      <c r="J38" s="435">
        <f>SUMIF(114:114,I38,115:115)-SUMIF(114:114,C38,115:115)+100</f>
        <v>100</v>
      </c>
      <c r="K38" s="426">
        <v>2</v>
      </c>
      <c r="L38" s="1139"/>
      <c r="M38" s="1130"/>
      <c r="N38" s="1130"/>
      <c r="O38" s="1130"/>
      <c r="P38" s="3254" t="s">
        <v>2553</v>
      </c>
      <c r="Q38" s="1808" t="str">
        <f t="shared" si="11"/>
        <v>物业管理</v>
      </c>
      <c r="R38" s="773" t="s">
        <v>21</v>
      </c>
      <c r="S38" s="774">
        <f t="shared" si="12"/>
        <v>100</v>
      </c>
      <c r="T38" s="773" t="s">
        <v>21</v>
      </c>
      <c r="U38" s="774">
        <f t="shared" si="13"/>
        <v>100</v>
      </c>
      <c r="V38" s="773" t="s">
        <v>21</v>
      </c>
      <c r="W38" s="774">
        <f t="shared" si="14"/>
        <v>100</v>
      </c>
      <c r="X38" s="1811"/>
      <c r="Y38" s="3220" t="s">
        <v>2553</v>
      </c>
      <c r="Z38" s="1812" t="str">
        <f t="shared" si="18"/>
        <v>物业管理</v>
      </c>
      <c r="AA38" s="1809">
        <f t="shared" si="15"/>
        <v>1</v>
      </c>
      <c r="AB38" s="1809">
        <f t="shared" si="16"/>
        <v>1</v>
      </c>
      <c r="AC38" s="1809">
        <f t="shared" si="17"/>
        <v>1</v>
      </c>
    </row>
    <row r="39" spans="1:29" ht="15">
      <c r="A39" s="472"/>
      <c r="B39" s="422" t="s">
        <v>2560</v>
      </c>
      <c r="C39" s="2605" t="s">
        <v>3292</v>
      </c>
      <c r="D39" s="435">
        <v>100</v>
      </c>
      <c r="E39" s="2606" t="s">
        <v>3292</v>
      </c>
      <c r="F39" s="461">
        <f>SUMIF(116:116,E39,117:117)-SUMIF(116:116,C39,117:117)+100</f>
        <v>100</v>
      </c>
      <c r="G39" s="2605" t="s">
        <v>3292</v>
      </c>
      <c r="H39" s="435">
        <f>SUMIF(116:116,G39,117:117)-SUMIF(116:116,C39,117:117)+100</f>
        <v>100</v>
      </c>
      <c r="I39" s="2606" t="s">
        <v>3292</v>
      </c>
      <c r="J39" s="435">
        <f>SUMIF(116:116,I39,117:117)-SUMIF(116:116,C39,117:117)+100</f>
        <v>100</v>
      </c>
      <c r="K39" s="426">
        <v>2</v>
      </c>
      <c r="L39" s="1139"/>
      <c r="M39" s="1130"/>
      <c r="N39" s="1130"/>
      <c r="O39" s="1130"/>
      <c r="P39" s="3254"/>
      <c r="Q39" s="1808" t="str">
        <f t="shared" si="11"/>
        <v>市政基础设施</v>
      </c>
      <c r="R39" s="773" t="s">
        <v>21</v>
      </c>
      <c r="S39" s="774">
        <f t="shared" si="12"/>
        <v>100</v>
      </c>
      <c r="T39" s="773" t="s">
        <v>21</v>
      </c>
      <c r="U39" s="774">
        <f t="shared" si="13"/>
        <v>100</v>
      </c>
      <c r="V39" s="773" t="s">
        <v>21</v>
      </c>
      <c r="W39" s="774">
        <f t="shared" si="14"/>
        <v>100</v>
      </c>
      <c r="X39" s="1811"/>
      <c r="Y39" s="3220"/>
      <c r="Z39" s="1812" t="str">
        <f t="shared" si="18"/>
        <v>市政基础设施</v>
      </c>
      <c r="AA39" s="1809">
        <f t="shared" si="15"/>
        <v>1</v>
      </c>
      <c r="AB39" s="1809">
        <f t="shared" si="16"/>
        <v>1</v>
      </c>
      <c r="AC39" s="1809">
        <f t="shared" si="17"/>
        <v>1</v>
      </c>
    </row>
    <row r="40" spans="1:29" ht="15" hidden="1">
      <c r="A40" s="472"/>
      <c r="B40" s="422" t="s">
        <v>2561</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v>0</v>
      </c>
      <c r="L40" s="1139"/>
      <c r="M40" s="1130"/>
      <c r="N40" s="1130"/>
      <c r="O40" s="1130"/>
      <c r="P40" s="3254"/>
      <c r="Q40" s="1808" t="str">
        <f t="shared" si="11"/>
        <v>房型</v>
      </c>
      <c r="R40" s="773" t="s">
        <v>21</v>
      </c>
      <c r="S40" s="774">
        <f t="shared" si="12"/>
        <v>100</v>
      </c>
      <c r="T40" s="773" t="s">
        <v>21</v>
      </c>
      <c r="U40" s="774">
        <f t="shared" si="13"/>
        <v>100</v>
      </c>
      <c r="V40" s="773" t="s">
        <v>21</v>
      </c>
      <c r="W40" s="774">
        <f t="shared" si="14"/>
        <v>100</v>
      </c>
      <c r="X40" s="1811"/>
      <c r="Y40" s="3220"/>
      <c r="Z40" s="1812" t="str">
        <f t="shared" si="18"/>
        <v>房型</v>
      </c>
      <c r="AA40" s="1809">
        <f t="shared" si="15"/>
        <v>1</v>
      </c>
      <c r="AB40" s="1809">
        <f t="shared" si="16"/>
        <v>1</v>
      </c>
      <c r="AC40" s="1809">
        <f t="shared" si="17"/>
        <v>1</v>
      </c>
    </row>
    <row r="41" spans="1:29" s="471" customFormat="1" ht="28.5" hidden="1">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7"/>
      <c r="M41" s="1140"/>
      <c r="N41" s="1140"/>
      <c r="O41" s="1140"/>
      <c r="P41" s="3254"/>
      <c r="Q41" s="775" t="str">
        <f t="shared" si="11"/>
        <v>单套/主力户型建筑面积</v>
      </c>
      <c r="R41" s="776" t="s">
        <v>21</v>
      </c>
      <c r="S41" s="777">
        <f t="shared" si="12"/>
        <v>100</v>
      </c>
      <c r="T41" s="776" t="s">
        <v>21</v>
      </c>
      <c r="U41" s="777">
        <f t="shared" si="13"/>
        <v>100</v>
      </c>
      <c r="V41" s="776" t="s">
        <v>21</v>
      </c>
      <c r="W41" s="777">
        <f t="shared" si="14"/>
        <v>100</v>
      </c>
      <c r="X41" s="778"/>
      <c r="Y41" s="3220"/>
      <c r="Z41" s="779" t="str">
        <f t="shared" si="18"/>
        <v>单套/主力户型建筑面积</v>
      </c>
      <c r="AA41" s="1809">
        <f t="shared" si="15"/>
        <v>1</v>
      </c>
      <c r="AB41" s="1809">
        <f t="shared" si="16"/>
        <v>1</v>
      </c>
      <c r="AC41" s="1809">
        <f t="shared" si="17"/>
        <v>1</v>
      </c>
    </row>
    <row r="42" spans="1:29" ht="15">
      <c r="A42" s="472"/>
      <c r="B42" s="422" t="s">
        <v>2563</v>
      </c>
      <c r="C42" s="2605" t="s">
        <v>3286</v>
      </c>
      <c r="D42" s="435">
        <v>100</v>
      </c>
      <c r="E42" s="2606" t="s">
        <v>3284</v>
      </c>
      <c r="F42" s="461">
        <f>SUMIF(122:122,E42,123:123)-SUMIF(122:122,C42,123:123)+100</f>
        <v>102</v>
      </c>
      <c r="G42" s="2605" t="s">
        <v>3286</v>
      </c>
      <c r="H42" s="435">
        <f>SUMIF(122:122,G42,123:123)-SUMIF(122:122,C42,123:123)+100</f>
        <v>100</v>
      </c>
      <c r="I42" s="2606" t="s">
        <v>3286</v>
      </c>
      <c r="J42" s="435">
        <f>SUMIF(122:122,I42,123:123)-SUMIF(122:122,C42,123:123)+100</f>
        <v>100</v>
      </c>
      <c r="K42" s="426">
        <v>2</v>
      </c>
      <c r="L42" s="1139"/>
      <c r="M42" s="1130"/>
      <c r="N42" s="1130"/>
      <c r="O42" s="1130"/>
      <c r="P42" s="3254"/>
      <c r="Q42" s="1808" t="str">
        <f t="shared" si="11"/>
        <v>内部装修</v>
      </c>
      <c r="R42" s="773" t="s">
        <v>21</v>
      </c>
      <c r="S42" s="774">
        <f t="shared" si="12"/>
        <v>102</v>
      </c>
      <c r="T42" s="773" t="s">
        <v>21</v>
      </c>
      <c r="U42" s="774">
        <f t="shared" si="13"/>
        <v>100</v>
      </c>
      <c r="V42" s="773" t="s">
        <v>21</v>
      </c>
      <c r="W42" s="774">
        <f t="shared" si="14"/>
        <v>100</v>
      </c>
      <c r="X42" s="1811"/>
      <c r="Y42" s="3220"/>
      <c r="Z42" s="1812" t="str">
        <f t="shared" si="18"/>
        <v>内部装修</v>
      </c>
      <c r="AA42" s="1809">
        <f t="shared" si="15"/>
        <v>0.98039215686274506</v>
      </c>
      <c r="AB42" s="1809">
        <f t="shared" si="16"/>
        <v>1</v>
      </c>
      <c r="AC42" s="1809">
        <f t="shared" si="17"/>
        <v>1</v>
      </c>
    </row>
    <row r="43" spans="1:29" ht="15.75" thickBot="1">
      <c r="A43" s="472"/>
      <c r="B43" s="422" t="s">
        <v>2564</v>
      </c>
      <c r="C43" s="2605" t="s">
        <v>3323</v>
      </c>
      <c r="D43" s="435">
        <v>100</v>
      </c>
      <c r="E43" s="2606" t="s">
        <v>3323</v>
      </c>
      <c r="F43" s="461">
        <f>SUMIF(124:124,E43,125:125)-SUMIF(124:124,C43,125:125)+100</f>
        <v>100</v>
      </c>
      <c r="G43" s="2605" t="s">
        <v>3323</v>
      </c>
      <c r="H43" s="435">
        <f>SUMIF(124:124,G43,125:125)-SUMIF(124:124,C43,125:125)+100</f>
        <v>100</v>
      </c>
      <c r="I43" s="2606" t="s">
        <v>3323</v>
      </c>
      <c r="J43" s="435">
        <f>SUMIF(124:124,I43,125:125)-SUMIF(124:124,C43,125:125)+100</f>
        <v>100</v>
      </c>
      <c r="K43" s="426">
        <v>2</v>
      </c>
      <c r="L43" s="1139"/>
      <c r="M43" s="1130"/>
      <c r="N43" s="1130"/>
      <c r="O43" s="1130"/>
      <c r="P43" s="3254"/>
      <c r="Q43" s="1808" t="str">
        <f t="shared" si="11"/>
        <v>内部装修维护情况</v>
      </c>
      <c r="R43" s="773" t="s">
        <v>21</v>
      </c>
      <c r="S43" s="774">
        <f t="shared" si="12"/>
        <v>100</v>
      </c>
      <c r="T43" s="773" t="s">
        <v>21</v>
      </c>
      <c r="U43" s="774">
        <f t="shared" si="13"/>
        <v>100</v>
      </c>
      <c r="V43" s="773" t="s">
        <v>21</v>
      </c>
      <c r="W43" s="774">
        <f t="shared" si="14"/>
        <v>100</v>
      </c>
      <c r="X43" s="1811"/>
      <c r="Y43" s="3220"/>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1"/>
      <c r="M44" s="1132"/>
      <c r="N44" s="1132"/>
      <c r="O44" s="1132"/>
      <c r="P44" s="3254"/>
      <c r="Q44" s="1793">
        <f t="shared" si="11"/>
        <v>111</v>
      </c>
      <c r="R44" s="769" t="s">
        <v>21</v>
      </c>
      <c r="S44" s="770">
        <f t="shared" si="12"/>
        <v>100</v>
      </c>
      <c r="T44" s="769" t="s">
        <v>21</v>
      </c>
      <c r="U44" s="770">
        <f t="shared" si="13"/>
        <v>100</v>
      </c>
      <c r="V44" s="769" t="s">
        <v>21</v>
      </c>
      <c r="W44" s="770">
        <f t="shared" si="14"/>
        <v>100</v>
      </c>
      <c r="X44" s="771"/>
      <c r="Y44" s="3220"/>
      <c r="Z44" s="55">
        <f t="shared" si="18"/>
        <v>111</v>
      </c>
      <c r="AA44" s="772">
        <f t="shared" si="15"/>
        <v>1</v>
      </c>
      <c r="AB44" s="772">
        <f t="shared" si="16"/>
        <v>1</v>
      </c>
      <c r="AC44" s="772">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9"/>
      <c r="M45" s="1130"/>
      <c r="N45" s="1130"/>
      <c r="O45" s="1130"/>
      <c r="P45" s="3254"/>
      <c r="Q45" s="1808">
        <f t="shared" si="11"/>
        <v>111</v>
      </c>
      <c r="R45" s="773" t="s">
        <v>21</v>
      </c>
      <c r="S45" s="774">
        <f t="shared" si="12"/>
        <v>100</v>
      </c>
      <c r="T45" s="773" t="s">
        <v>21</v>
      </c>
      <c r="U45" s="774">
        <f t="shared" si="13"/>
        <v>100</v>
      </c>
      <c r="V45" s="773" t="s">
        <v>21</v>
      </c>
      <c r="W45" s="774">
        <f t="shared" si="14"/>
        <v>100</v>
      </c>
      <c r="X45" s="1811"/>
      <c r="Y45" s="3220"/>
      <c r="Z45" s="1812">
        <f t="shared" si="18"/>
        <v>111</v>
      </c>
      <c r="AA45" s="1809">
        <f t="shared" si="15"/>
        <v>1</v>
      </c>
      <c r="AB45" s="1809">
        <f t="shared" si="16"/>
        <v>1</v>
      </c>
      <c r="AC45" s="1809">
        <f t="shared" si="17"/>
        <v>1</v>
      </c>
    </row>
    <row r="46" spans="1:29" ht="15.75"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9"/>
      <c r="M46" s="1130"/>
      <c r="N46" s="1130"/>
      <c r="O46" s="1130"/>
      <c r="P46" s="3255"/>
      <c r="Q46" s="1808">
        <f t="shared" si="11"/>
        <v>111</v>
      </c>
      <c r="R46" s="773" t="s">
        <v>20</v>
      </c>
      <c r="S46" s="774">
        <f t="shared" si="12"/>
        <v>100</v>
      </c>
      <c r="T46" s="773" t="s">
        <v>20</v>
      </c>
      <c r="U46" s="774">
        <f t="shared" si="13"/>
        <v>100</v>
      </c>
      <c r="V46" s="773" t="s">
        <v>20</v>
      </c>
      <c r="W46" s="774">
        <f t="shared" si="14"/>
        <v>100</v>
      </c>
      <c r="X46" s="1811"/>
      <c r="Y46" s="3256"/>
      <c r="Z46" s="1812">
        <f t="shared" si="18"/>
        <v>111</v>
      </c>
      <c r="AA46" s="1809">
        <f t="shared" si="15"/>
        <v>1</v>
      </c>
      <c r="AB46" s="1809">
        <f t="shared" si="16"/>
        <v>1</v>
      </c>
      <c r="AC46" s="1809">
        <f t="shared" si="17"/>
        <v>1</v>
      </c>
    </row>
    <row r="47" spans="1:29" ht="15">
      <c r="A47" s="479" t="s">
        <v>2565</v>
      </c>
      <c r="B47" s="480"/>
      <c r="C47" s="1406" t="s">
        <v>19</v>
      </c>
      <c r="D47" s="1407"/>
      <c r="E47" s="1408">
        <v>6600</v>
      </c>
      <c r="F47" s="1409"/>
      <c r="G47" s="1410">
        <v>7300</v>
      </c>
      <c r="H47" s="1411"/>
      <c r="I47" s="1408">
        <v>7350</v>
      </c>
      <c r="J47" s="1411"/>
      <c r="K47" s="2613"/>
      <c r="L47" s="1142"/>
      <c r="M47" s="1143"/>
      <c r="N47" s="1130"/>
      <c r="O47" s="1143"/>
      <c r="P47" s="3215" t="str">
        <f>A47</f>
        <v>成交单价（元/平方米）</v>
      </c>
      <c r="Q47" s="3215"/>
      <c r="R47" s="3252">
        <f>E47</f>
        <v>6600</v>
      </c>
      <c r="S47" s="3252"/>
      <c r="T47" s="3252">
        <f>G47</f>
        <v>7300</v>
      </c>
      <c r="U47" s="3252"/>
      <c r="V47" s="3252">
        <f>I47</f>
        <v>7350</v>
      </c>
      <c r="W47" s="3252"/>
      <c r="X47" s="758"/>
      <c r="Y47" s="780"/>
      <c r="Z47" s="758"/>
      <c r="AA47" s="758"/>
      <c r="AB47" s="758"/>
      <c r="AC47" s="758"/>
    </row>
    <row r="48" spans="1:29" ht="15.75" thickBot="1">
      <c r="A48" s="486" t="s">
        <v>2566</v>
      </c>
      <c r="B48" s="487"/>
      <c r="C48" s="1412">
        <f>R49</f>
        <v>6541</v>
      </c>
      <c r="D48" s="1413"/>
      <c r="E48" s="1414">
        <f>R48</f>
        <v>5985</v>
      </c>
      <c r="F48" s="1414"/>
      <c r="G48" s="1412">
        <f>T48</f>
        <v>6897</v>
      </c>
      <c r="H48" s="1413"/>
      <c r="I48" s="1414">
        <f>V48</f>
        <v>6742</v>
      </c>
      <c r="J48" s="1413"/>
      <c r="K48" s="2614"/>
      <c r="L48" s="1142"/>
      <c r="M48" s="1143"/>
      <c r="N48" s="1143"/>
      <c r="O48" s="1143"/>
      <c r="P48" s="3215" t="str">
        <f>A48</f>
        <v>比较价值（元/平方米）</v>
      </c>
      <c r="Q48" s="3215"/>
      <c r="R48" s="3252">
        <f>IF(F1="售价",ROUND(PRODUCT(R47,AA7:AA46),0),ROUND(PRODUCT(R47,AA7:AA46),1))</f>
        <v>5985</v>
      </c>
      <c r="S48" s="3252"/>
      <c r="T48" s="3252">
        <f>IF(F1="售价",ROUND(PRODUCT(T47,AB7:AB46),0),ROUND(PRODUCT(T47,AB7:AB46),1))</f>
        <v>6897</v>
      </c>
      <c r="U48" s="3252"/>
      <c r="V48" s="3252">
        <f>IF(F1="售价",ROUND(PRODUCT(V47,AC7:AC46),0),ROUND(PRODUCT(V47,AC7:AC46),1))</f>
        <v>6742</v>
      </c>
      <c r="W48" s="3252"/>
      <c r="X48" s="758"/>
      <c r="Y48" s="758"/>
      <c r="Z48" s="758"/>
      <c r="AA48" s="758"/>
      <c r="AB48" s="758"/>
      <c r="AC48" s="758"/>
    </row>
    <row r="49" spans="1:29" ht="15.75" thickBot="1">
      <c r="A49" s="492" t="s">
        <v>2567</v>
      </c>
      <c r="B49" s="493"/>
      <c r="C49" s="1415">
        <f>R49</f>
        <v>6541</v>
      </c>
      <c r="D49" s="1416"/>
      <c r="E49" s="1416"/>
      <c r="F49" s="1416"/>
      <c r="G49" s="1416"/>
      <c r="H49" s="1416"/>
      <c r="I49" s="1416"/>
      <c r="J49" s="1416"/>
      <c r="K49" s="2615"/>
      <c r="L49" s="1142"/>
      <c r="M49" s="1143"/>
      <c r="N49" s="1143"/>
      <c r="O49" s="1143"/>
      <c r="P49" s="3209" t="str">
        <f>A49</f>
        <v>估价对象XX用房的比较价值（楼面单价，元/平方米）</v>
      </c>
      <c r="Q49" s="3210"/>
      <c r="R49" s="3251">
        <f>IF(F1="售价",ROUND(AVERAGE(R48:V48),0),ROUND(AVERAGE(R48:V48),1))</f>
        <v>6541</v>
      </c>
      <c r="S49" s="3251"/>
      <c r="T49" s="3251"/>
      <c r="U49" s="3251"/>
      <c r="V49" s="3251"/>
      <c r="W49" s="325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2568</v>
      </c>
      <c r="D52" s="498"/>
      <c r="E52" s="499">
        <f>IF(E47&lt;E48,E48/E47-1,E47/E48-1)</f>
        <v>0.10275689223057638</v>
      </c>
      <c r="F52" s="500" t="str">
        <f>IF(OR(E52&gt;=0.3,E52&lt;=-0.3),"超过30%","")</f>
        <v/>
      </c>
      <c r="G52" s="499">
        <f>IF(G47&lt;G48,G48/G47-1,G47/G48-1)</f>
        <v>5.8431201971871793E-2</v>
      </c>
      <c r="H52" s="500" t="str">
        <f>IF(OR(G52&gt;=0.3,G52&lt;=-0.3),"超过30%","")</f>
        <v/>
      </c>
      <c r="I52" s="499">
        <f>IF(I47&lt;I48,I48/I47-1,I47/I48-1)</f>
        <v>9.018095520617031E-2</v>
      </c>
      <c r="J52" s="500" t="str">
        <f>IF(OR(I52&gt;=0.3,I52&lt;=-0.3),"超过30%","")</f>
        <v/>
      </c>
      <c r="K52" s="1104"/>
      <c r="L52" s="1105"/>
      <c r="M52" s="1143"/>
      <c r="N52" s="1143"/>
      <c r="O52" s="1143"/>
    </row>
    <row r="53" spans="1:29" ht="13.5" customHeight="1">
      <c r="A53" s="1143"/>
      <c r="B53" s="1143"/>
      <c r="C53" s="497" t="s">
        <v>2569</v>
      </c>
      <c r="D53" s="501"/>
      <c r="E53" s="499">
        <f>IF(E48&lt;G48,G48/E48-1,E48/G48-1)</f>
        <v>0.15238095238095228</v>
      </c>
      <c r="F53" s="500" t="str">
        <f>IF(OR(E53&gt;=0.2,E53&lt;=-0.2),"超过20%","")</f>
        <v/>
      </c>
      <c r="G53" s="499">
        <f>IF(G48&lt;I48,I48/G48-1,G48/I48-1)</f>
        <v>2.2990210619993956E-2</v>
      </c>
      <c r="H53" s="500" t="str">
        <f>IF(OR(G53&gt;=0.2,G53&lt;=-0.2),"超过20%","")</f>
        <v/>
      </c>
      <c r="I53" s="499">
        <f>IF(I48&lt;E48,E48/I48-1,I48/E48-1)</f>
        <v>0.12648287385129486</v>
      </c>
      <c r="J53" s="500" t="str">
        <f>IF(OR(I53&gt;=0.2,I53&lt;=-0.2),"超过20%","")</f>
        <v/>
      </c>
      <c r="K53" s="1104"/>
      <c r="L53" s="1105"/>
      <c r="M53" s="1143"/>
      <c r="N53" s="1143"/>
      <c r="O53" s="1143"/>
    </row>
    <row r="54" spans="1:29" s="502" customFormat="1" ht="13.5" customHeight="1">
      <c r="A54" s="1144"/>
      <c r="B54" s="1144"/>
      <c r="C54" s="497" t="s">
        <v>2570</v>
      </c>
      <c r="D54" s="501"/>
      <c r="E54" s="499">
        <f>IF(E47&lt;G47,G47/E47-1,E47/G47-1)</f>
        <v>0.10606060606060597</v>
      </c>
      <c r="F54" s="500" t="str">
        <f>IF(OR(E54&gt;=0.3,E54&lt;=-0.3),"超过30%","")</f>
        <v/>
      </c>
      <c r="G54" s="499">
        <f>IF(G47&lt;I47,I47/G47-1,G47/I47-1)</f>
        <v>6.8493150684931781E-3</v>
      </c>
      <c r="H54" s="500" t="str">
        <f>IF(OR(G54&gt;=0.3,G54&lt;=-0.3),"超过30%","")</f>
        <v/>
      </c>
      <c r="I54" s="499">
        <f>IF(I47&lt;E47,E47/I47-1,I47/E47-1)</f>
        <v>0.11363636363636354</v>
      </c>
      <c r="J54" s="500" t="str">
        <f>IF(OR(I54&gt;=0.3,I54&lt;=-0.3),"超过30%","")</f>
        <v/>
      </c>
      <c r="K54" s="1147"/>
      <c r="L54" s="1148"/>
      <c r="M54" s="1144"/>
      <c r="N54" s="1144"/>
      <c r="O54" s="1144"/>
      <c r="P54" s="2617"/>
    </row>
    <row r="55" spans="1:29" s="502" customFormat="1">
      <c r="A55" s="1144"/>
      <c r="B55" s="1145"/>
      <c r="C55" s="1149"/>
      <c r="D55" s="1144"/>
      <c r="E55" s="1144"/>
      <c r="F55" s="1144"/>
      <c r="G55" s="1144"/>
      <c r="H55" s="1144"/>
      <c r="I55" s="1144"/>
      <c r="J55" s="1144"/>
      <c r="K55" s="1147"/>
      <c r="L55" s="1148"/>
      <c r="M55" s="1144"/>
      <c r="N55" s="1144"/>
      <c r="O55" s="1144"/>
      <c r="P55" s="2617"/>
    </row>
    <row r="56" spans="1:29">
      <c r="A56" s="1143"/>
      <c r="B56" s="1145"/>
      <c r="C56" s="1149"/>
      <c r="D56" s="1143"/>
      <c r="E56" s="1143"/>
      <c r="F56" s="1143"/>
      <c r="G56" s="1143"/>
      <c r="H56" s="1143"/>
      <c r="I56" s="1143"/>
      <c r="J56" s="1143"/>
      <c r="K56" s="1104"/>
      <c r="L56" s="1105"/>
      <c r="M56" s="1143"/>
      <c r="N56" s="1143"/>
      <c r="O56" s="1143"/>
    </row>
    <row r="57" spans="1:29" ht="21.75" thickBot="1">
      <c r="A57" s="762" t="s">
        <v>2571</v>
      </c>
      <c r="B57" s="758"/>
      <c r="C57" s="763"/>
      <c r="D57" s="763"/>
      <c r="E57" s="763"/>
      <c r="F57" s="764"/>
      <c r="G57" s="764"/>
      <c r="H57" s="763"/>
      <c r="I57" s="763"/>
      <c r="J57" s="763"/>
      <c r="K57" s="1159"/>
      <c r="L57" s="1160"/>
      <c r="M57" s="1158"/>
      <c r="N57" s="1158"/>
      <c r="O57" s="1158"/>
      <c r="P57" s="2618"/>
      <c r="Q57" s="504"/>
    </row>
    <row r="58" spans="1:29" s="508" customFormat="1" ht="15">
      <c r="A58" s="505" t="s">
        <v>2572</v>
      </c>
      <c r="B58" s="506"/>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ht="15">
      <c r="A59" s="509"/>
      <c r="B59" s="2619"/>
      <c r="C59" s="1571">
        <v>100</v>
      </c>
      <c r="D59" s="511">
        <v>99</v>
      </c>
      <c r="E59" s="512">
        <v>98</v>
      </c>
      <c r="F59" s="512">
        <v>97</v>
      </c>
      <c r="G59" s="511">
        <v>96</v>
      </c>
      <c r="H59" s="512">
        <v>95</v>
      </c>
      <c r="I59" s="512">
        <v>94</v>
      </c>
      <c r="J59" s="511">
        <v>93</v>
      </c>
      <c r="K59" s="512">
        <v>92</v>
      </c>
      <c r="L59" s="512">
        <v>91</v>
      </c>
      <c r="M59" s="511">
        <v>90</v>
      </c>
      <c r="N59" s="512">
        <v>89</v>
      </c>
      <c r="O59" s="512">
        <v>88</v>
      </c>
      <c r="P59" s="2620"/>
    </row>
    <row r="60" spans="1:29" s="117" customFormat="1" ht="15.75" thickBot="1">
      <c r="A60" s="515" t="s">
        <v>2573</v>
      </c>
      <c r="B60" s="516"/>
      <c r="C60" s="517"/>
      <c r="D60" s="518"/>
      <c r="E60" s="518"/>
      <c r="F60" s="518"/>
      <c r="G60" s="518"/>
      <c r="H60" s="518"/>
      <c r="I60" s="518"/>
      <c r="J60" s="518"/>
      <c r="K60" s="518"/>
      <c r="L60" s="518"/>
      <c r="M60" s="519"/>
      <c r="N60" s="518"/>
      <c r="O60" s="519"/>
      <c r="P60" s="2620"/>
      <c r="Q60" s="504"/>
    </row>
    <row r="61" spans="1:29" s="117" customFormat="1" ht="15">
      <c r="A61" s="521" t="s">
        <v>2574</v>
      </c>
      <c r="B61" s="510"/>
      <c r="C61" s="522" t="s">
        <v>2575</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2576</v>
      </c>
      <c r="B63" s="528" t="s">
        <v>2542</v>
      </c>
      <c r="C63" s="529" t="str">
        <f>C9</f>
        <v>住宅</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2"/>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2"/>
      <c r="O66" s="1152"/>
      <c r="P66" s="2622"/>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2"/>
      <c r="Q67" s="504"/>
    </row>
    <row r="68" spans="1:17" ht="15">
      <c r="A68" s="534"/>
      <c r="B68" s="548"/>
      <c r="C68" s="549">
        <v>0</v>
      </c>
      <c r="D68" s="549">
        <v>1</v>
      </c>
      <c r="E68" s="549">
        <v>2</v>
      </c>
      <c r="F68" s="549">
        <v>3</v>
      </c>
      <c r="G68" s="549">
        <v>4</v>
      </c>
      <c r="H68" s="549"/>
      <c r="I68" s="549"/>
      <c r="J68" s="549"/>
      <c r="K68" s="550"/>
      <c r="L68" s="551"/>
      <c r="M68" s="552"/>
      <c r="N68" s="1151"/>
      <c r="O68" s="1151"/>
      <c r="P68" s="2622"/>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60"/>
      <c r="E73" s="560"/>
      <c r="F73" s="560"/>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2"/>
      <c r="Q81" s="504"/>
    </row>
    <row r="82" spans="1:17" ht="15.75" thickTop="1">
      <c r="A82" s="534"/>
      <c r="B82" s="546" t="s">
        <v>2088</v>
      </c>
      <c r="C82" s="539" t="s">
        <v>2592</v>
      </c>
      <c r="D82" s="539" t="s">
        <v>2593</v>
      </c>
      <c r="E82" s="539" t="s">
        <v>2594</v>
      </c>
      <c r="F82" s="539" t="s">
        <v>2595</v>
      </c>
      <c r="G82" s="539" t="s">
        <v>2596</v>
      </c>
      <c r="H82" s="539"/>
      <c r="I82" s="539"/>
      <c r="J82" s="539"/>
      <c r="K82" s="539"/>
      <c r="L82" s="539"/>
      <c r="M82" s="1381"/>
      <c r="N82" s="1152"/>
      <c r="O82" s="1152"/>
      <c r="P82" s="2622"/>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2"/>
      <c r="O83" s="1152"/>
      <c r="P83" s="262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2"/>
      <c r="Q85" s="504"/>
    </row>
    <row r="86" spans="1:17" s="117" customFormat="1" ht="15.75" thickTop="1">
      <c r="A86" s="579"/>
      <c r="B86" s="538" t="s">
        <v>2598</v>
      </c>
      <c r="C86" s="554"/>
      <c r="D86" s="554"/>
      <c r="E86" s="554"/>
      <c r="F86" s="554"/>
      <c r="G86" s="554"/>
      <c r="H86" s="554"/>
      <c r="I86" s="554"/>
      <c r="J86" s="554"/>
      <c r="K86" s="554"/>
      <c r="L86" s="580"/>
      <c r="M86" s="581"/>
      <c r="N86" s="1150"/>
      <c r="O86" s="1150"/>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2"/>
      <c r="Q87" s="504"/>
    </row>
    <row r="88" spans="1:17" s="117" customFormat="1" ht="15.75" thickTop="1">
      <c r="A88" s="579"/>
      <c r="B88" s="538" t="s">
        <v>2599</v>
      </c>
      <c r="C88" s="554"/>
      <c r="D88" s="554"/>
      <c r="E88" s="554"/>
      <c r="F88" s="2627"/>
      <c r="G88" s="554"/>
      <c r="H88" s="554"/>
      <c r="I88" s="554"/>
      <c r="J88" s="554"/>
      <c r="K88" s="554"/>
      <c r="L88" s="554"/>
      <c r="M88" s="581"/>
      <c r="N88" s="1150"/>
      <c r="O88" s="1150"/>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2"/>
      <c r="Q89" s="504"/>
    </row>
    <row r="90" spans="1:17" s="471" customFormat="1" ht="15.75" thickTop="1">
      <c r="A90" s="553"/>
      <c r="B90" s="538">
        <f>B27</f>
        <v>111</v>
      </c>
      <c r="C90" s="554"/>
      <c r="D90" s="554"/>
      <c r="E90" s="554"/>
      <c r="F90" s="554"/>
      <c r="G90" s="554"/>
      <c r="H90" s="555"/>
      <c r="I90" s="555"/>
      <c r="J90" s="555"/>
      <c r="K90" s="555"/>
      <c r="L90" s="556"/>
      <c r="M90" s="557"/>
      <c r="N90" s="1153"/>
      <c r="O90" s="1153"/>
      <c r="P90" s="2623"/>
      <c r="Q90" s="559"/>
    </row>
    <row r="91" spans="1:17" s="471" customFormat="1" ht="15.75" thickBot="1">
      <c r="A91" s="553"/>
      <c r="B91" s="543"/>
      <c r="C91" s="560"/>
      <c r="D91" s="560"/>
      <c r="E91" s="560"/>
      <c r="F91" s="560"/>
      <c r="G91" s="560"/>
      <c r="H91" s="562"/>
      <c r="I91" s="562"/>
      <c r="J91" s="562"/>
      <c r="K91" s="562"/>
      <c r="L91" s="562"/>
      <c r="M91" s="563"/>
      <c r="N91" s="1153"/>
      <c r="O91" s="1153"/>
      <c r="P91" s="2623"/>
      <c r="Q91" s="559"/>
    </row>
    <row r="92" spans="1:17" ht="15.75" thickTop="1">
      <c r="A92" s="534"/>
      <c r="B92" s="538">
        <f>B28</f>
        <v>111</v>
      </c>
      <c r="C92" s="554"/>
      <c r="D92" s="554"/>
      <c r="E92" s="554"/>
      <c r="F92" s="554"/>
      <c r="G92" s="583"/>
      <c r="H92" s="583"/>
      <c r="I92" s="583"/>
      <c r="J92" s="583"/>
      <c r="K92" s="584"/>
      <c r="L92" s="585"/>
      <c r="M92" s="586"/>
      <c r="N92" s="1151"/>
      <c r="O92" s="1151"/>
      <c r="P92" s="2622"/>
      <c r="Q92" s="504"/>
    </row>
    <row r="93" spans="1:17" ht="15.75" thickBot="1">
      <c r="A93" s="534"/>
      <c r="B93" s="543"/>
      <c r="C93" s="560"/>
      <c r="D93" s="536"/>
      <c r="E93" s="536"/>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60"/>
      <c r="E95" s="560"/>
      <c r="F95" s="560"/>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70"/>
      <c r="D97" s="570"/>
      <c r="E97" s="570"/>
      <c r="F97" s="570"/>
      <c r="G97" s="536"/>
      <c r="H97" s="536"/>
      <c r="I97" s="536"/>
      <c r="J97" s="536"/>
      <c r="K97" s="536"/>
      <c r="L97" s="536"/>
      <c r="M97" s="537"/>
      <c r="N97" s="1152"/>
      <c r="O97" s="1152"/>
      <c r="P97" s="2622"/>
      <c r="Q97" s="504"/>
    </row>
    <row r="98" spans="1:17" ht="15.75" thickTop="1">
      <c r="A98" s="534"/>
      <c r="B98" s="546">
        <f>B31</f>
        <v>111</v>
      </c>
      <c r="C98" s="587"/>
      <c r="D98" s="587"/>
      <c r="E98" s="587"/>
      <c r="F98" s="587"/>
      <c r="G98" s="587"/>
      <c r="H98" s="587"/>
      <c r="I98" s="587"/>
      <c r="J98" s="587"/>
      <c r="K98" s="588"/>
      <c r="L98" s="589"/>
      <c r="M98" s="590"/>
      <c r="N98" s="1151"/>
      <c r="O98" s="1151"/>
      <c r="P98" s="2622"/>
      <c r="Q98" s="504"/>
    </row>
    <row r="99" spans="1:17" ht="15.75" thickBot="1">
      <c r="A99" s="2628"/>
      <c r="B99" s="569"/>
      <c r="C99" s="591"/>
      <c r="D99" s="591"/>
      <c r="E99" s="591"/>
      <c r="F99" s="591"/>
      <c r="G99" s="591"/>
      <c r="H99" s="591"/>
      <c r="I99" s="591"/>
      <c r="J99" s="591"/>
      <c r="K99" s="591"/>
      <c r="L99" s="591"/>
      <c r="M99" s="592"/>
      <c r="N99" s="1152"/>
      <c r="O99" s="1152"/>
      <c r="P99" s="2622"/>
      <c r="Q99" s="504"/>
    </row>
    <row r="100" spans="1:17">
      <c r="A100" s="527" t="s">
        <v>2551</v>
      </c>
      <c r="B100" s="528" t="s">
        <v>2600</v>
      </c>
      <c r="C100" s="2950" t="s">
        <v>3269</v>
      </c>
      <c r="D100" s="2950" t="s">
        <v>3270</v>
      </c>
      <c r="E100" s="2950" t="s">
        <v>3271</v>
      </c>
      <c r="F100" s="2950" t="s">
        <v>3273</v>
      </c>
      <c r="G100" s="530"/>
      <c r="H100" s="530"/>
      <c r="I100" s="530"/>
      <c r="J100" s="530"/>
      <c r="K100" s="531"/>
      <c r="L100" s="532"/>
      <c r="M100" s="533"/>
      <c r="N100" s="1151"/>
      <c r="O100" s="1151"/>
      <c r="P100" s="2622"/>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2"/>
      <c r="O101" s="1152"/>
      <c r="P101" s="2622"/>
      <c r="Q101" s="504"/>
    </row>
    <row r="102" spans="1:17" ht="29.25" thickTop="1">
      <c r="A102" s="534"/>
      <c r="B102" s="538" t="s">
        <v>2601</v>
      </c>
      <c r="C102" s="578" t="str">
        <f>C103&amp;"(含)"&amp;"-"&amp;D103</f>
        <v>0(含)-200000</v>
      </c>
      <c r="D102" s="578" t="str">
        <f t="shared" ref="D102:L102" si="27">D103&amp;"(含)"&amp;"-"&amp;E103</f>
        <v>200000(含)-400000</v>
      </c>
      <c r="E102" s="578" t="str">
        <f t="shared" si="27"/>
        <v>400000(含)-600000</v>
      </c>
      <c r="F102" s="578" t="str">
        <f t="shared" si="27"/>
        <v>600000(含)-800000</v>
      </c>
      <c r="G102" s="578" t="str">
        <f t="shared" si="27"/>
        <v>800000(含)-1000000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50"/>
      <c r="O102" s="1150"/>
      <c r="P102" s="2622"/>
      <c r="Q102" s="504"/>
    </row>
    <row r="103" spans="1:17" s="471" customFormat="1">
      <c r="A103" s="593"/>
      <c r="B103" s="594"/>
      <c r="C103" s="595">
        <v>0</v>
      </c>
      <c r="D103" s="595">
        <v>200000</v>
      </c>
      <c r="E103" s="595">
        <v>400000</v>
      </c>
      <c r="F103" s="595">
        <v>600000</v>
      </c>
      <c r="G103" s="595">
        <v>800000</v>
      </c>
      <c r="H103" s="595">
        <v>1000000</v>
      </c>
      <c r="I103" s="595"/>
      <c r="J103" s="596"/>
      <c r="K103" s="596"/>
      <c r="L103" s="597"/>
      <c r="M103" s="598"/>
      <c r="N103" s="1153"/>
      <c r="O103" s="1153"/>
      <c r="P103" s="2623"/>
      <c r="Q103" s="559"/>
    </row>
    <row r="104" spans="1:17" s="471" customFormat="1" ht="15.75" thickBot="1">
      <c r="A104" s="553"/>
      <c r="B104" s="543"/>
      <c r="C104" s="560">
        <v>100</v>
      </c>
      <c r="D104" s="536">
        <v>102</v>
      </c>
      <c r="E104" s="560">
        <v>104</v>
      </c>
      <c r="F104" s="536">
        <v>106</v>
      </c>
      <c r="G104" s="560">
        <v>108</v>
      </c>
      <c r="H104" s="536">
        <v>110</v>
      </c>
      <c r="I104" s="536"/>
      <c r="J104" s="536"/>
      <c r="K104" s="536"/>
      <c r="L104" s="536"/>
      <c r="M104" s="536"/>
      <c r="N104" s="1152"/>
      <c r="O104" s="1152"/>
      <c r="P104" s="2623"/>
      <c r="Q104" s="559"/>
    </row>
    <row r="105" spans="1:17" ht="15" thickTop="1">
      <c r="A105" s="599"/>
      <c r="B105" s="538" t="s">
        <v>2602</v>
      </c>
      <c r="C105" s="2951" t="s">
        <v>3274</v>
      </c>
      <c r="D105" s="2951" t="s">
        <v>3275</v>
      </c>
      <c r="E105" s="2952" t="s">
        <v>3276</v>
      </c>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2"/>
      <c r="O106" s="1152"/>
      <c r="P106" s="2622"/>
      <c r="Q106" s="504"/>
    </row>
    <row r="107" spans="1:17" ht="15" thickTop="1">
      <c r="A107" s="599"/>
      <c r="B107" s="538" t="s">
        <v>2603</v>
      </c>
      <c r="C107" s="2952" t="s">
        <v>3277</v>
      </c>
      <c r="D107" s="2952" t="s">
        <v>3279</v>
      </c>
      <c r="E107" s="583"/>
      <c r="F107" s="583"/>
      <c r="G107" s="583"/>
      <c r="H107" s="583"/>
      <c r="I107" s="583"/>
      <c r="J107" s="583"/>
      <c r="K107" s="584"/>
      <c r="L107" s="585"/>
      <c r="M107" s="586"/>
      <c r="N107" s="1151"/>
      <c r="O107" s="1151"/>
      <c r="P107" s="2622"/>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2"/>
      <c r="O108" s="1152"/>
      <c r="P108" s="2622"/>
      <c r="Q108" s="504"/>
    </row>
    <row r="109" spans="1:17" ht="15" thickTop="1">
      <c r="A109" s="599"/>
      <c r="B109" s="538" t="s">
        <v>2604</v>
      </c>
      <c r="C109" s="2951" t="s">
        <v>3281</v>
      </c>
      <c r="D109" s="2951" t="s">
        <v>3283</v>
      </c>
      <c r="E109" s="2951" t="s">
        <v>3285</v>
      </c>
      <c r="F109" s="2952" t="s">
        <v>3287</v>
      </c>
      <c r="G109" s="583"/>
      <c r="H109" s="583"/>
      <c r="I109" s="583"/>
      <c r="J109" s="583"/>
      <c r="K109" s="584"/>
      <c r="L109" s="585"/>
      <c r="M109" s="586"/>
      <c r="N109" s="1151"/>
      <c r="O109" s="1151"/>
      <c r="P109" s="2622"/>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2"/>
      <c r="O110" s="1152"/>
      <c r="P110" s="2622"/>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3"/>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3"/>
      <c r="Q113" s="559"/>
    </row>
    <row r="114" spans="1:17" ht="15" thickTop="1">
      <c r="A114" s="599"/>
      <c r="B114" s="538" t="s">
        <v>2605</v>
      </c>
      <c r="C114" s="2951" t="s">
        <v>3289</v>
      </c>
      <c r="D114" s="2951" t="s">
        <v>3290</v>
      </c>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2"/>
      <c r="O115" s="1152"/>
      <c r="P115" s="2622"/>
      <c r="Q115" s="504"/>
    </row>
    <row r="116" spans="1:17" ht="15" thickTop="1">
      <c r="A116" s="599"/>
      <c r="B116" s="538" t="s">
        <v>2606</v>
      </c>
      <c r="C116" s="2951" t="s">
        <v>3291</v>
      </c>
      <c r="D116" s="2951" t="s">
        <v>3293</v>
      </c>
      <c r="E116" s="2951" t="s">
        <v>3294</v>
      </c>
      <c r="F116" s="2951" t="s">
        <v>3295</v>
      </c>
      <c r="G116" s="2951" t="s">
        <v>3297</v>
      </c>
      <c r="H116" s="583"/>
      <c r="I116" s="583"/>
      <c r="J116" s="583"/>
      <c r="K116" s="584"/>
      <c r="L116" s="585"/>
      <c r="M116" s="586"/>
      <c r="N116" s="1151"/>
      <c r="O116" s="1151"/>
      <c r="P116" s="262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2"/>
      <c r="Q117" s="504"/>
    </row>
    <row r="118" spans="1:17" ht="15" thickTop="1">
      <c r="A118" s="599"/>
      <c r="B118" s="538" t="s">
        <v>2607</v>
      </c>
      <c r="C118" s="583"/>
      <c r="D118" s="583"/>
      <c r="E118" s="583"/>
      <c r="F118" s="583"/>
      <c r="G118" s="583"/>
      <c r="H118" s="583"/>
      <c r="I118" s="583"/>
      <c r="J118" s="583"/>
      <c r="K118" s="584"/>
      <c r="L118" s="585"/>
      <c r="M118" s="586"/>
      <c r="N118" s="1151"/>
      <c r="O118" s="1151"/>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2"/>
      <c r="Q119" s="504"/>
    </row>
    <row r="120" spans="1:17" s="471" customFormat="1" ht="28.5" thickTop="1">
      <c r="A120" s="593"/>
      <c r="B120" s="538" t="s">
        <v>2562</v>
      </c>
      <c r="C120" s="554"/>
      <c r="D120" s="554"/>
      <c r="E120" s="554"/>
      <c r="F120" s="554"/>
      <c r="G120" s="554"/>
      <c r="H120" s="554"/>
      <c r="I120" s="554"/>
      <c r="J120" s="554"/>
      <c r="K120" s="554"/>
      <c r="L120" s="580"/>
      <c r="M120" s="581"/>
      <c r="N120" s="1153"/>
      <c r="O120" s="1153"/>
      <c r="P120" s="262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3"/>
      <c r="Q121" s="559"/>
    </row>
    <row r="122" spans="1:17" ht="15" thickTop="1">
      <c r="A122" s="599"/>
      <c r="B122" s="538" t="s">
        <v>2608</v>
      </c>
      <c r="C122" s="2951" t="s">
        <v>3281</v>
      </c>
      <c r="D122" s="2951" t="s">
        <v>3283</v>
      </c>
      <c r="E122" s="2951" t="s">
        <v>3285</v>
      </c>
      <c r="F122" s="2952" t="s">
        <v>3287</v>
      </c>
      <c r="G122" s="583"/>
      <c r="H122" s="583"/>
      <c r="I122" s="583"/>
      <c r="J122" s="583"/>
      <c r="K122" s="584"/>
      <c r="L122" s="585"/>
      <c r="M122" s="586"/>
      <c r="N122" s="1151"/>
      <c r="O122" s="1151"/>
      <c r="P122" s="2622"/>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2"/>
      <c r="O123" s="1152"/>
      <c r="P123" s="262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60"/>
      <c r="E129" s="560"/>
      <c r="F129" s="560"/>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row r="136" spans="1:17" ht="15" thickBot="1">
      <c r="B136" s="2629" t="s">
        <v>2610</v>
      </c>
    </row>
    <row r="137" spans="1:17" ht="15">
      <c r="B137" s="2630" t="s">
        <v>2611</v>
      </c>
      <c r="C137" s="2631"/>
      <c r="D137" s="2631"/>
      <c r="E137" s="2631"/>
      <c r="F137" s="2631"/>
      <c r="G137" s="2632"/>
      <c r="H137" s="2633"/>
      <c r="I137" s="2634" t="s">
        <v>2612</v>
      </c>
      <c r="J137" s="2631"/>
      <c r="K137" s="2635"/>
    </row>
    <row r="138" spans="1:17" ht="15">
      <c r="B138" s="2636"/>
      <c r="C138" s="146" t="s">
        <v>2613</v>
      </c>
      <c r="D138" s="146" t="s">
        <v>2614</v>
      </c>
      <c r="E138" s="2637" t="s">
        <v>2615</v>
      </c>
      <c r="F138" s="2638" t="s">
        <v>2616</v>
      </c>
      <c r="G138" s="146" t="s">
        <v>2614</v>
      </c>
      <c r="H138" s="147" t="s">
        <v>2615</v>
      </c>
      <c r="I138" s="2639"/>
      <c r="J138" s="146" t="s">
        <v>2617</v>
      </c>
      <c r="K138" s="147" t="s">
        <v>2618</v>
      </c>
    </row>
    <row r="139" spans="1:17" ht="15">
      <c r="B139" s="1083">
        <v>6</v>
      </c>
      <c r="C139" s="1084">
        <v>96</v>
      </c>
      <c r="D139" s="2640" t="s">
        <v>2619</v>
      </c>
      <c r="E139" s="1085">
        <v>100</v>
      </c>
      <c r="F139" s="1086">
        <v>102.5</v>
      </c>
      <c r="G139" s="2640" t="s">
        <v>2619</v>
      </c>
      <c r="H139" s="1087">
        <v>105</v>
      </c>
      <c r="I139" s="2641" t="s">
        <v>2620</v>
      </c>
      <c r="J139" s="1084">
        <v>20</v>
      </c>
      <c r="K139" s="1088">
        <f>C145/(J139-2)</f>
        <v>4.0555555555555553E-3</v>
      </c>
    </row>
    <row r="140" spans="1:17" ht="15">
      <c r="B140" s="1089">
        <v>5</v>
      </c>
      <c r="C140" s="1090">
        <v>100</v>
      </c>
      <c r="D140" s="1090"/>
      <c r="E140" s="1091"/>
      <c r="F140" s="1092">
        <v>102</v>
      </c>
      <c r="G140" s="1090"/>
      <c r="H140" s="1093"/>
      <c r="I140" s="2642" t="s">
        <v>2621</v>
      </c>
      <c r="J140" s="315">
        <f>ROUNDUP((J139-1)/2,0)</f>
        <v>10</v>
      </c>
      <c r="K140" s="1094">
        <v>100</v>
      </c>
    </row>
    <row r="141" spans="1:17" ht="15">
      <c r="B141" s="1089">
        <v>4</v>
      </c>
      <c r="C141" s="1090">
        <v>102</v>
      </c>
      <c r="D141" s="1090"/>
      <c r="E141" s="1091"/>
      <c r="F141" s="1092">
        <v>101.5</v>
      </c>
      <c r="G141" s="1090"/>
      <c r="H141" s="1093"/>
      <c r="I141" s="2642" t="s">
        <v>2622</v>
      </c>
      <c r="J141" s="315">
        <v>1</v>
      </c>
      <c r="K141" s="1095">
        <f>ROUND(100+(J141-J140)*K139*100,1)</f>
        <v>96.4</v>
      </c>
    </row>
    <row r="142" spans="1:17" ht="15">
      <c r="B142" s="1089">
        <v>3</v>
      </c>
      <c r="C142" s="1090">
        <v>103</v>
      </c>
      <c r="D142" s="1090"/>
      <c r="E142" s="1091"/>
      <c r="F142" s="1092">
        <v>101</v>
      </c>
      <c r="G142" s="1090"/>
      <c r="H142" s="1093"/>
      <c r="I142" s="2642" t="s">
        <v>2623</v>
      </c>
      <c r="J142" s="315">
        <f>J139</f>
        <v>20</v>
      </c>
      <c r="K142" s="1096">
        <v>95</v>
      </c>
    </row>
    <row r="143" spans="1:17" ht="15">
      <c r="B143" s="1089">
        <v>2</v>
      </c>
      <c r="C143" s="1090">
        <v>100</v>
      </c>
      <c r="D143" s="1090"/>
      <c r="E143" s="1091"/>
      <c r="F143" s="1092">
        <v>100.5</v>
      </c>
      <c r="G143" s="1090"/>
      <c r="H143" s="1093"/>
      <c r="I143" s="2642" t="s">
        <v>2624</v>
      </c>
      <c r="J143" s="1090">
        <v>15</v>
      </c>
      <c r="K143" s="1095">
        <f>ROUND(100+(J143-J140)*K139*100,1)</f>
        <v>102</v>
      </c>
    </row>
    <row r="144" spans="1:17" ht="15">
      <c r="B144" s="1089">
        <v>1</v>
      </c>
      <c r="C144" s="1090">
        <v>98</v>
      </c>
      <c r="D144" s="2643" t="s">
        <v>2625</v>
      </c>
      <c r="E144" s="1091">
        <v>102</v>
      </c>
      <c r="F144" s="1097">
        <v>100</v>
      </c>
      <c r="G144" s="2643" t="s">
        <v>2625</v>
      </c>
      <c r="H144" s="1093">
        <v>105</v>
      </c>
      <c r="I144" s="2642" t="s">
        <v>2624</v>
      </c>
      <c r="J144" s="1090">
        <v>18</v>
      </c>
      <c r="K144" s="1095">
        <f>ROUND(100+(J144-J140)*K139*100,1)</f>
        <v>103.2</v>
      </c>
    </row>
    <row r="145" spans="2:11" ht="15.75" thickBot="1">
      <c r="B145" s="2644" t="s">
        <v>2626</v>
      </c>
      <c r="C145" s="1098">
        <f>ROUND(MAX(C139:C144)/MIN(C139:C144)-1,3)</f>
        <v>7.2999999999999995E-2</v>
      </c>
      <c r="D145" s="1099"/>
      <c r="E145" s="1099"/>
      <c r="F145" s="2645" t="s">
        <v>2627</v>
      </c>
      <c r="G145" s="2646"/>
      <c r="H145" s="2647"/>
      <c r="I145" s="2648" t="s">
        <v>2624</v>
      </c>
      <c r="J145" s="1100">
        <v>8</v>
      </c>
      <c r="K145" s="1101">
        <f>ROUND(100+(J145-J140)*K139*100,1)</f>
        <v>99.2</v>
      </c>
    </row>
    <row r="147" spans="2:11">
      <c r="B147" s="2629" t="s">
        <v>2628</v>
      </c>
    </row>
    <row r="148" spans="2:11">
      <c r="B148" s="2629"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1" sqref="M31"/>
    </sheetView>
  </sheetViews>
  <sheetFormatPr defaultRowHeight="13.5"/>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52" sqref="I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574" t="s">
        <v>2630</v>
      </c>
      <c r="C1" s="1632" t="s">
        <v>2518</v>
      </c>
      <c r="D1" s="1619" t="s">
        <v>1373</v>
      </c>
      <c r="E1" s="2649"/>
      <c r="F1" s="2576" t="s">
        <v>3373</v>
      </c>
      <c r="G1" s="1629" t="s">
        <v>2631</v>
      </c>
      <c r="H1" s="1628"/>
      <c r="I1" s="1628"/>
      <c r="J1" s="1628"/>
      <c r="K1" s="1630"/>
      <c r="L1" s="1631"/>
      <c r="M1" s="1632"/>
      <c r="N1" s="1632"/>
      <c r="O1" s="1632"/>
      <c r="P1" s="2650"/>
      <c r="Q1" s="2651"/>
      <c r="R1" s="2651"/>
      <c r="S1" s="2651"/>
      <c r="T1" s="2651"/>
      <c r="U1" s="2651"/>
      <c r="V1" s="2651"/>
      <c r="W1" s="2651"/>
      <c r="X1" s="2651"/>
      <c r="Y1" s="2651"/>
      <c r="Z1" s="2651"/>
      <c r="AA1" s="2651"/>
      <c r="AB1" s="2651"/>
      <c r="AC1" s="2652"/>
    </row>
    <row r="2" spans="1:29" s="398" customFormat="1" ht="28.5" customHeight="1" thickTop="1">
      <c r="A2" s="1615" t="s">
        <v>2318</v>
      </c>
      <c r="B2" s="1417">
        <f>IF(C2="——",ROUND(C49*D3/10000,0),ROUND(C49*D3/10000,0)-D2)</f>
        <v>1551</v>
      </c>
      <c r="C2" s="2578" t="s">
        <v>70</v>
      </c>
      <c r="D2" s="1364" t="e">
        <f ca="1">SUMIF(INDIRECT("'"&amp;F2&amp;"'"&amp;"!A:A"),"承租人权益价值",INDIRECT("'"&amp;F2&amp;"'"&amp;"!c:c"))</f>
        <v>#REF!</v>
      </c>
      <c r="E2" s="2579" t="s">
        <v>2319</v>
      </c>
      <c r="F2" s="2580"/>
      <c r="G2" s="1124"/>
      <c r="H2" s="1124"/>
      <c r="I2" s="1124"/>
      <c r="J2" s="1124"/>
      <c r="K2" s="1124"/>
      <c r="L2" s="1127"/>
      <c r="M2" s="1128"/>
      <c r="N2" s="1128"/>
      <c r="O2" s="1128"/>
      <c r="P2" s="2653"/>
      <c r="Q2" s="1128"/>
      <c r="R2" s="1128"/>
      <c r="S2" s="1128"/>
      <c r="T2" s="1128"/>
      <c r="U2" s="1128"/>
      <c r="V2" s="1128"/>
      <c r="W2" s="1128"/>
      <c r="X2" s="1128"/>
      <c r="Y2" s="1128"/>
      <c r="Z2" s="1128"/>
      <c r="AA2" s="1128"/>
      <c r="AB2" s="1128"/>
      <c r="AC2" s="2654"/>
    </row>
    <row r="3" spans="1:29" s="398" customFormat="1" ht="28.5" customHeight="1" thickBot="1">
      <c r="A3" s="247" t="s">
        <v>2320</v>
      </c>
      <c r="B3" s="609">
        <f>IF(C2="——",C49,ROUND(B2*10000/D3,0))</f>
        <v>10668</v>
      </c>
      <c r="C3" s="400" t="s">
        <v>2632</v>
      </c>
      <c r="D3" s="399">
        <f>IF(D1="",'数据-汇总表'!E3,SUMIF('数据-汇总表'!$C19:$C33,D1,'数据-汇总表'!$E19:$E33))</f>
        <v>1453.71</v>
      </c>
      <c r="E3" s="2655"/>
      <c r="F3" s="1125"/>
      <c r="G3" s="1124"/>
      <c r="H3" s="1124"/>
      <c r="I3" s="1124"/>
      <c r="J3" s="1124"/>
      <c r="K3" s="1126"/>
      <c r="L3" s="1127"/>
      <c r="M3" s="1128"/>
      <c r="N3" s="1128"/>
      <c r="O3" s="1128"/>
      <c r="P3" s="2653"/>
      <c r="Q3" s="1128"/>
      <c r="R3" s="1128"/>
      <c r="S3" s="1128"/>
      <c r="T3" s="1128"/>
      <c r="U3" s="1128"/>
      <c r="V3" s="1128"/>
      <c r="W3" s="1128"/>
      <c r="X3" s="1128"/>
      <c r="Y3" s="1128"/>
      <c r="Z3" s="1128"/>
      <c r="AA3" s="1128"/>
      <c r="AB3" s="1128"/>
      <c r="AC3" s="2655"/>
    </row>
    <row r="4" spans="1:29" ht="15">
      <c r="A4" s="401" t="s">
        <v>2633</v>
      </c>
      <c r="B4" s="402"/>
      <c r="C4" s="3212" t="s">
        <v>2634</v>
      </c>
      <c r="D4" s="3225"/>
      <c r="E4" s="3226" t="s">
        <v>2635</v>
      </c>
      <c r="F4" s="3227"/>
      <c r="G4" s="3212" t="s">
        <v>2636</v>
      </c>
      <c r="H4" s="3225"/>
      <c r="I4" s="3212" t="s">
        <v>2637</v>
      </c>
      <c r="J4" s="3225"/>
      <c r="K4" s="610" t="s">
        <v>2638</v>
      </c>
      <c r="L4" s="1129"/>
      <c r="M4" s="1130"/>
      <c r="N4" s="1130"/>
      <c r="O4" s="1130"/>
      <c r="P4" s="3228" t="s">
        <v>2639</v>
      </c>
      <c r="Q4" s="3229"/>
      <c r="R4" s="3234" t="s">
        <v>2635</v>
      </c>
      <c r="S4" s="3235"/>
      <c r="T4" s="3234" t="s">
        <v>2636</v>
      </c>
      <c r="U4" s="3235"/>
      <c r="V4" s="3221" t="s">
        <v>2637</v>
      </c>
      <c r="W4" s="3221"/>
      <c r="X4" s="1811"/>
      <c r="Y4" s="3234" t="s">
        <v>2639</v>
      </c>
      <c r="Z4" s="3235"/>
      <c r="AA4" s="3222" t="s">
        <v>2635</v>
      </c>
      <c r="AB4" s="3221" t="s">
        <v>2636</v>
      </c>
      <c r="AC4" s="3222" t="s">
        <v>2637</v>
      </c>
    </row>
    <row r="5" spans="1:29" ht="15">
      <c r="A5" s="404"/>
      <c r="B5" s="405"/>
      <c r="C5" s="3242" t="s">
        <v>2530</v>
      </c>
      <c r="D5" s="3243"/>
      <c r="E5" s="3249" t="s">
        <v>2531</v>
      </c>
      <c r="F5" s="3250"/>
      <c r="G5" s="3242" t="s">
        <v>2532</v>
      </c>
      <c r="H5" s="3243"/>
      <c r="I5" s="3242" t="s">
        <v>2533</v>
      </c>
      <c r="J5" s="3243"/>
      <c r="K5" s="610"/>
      <c r="L5" s="1129"/>
      <c r="M5" s="1130"/>
      <c r="N5" s="1130"/>
      <c r="O5" s="1130"/>
      <c r="P5" s="3230"/>
      <c r="Q5" s="3231"/>
      <c r="R5" s="3236"/>
      <c r="S5" s="3237"/>
      <c r="T5" s="3236"/>
      <c r="U5" s="3237"/>
      <c r="V5" s="3221"/>
      <c r="W5" s="3221"/>
      <c r="X5" s="1811"/>
      <c r="Y5" s="3236"/>
      <c r="Z5" s="3237"/>
      <c r="AA5" s="3223"/>
      <c r="AB5" s="3221"/>
      <c r="AC5" s="3223"/>
    </row>
    <row r="6" spans="1:29" ht="15.75" thickBot="1">
      <c r="A6" s="406"/>
      <c r="B6" s="407"/>
      <c r="C6" s="3240" t="s">
        <v>2534</v>
      </c>
      <c r="D6" s="3241"/>
      <c r="E6" s="3247" t="s">
        <v>2534</v>
      </c>
      <c r="F6" s="3248"/>
      <c r="G6" s="3240" t="s">
        <v>2534</v>
      </c>
      <c r="H6" s="3241"/>
      <c r="I6" s="3240" t="s">
        <v>2534</v>
      </c>
      <c r="J6" s="3241"/>
      <c r="K6" s="610" t="s">
        <v>2535</v>
      </c>
      <c r="L6" s="1129"/>
      <c r="M6" s="1130"/>
      <c r="N6" s="1130"/>
      <c r="O6" s="1130"/>
      <c r="P6" s="3232"/>
      <c r="Q6" s="3233"/>
      <c r="R6" s="3236"/>
      <c r="S6" s="3237"/>
      <c r="T6" s="3238"/>
      <c r="U6" s="3239"/>
      <c r="V6" s="3221"/>
      <c r="W6" s="3221"/>
      <c r="X6" s="1811"/>
      <c r="Y6" s="3238"/>
      <c r="Z6" s="3239"/>
      <c r="AA6" s="3224"/>
      <c r="AB6" s="3221"/>
      <c r="AC6" s="3224"/>
    </row>
    <row r="7" spans="1:29" s="117" customFormat="1" ht="15.75" thickBot="1">
      <c r="A7" s="408" t="s">
        <v>2536</v>
      </c>
      <c r="B7" s="409"/>
      <c r="C7" s="410">
        <f>'数据-取费表'!B2</f>
        <v>43621</v>
      </c>
      <c r="D7" s="411">
        <v>100</v>
      </c>
      <c r="E7" s="412">
        <f>C7</f>
        <v>43621</v>
      </c>
      <c r="F7" s="413">
        <f>SUMIF(58:58,YEAR(E7)&amp;"-"&amp;MONTH(E7),59:59)</f>
        <v>100</v>
      </c>
      <c r="G7" s="412">
        <f>C7</f>
        <v>43621</v>
      </c>
      <c r="H7" s="411">
        <f>SUMIF(58:58,YEAR(G7)&amp;"-"&amp;MONTH(G7),59:59)</f>
        <v>100</v>
      </c>
      <c r="I7" s="412">
        <f>C7</f>
        <v>43621</v>
      </c>
      <c r="J7" s="411">
        <f>SUMIF(58:58,YEAR(I7)&amp;"-"&amp;MONTH(I7),59:59)</f>
        <v>100</v>
      </c>
      <c r="K7" s="611"/>
      <c r="L7" s="1131"/>
      <c r="M7" s="1132"/>
      <c r="N7" s="1132"/>
      <c r="O7" s="1132"/>
      <c r="P7" s="3244" t="s">
        <v>2537</v>
      </c>
      <c r="Q7" s="3246"/>
      <c r="R7" s="769" t="s">
        <v>17</v>
      </c>
      <c r="S7" s="770">
        <f t="shared" ref="S7:S15" si="0">F7</f>
        <v>100</v>
      </c>
      <c r="T7" s="769" t="s">
        <v>17</v>
      </c>
      <c r="U7" s="770">
        <f t="shared" ref="U7:U15" si="1">H7</f>
        <v>100</v>
      </c>
      <c r="V7" s="769" t="s">
        <v>17</v>
      </c>
      <c r="W7" s="770">
        <f t="shared" ref="W7:W15" si="2">J7</f>
        <v>100</v>
      </c>
      <c r="X7" s="771"/>
      <c r="Y7" s="3244" t="s">
        <v>2537</v>
      </c>
      <c r="Z7" s="3245"/>
      <c r="AA7" s="772">
        <f>D7/F7</f>
        <v>1</v>
      </c>
      <c r="AB7" s="772">
        <f>D7/H7</f>
        <v>1</v>
      </c>
      <c r="AC7" s="772">
        <f>D7/J7</f>
        <v>1</v>
      </c>
    </row>
    <row r="8" spans="1:29" s="117" customFormat="1" ht="15.75" thickBot="1">
      <c r="A8" s="408" t="s">
        <v>2538</v>
      </c>
      <c r="B8" s="409"/>
      <c r="C8" s="414" t="s">
        <v>2640</v>
      </c>
      <c r="D8" s="411">
        <v>100</v>
      </c>
      <c r="E8" s="414" t="s">
        <v>3261</v>
      </c>
      <c r="F8" s="413">
        <f>SUMIF(61:61,E8,62:62)-SUMIF(61:61,C8,62:62)+100</f>
        <v>100</v>
      </c>
      <c r="G8" s="414" t="s">
        <v>3261</v>
      </c>
      <c r="H8" s="411">
        <f>SUMIF(61:61,G8,62:62)-SUMIF(61:61,C8,62:62)+100</f>
        <v>100</v>
      </c>
      <c r="I8" s="414" t="s">
        <v>3261</v>
      </c>
      <c r="J8" s="411">
        <f>SUMIF(61:61,I8,62:62)-SUMIF(61:61,C8,62:62)+100</f>
        <v>100</v>
      </c>
      <c r="K8" s="611"/>
      <c r="L8" s="1131"/>
      <c r="M8" s="1132"/>
      <c r="N8" s="1132"/>
      <c r="O8" s="1132"/>
      <c r="P8" s="3244" t="s">
        <v>2540</v>
      </c>
      <c r="Q8" s="3245"/>
      <c r="R8" s="769" t="s">
        <v>17</v>
      </c>
      <c r="S8" s="770">
        <f t="shared" si="0"/>
        <v>100</v>
      </c>
      <c r="T8" s="769" t="s">
        <v>17</v>
      </c>
      <c r="U8" s="770">
        <f t="shared" si="1"/>
        <v>100</v>
      </c>
      <c r="V8" s="769" t="s">
        <v>17</v>
      </c>
      <c r="W8" s="770">
        <f t="shared" si="2"/>
        <v>100</v>
      </c>
      <c r="X8" s="771"/>
      <c r="Y8" s="3244" t="s">
        <v>2540</v>
      </c>
      <c r="Z8" s="3245"/>
      <c r="AA8" s="772">
        <f t="shared" ref="AA8:AA46" si="3">D8/F8</f>
        <v>1</v>
      </c>
      <c r="AB8" s="772">
        <f t="shared" ref="AB8:AB46" si="4">D8/H8</f>
        <v>1</v>
      </c>
      <c r="AC8" s="772">
        <f t="shared" ref="AC8:AC46" si="5">D8/J8</f>
        <v>1</v>
      </c>
    </row>
    <row r="9" spans="1:29" s="117" customFormat="1">
      <c r="A9" s="415" t="s">
        <v>2541</v>
      </c>
      <c r="B9" s="71" t="s">
        <v>2542</v>
      </c>
      <c r="C9" s="2956" t="s">
        <v>3368</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214" t="s">
        <v>2543</v>
      </c>
      <c r="Q9" s="1793" t="str">
        <f t="shared" ref="Q9:Q15" si="6">B9</f>
        <v>用途</v>
      </c>
      <c r="R9" s="769" t="s">
        <v>17</v>
      </c>
      <c r="S9" s="770">
        <f t="shared" si="0"/>
        <v>100</v>
      </c>
      <c r="T9" s="769" t="s">
        <v>17</v>
      </c>
      <c r="U9" s="770">
        <f t="shared" si="1"/>
        <v>100</v>
      </c>
      <c r="V9" s="769" t="s">
        <v>17</v>
      </c>
      <c r="W9" s="770">
        <f t="shared" si="2"/>
        <v>100</v>
      </c>
      <c r="X9" s="771"/>
      <c r="Y9" s="3043" t="s">
        <v>2544</v>
      </c>
      <c r="Z9" s="55" t="str">
        <f t="shared" ref="Z9:Z15" si="7">Q9</f>
        <v>用途</v>
      </c>
      <c r="AA9" s="772">
        <f t="shared" si="3"/>
        <v>1</v>
      </c>
      <c r="AB9" s="772">
        <f t="shared" si="4"/>
        <v>1</v>
      </c>
      <c r="AC9" s="772">
        <f t="shared" si="5"/>
        <v>1</v>
      </c>
    </row>
    <row r="10" spans="1:29" s="427" customFormat="1" ht="27">
      <c r="A10" s="421"/>
      <c r="B10" s="422" t="s">
        <v>2545</v>
      </c>
      <c r="C10" s="423" t="s">
        <v>3369</v>
      </c>
      <c r="D10" s="136">
        <v>100</v>
      </c>
      <c r="E10" s="424" t="s">
        <v>3370</v>
      </c>
      <c r="F10" s="425">
        <f>SUMIF(65:65,E10,66:66)-SUMIF(65:65,C10,66:66)+100</f>
        <v>98</v>
      </c>
      <c r="G10" s="423" t="s">
        <v>3370</v>
      </c>
      <c r="H10" s="136">
        <f>SUMIF(65:65,G10,66:66)-SUMIF(65:65,C10,66:66)+100</f>
        <v>98</v>
      </c>
      <c r="I10" s="423" t="s">
        <v>3370</v>
      </c>
      <c r="J10" s="136">
        <f>SUMIF(65:65,I10,66:66)-SUMIF(65:65,C10,66:66)+100</f>
        <v>98</v>
      </c>
      <c r="K10" s="612">
        <v>2</v>
      </c>
      <c r="L10" s="1134"/>
      <c r="M10" s="1135"/>
      <c r="N10" s="1135"/>
      <c r="O10" s="1135"/>
      <c r="P10" s="3214"/>
      <c r="Q10" s="1793" t="str">
        <f t="shared" si="6"/>
        <v>土地使用年限（年）</v>
      </c>
      <c r="R10" s="769" t="s">
        <v>17</v>
      </c>
      <c r="S10" s="770">
        <f t="shared" si="0"/>
        <v>98</v>
      </c>
      <c r="T10" s="769" t="s">
        <v>17</v>
      </c>
      <c r="U10" s="770">
        <f t="shared" si="1"/>
        <v>98</v>
      </c>
      <c r="V10" s="769" t="s">
        <v>17</v>
      </c>
      <c r="W10" s="770">
        <f t="shared" si="2"/>
        <v>98</v>
      </c>
      <c r="X10" s="771"/>
      <c r="Y10" s="3043"/>
      <c r="Z10" s="55" t="str">
        <f t="shared" si="7"/>
        <v>土地使用年限（年）</v>
      </c>
      <c r="AA10" s="772">
        <f t="shared" si="3"/>
        <v>1.0204081632653061</v>
      </c>
      <c r="AB10" s="772">
        <f t="shared" si="4"/>
        <v>1.0204081632653061</v>
      </c>
      <c r="AC10" s="772">
        <f t="shared" si="5"/>
        <v>1.0204081632653061</v>
      </c>
    </row>
    <row r="11" spans="1:29" ht="15.75" thickBot="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14"/>
      <c r="Q11" s="1793" t="str">
        <f t="shared" si="6"/>
        <v>容积率</v>
      </c>
      <c r="R11" s="769" t="s">
        <v>17</v>
      </c>
      <c r="S11" s="770">
        <f t="shared" si="0"/>
        <v>100</v>
      </c>
      <c r="T11" s="769" t="s">
        <v>17</v>
      </c>
      <c r="U11" s="770">
        <f t="shared" si="1"/>
        <v>100</v>
      </c>
      <c r="V11" s="769" t="s">
        <v>17</v>
      </c>
      <c r="W11" s="770">
        <f t="shared" si="2"/>
        <v>100</v>
      </c>
      <c r="X11" s="771"/>
      <c r="Y11" s="3043"/>
      <c r="Z11" s="55" t="str">
        <f t="shared" si="7"/>
        <v>容积率</v>
      </c>
      <c r="AA11" s="772">
        <f t="shared" si="3"/>
        <v>1</v>
      </c>
      <c r="AB11" s="772">
        <f t="shared" si="4"/>
        <v>1</v>
      </c>
      <c r="AC11" s="772">
        <f t="shared" si="5"/>
        <v>1</v>
      </c>
    </row>
    <row r="12" spans="1:29" s="117" customFormat="1" ht="15" hidden="1">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4"/>
      <c r="Q12" s="1793">
        <f t="shared" si="6"/>
        <v>111</v>
      </c>
      <c r="R12" s="769" t="s">
        <v>17</v>
      </c>
      <c r="S12" s="770">
        <f t="shared" si="0"/>
        <v>100</v>
      </c>
      <c r="T12" s="769" t="s">
        <v>17</v>
      </c>
      <c r="U12" s="770">
        <f t="shared" si="1"/>
        <v>100</v>
      </c>
      <c r="V12" s="769" t="s">
        <v>17</v>
      </c>
      <c r="W12" s="770">
        <f t="shared" si="2"/>
        <v>100</v>
      </c>
      <c r="X12" s="771"/>
      <c r="Y12" s="3043"/>
      <c r="Z12" s="55">
        <f t="shared" si="7"/>
        <v>111</v>
      </c>
      <c r="AA12" s="772">
        <f>D12/F12</f>
        <v>1</v>
      </c>
      <c r="AB12" s="772">
        <f>D12/H12</f>
        <v>1</v>
      </c>
      <c r="AC12" s="772">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4"/>
      <c r="Q13" s="1793">
        <f t="shared" si="6"/>
        <v>111</v>
      </c>
      <c r="R13" s="769" t="s">
        <v>17</v>
      </c>
      <c r="S13" s="770">
        <f t="shared" si="0"/>
        <v>100</v>
      </c>
      <c r="T13" s="769" t="s">
        <v>17</v>
      </c>
      <c r="U13" s="770">
        <f t="shared" si="1"/>
        <v>100</v>
      </c>
      <c r="V13" s="769" t="s">
        <v>17</v>
      </c>
      <c r="W13" s="770">
        <f t="shared" si="2"/>
        <v>100</v>
      </c>
      <c r="X13" s="771"/>
      <c r="Y13" s="3043"/>
      <c r="Z13" s="55">
        <f t="shared" si="7"/>
        <v>111</v>
      </c>
      <c r="AA13" s="772">
        <f t="shared" si="3"/>
        <v>1</v>
      </c>
      <c r="AB13" s="772">
        <f t="shared" si="4"/>
        <v>1</v>
      </c>
      <c r="AC13" s="772">
        <f t="shared" si="5"/>
        <v>1</v>
      </c>
    </row>
    <row r="14" spans="1:29" ht="15.75" hidden="1"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4"/>
      <c r="Q14" s="1793">
        <f t="shared" si="6"/>
        <v>111</v>
      </c>
      <c r="R14" s="769" t="s">
        <v>17</v>
      </c>
      <c r="S14" s="770">
        <f t="shared" si="0"/>
        <v>100</v>
      </c>
      <c r="T14" s="769" t="s">
        <v>17</v>
      </c>
      <c r="U14" s="770">
        <f t="shared" si="1"/>
        <v>100</v>
      </c>
      <c r="V14" s="769" t="s">
        <v>17</v>
      </c>
      <c r="W14" s="770">
        <f t="shared" si="2"/>
        <v>100</v>
      </c>
      <c r="X14" s="771"/>
      <c r="Y14" s="3043"/>
      <c r="Z14" s="55">
        <f t="shared" si="7"/>
        <v>111</v>
      </c>
      <c r="AA14" s="772">
        <f t="shared" si="3"/>
        <v>1</v>
      </c>
      <c r="AB14" s="772">
        <f t="shared" si="4"/>
        <v>1</v>
      </c>
      <c r="AC14" s="772">
        <f t="shared" si="5"/>
        <v>1</v>
      </c>
    </row>
    <row r="15" spans="1:29" ht="71.25">
      <c r="A15" s="440" t="s">
        <v>2547</v>
      </c>
      <c r="B15" s="69" t="s">
        <v>2641</v>
      </c>
      <c r="C15" s="2595" t="str">
        <f>估价对象房地状况!C4</f>
        <v>估价对象所在区域商业中心较少，商业氛围较差，综合评价商业繁华度较差。</v>
      </c>
      <c r="D15" s="441">
        <v>100</v>
      </c>
      <c r="E15" s="3354" t="s">
        <v>3534</v>
      </c>
      <c r="F15" s="443">
        <f>SUMIF(76:76,E16,77:77)-SUMIF(76:76,C16,77:77)+100</f>
        <v>100</v>
      </c>
      <c r="G15" s="3354" t="s">
        <v>3535</v>
      </c>
      <c r="H15" s="441">
        <f>SUMIF(76:76,G16,77:77)-SUMIF(76:76,C16,77:77)+100</f>
        <v>102</v>
      </c>
      <c r="I15" s="3354" t="s">
        <v>3535</v>
      </c>
      <c r="J15" s="441">
        <f>SUMIF(76:76,I16,77:77)-SUMIF(76:76,C16,77:77)+100</f>
        <v>102</v>
      </c>
      <c r="K15" s="614">
        <v>2</v>
      </c>
      <c r="L15" s="1139"/>
      <c r="M15" s="1130"/>
      <c r="N15" s="1130"/>
      <c r="O15" s="1130"/>
      <c r="P15" s="3257" t="s">
        <v>2548</v>
      </c>
      <c r="Q15" s="1808" t="str">
        <f t="shared" si="6"/>
        <v>商业繁华度</v>
      </c>
      <c r="R15" s="773" t="s">
        <v>17</v>
      </c>
      <c r="S15" s="774">
        <f t="shared" si="0"/>
        <v>100</v>
      </c>
      <c r="T15" s="773" t="s">
        <v>17</v>
      </c>
      <c r="U15" s="774">
        <f t="shared" si="1"/>
        <v>102</v>
      </c>
      <c r="V15" s="773" t="s">
        <v>17</v>
      </c>
      <c r="W15" s="774">
        <f t="shared" si="2"/>
        <v>102</v>
      </c>
      <c r="X15" s="1811"/>
      <c r="Y15" s="3217" t="s">
        <v>2548</v>
      </c>
      <c r="Z15" s="1812" t="str">
        <f t="shared" si="7"/>
        <v>商业繁华度</v>
      </c>
      <c r="AA15" s="1809">
        <f t="shared" si="3"/>
        <v>1</v>
      </c>
      <c r="AB15" s="1809">
        <f t="shared" si="4"/>
        <v>0.98039215686274506</v>
      </c>
      <c r="AC15" s="1809">
        <f t="shared" si="5"/>
        <v>0.98039215686274506</v>
      </c>
    </row>
    <row r="16" spans="1:29" ht="15">
      <c r="A16" s="428"/>
      <c r="B16" s="446"/>
      <c r="C16" s="447" t="s">
        <v>3298</v>
      </c>
      <c r="D16" s="448"/>
      <c r="E16" s="447" t="s">
        <v>3298</v>
      </c>
      <c r="F16" s="449"/>
      <c r="G16" s="447" t="s">
        <v>3300</v>
      </c>
      <c r="H16" s="450"/>
      <c r="I16" s="447" t="s">
        <v>3300</v>
      </c>
      <c r="J16" s="448"/>
      <c r="K16" s="615"/>
      <c r="L16" s="1139"/>
      <c r="M16" s="1130"/>
      <c r="N16" s="1130"/>
      <c r="O16" s="1130"/>
      <c r="P16" s="3258"/>
      <c r="Q16" s="1808"/>
      <c r="R16" s="773"/>
      <c r="S16" s="774"/>
      <c r="T16" s="773"/>
      <c r="U16" s="774"/>
      <c r="V16" s="773"/>
      <c r="W16" s="774"/>
      <c r="X16" s="1811"/>
      <c r="Y16" s="3218"/>
      <c r="Z16" s="1812"/>
      <c r="AA16" s="1809">
        <v>1</v>
      </c>
      <c r="AB16" s="1809">
        <v>1</v>
      </c>
      <c r="AC16" s="1809">
        <v>1</v>
      </c>
    </row>
    <row r="17" spans="1:29" ht="108">
      <c r="A17" s="428"/>
      <c r="B17" s="451" t="s">
        <v>2087</v>
      </c>
      <c r="C17" s="2599" t="str">
        <f>估价对象房地状况!C6</f>
        <v>估价对象邻近昆磨高速，公共交通线路较少，路网密集度一般，停车便捷程度较好，综合评价交通便捷度一般。</v>
      </c>
      <c r="D17" s="450">
        <v>100</v>
      </c>
      <c r="E17" s="3352" t="s">
        <v>3555</v>
      </c>
      <c r="F17" s="453">
        <f>SUMIF(78:78,E18,79:79)-SUMIF(78:78,C18,79:79)+100</f>
        <v>100</v>
      </c>
      <c r="G17" s="3352" t="s">
        <v>3555</v>
      </c>
      <c r="H17" s="455">
        <f>SUMIF(78:78,G18,79:79)-SUMIF(78:78,C18,79:79)+100</f>
        <v>100</v>
      </c>
      <c r="I17" s="3354" t="s">
        <v>3557</v>
      </c>
      <c r="J17" s="455">
        <f>SUMIF(78:78,I18,79:79)-SUMIF(78:78,C18,79:79)+100</f>
        <v>98</v>
      </c>
      <c r="K17" s="614">
        <v>2</v>
      </c>
      <c r="L17" s="1139"/>
      <c r="M17" s="1130"/>
      <c r="N17" s="1130"/>
      <c r="O17" s="1130"/>
      <c r="P17" s="3258"/>
      <c r="Q17" s="1808" t="str">
        <f>B17</f>
        <v>交通便捷度</v>
      </c>
      <c r="R17" s="773" t="s">
        <v>17</v>
      </c>
      <c r="S17" s="774">
        <f>F17</f>
        <v>100</v>
      </c>
      <c r="T17" s="773" t="s">
        <v>17</v>
      </c>
      <c r="U17" s="774">
        <f>H17</f>
        <v>100</v>
      </c>
      <c r="V17" s="773" t="s">
        <v>17</v>
      </c>
      <c r="W17" s="774">
        <f>J17</f>
        <v>98</v>
      </c>
      <c r="X17" s="1811"/>
      <c r="Y17" s="3218"/>
      <c r="Z17" s="1812" t="str">
        <f>Q17</f>
        <v>交通便捷度</v>
      </c>
      <c r="AA17" s="1809">
        <f t="shared" si="3"/>
        <v>1</v>
      </c>
      <c r="AB17" s="1809">
        <f t="shared" si="4"/>
        <v>1</v>
      </c>
      <c r="AC17" s="1809">
        <f t="shared" si="5"/>
        <v>1.0204081632653061</v>
      </c>
    </row>
    <row r="18" spans="1:29" ht="15">
      <c r="A18" s="428"/>
      <c r="B18" s="456"/>
      <c r="C18" s="2600" t="s">
        <v>3300</v>
      </c>
      <c r="D18" s="450"/>
      <c r="E18" s="2602" t="s">
        <v>3300</v>
      </c>
      <c r="F18" s="453"/>
      <c r="G18" s="2601" t="s">
        <v>3300</v>
      </c>
      <c r="H18" s="448"/>
      <c r="I18" s="2602" t="s">
        <v>3298</v>
      </c>
      <c r="J18" s="448"/>
      <c r="K18" s="615"/>
      <c r="L18" s="1139"/>
      <c r="M18" s="1130"/>
      <c r="N18" s="1130"/>
      <c r="O18" s="1130"/>
      <c r="P18" s="3258"/>
      <c r="Q18" s="1808"/>
      <c r="R18" s="773"/>
      <c r="S18" s="774"/>
      <c r="T18" s="773"/>
      <c r="U18" s="774"/>
      <c r="V18" s="773"/>
      <c r="W18" s="774"/>
      <c r="X18" s="1811"/>
      <c r="Y18" s="3218"/>
      <c r="Z18" s="1812"/>
      <c r="AA18" s="1809">
        <v>1</v>
      </c>
      <c r="AB18" s="1809">
        <v>1</v>
      </c>
      <c r="AC18" s="1809">
        <v>1</v>
      </c>
    </row>
    <row r="19" spans="1:29" ht="42.75">
      <c r="A19" s="428"/>
      <c r="B19" s="451" t="s">
        <v>2642</v>
      </c>
      <c r="C19" s="2599" t="str">
        <f>估价对象房地状况!C7</f>
        <v>估价对象所在区域公共配套设施齐备情况较差。</v>
      </c>
      <c r="D19" s="455">
        <v>100</v>
      </c>
      <c r="E19" s="457" t="s">
        <v>3540</v>
      </c>
      <c r="F19" s="458">
        <f>SUMIF(80:80,E20,81:81)-SUMIF(80:80,C20,81:81)+100</f>
        <v>104</v>
      </c>
      <c r="G19" s="457" t="s">
        <v>3540</v>
      </c>
      <c r="H19" s="450">
        <f>SUMIF(80:80,G20,81:81)-SUMIF(80:80,C20,81:81)+100</f>
        <v>104</v>
      </c>
      <c r="I19" s="457" t="s">
        <v>3540</v>
      </c>
      <c r="J19" s="450">
        <f>SUMIF(80:80,I20,81:81)-SUMIF(80:80,C20,81:81)+100</f>
        <v>104</v>
      </c>
      <c r="K19" s="614">
        <v>2</v>
      </c>
      <c r="L19" s="1139"/>
      <c r="M19" s="1130"/>
      <c r="N19" s="1130"/>
      <c r="O19" s="1130"/>
      <c r="P19" s="3258"/>
      <c r="Q19" s="1808" t="str">
        <f>B19</f>
        <v>公共配套设施</v>
      </c>
      <c r="R19" s="773" t="s">
        <v>17</v>
      </c>
      <c r="S19" s="774">
        <f>F19</f>
        <v>104</v>
      </c>
      <c r="T19" s="773" t="s">
        <v>17</v>
      </c>
      <c r="U19" s="774">
        <f>H19</f>
        <v>104</v>
      </c>
      <c r="V19" s="773" t="s">
        <v>17</v>
      </c>
      <c r="W19" s="774">
        <f>J19</f>
        <v>104</v>
      </c>
      <c r="X19" s="1811"/>
      <c r="Y19" s="3218"/>
      <c r="Z19" s="1812" t="str">
        <f>Q19</f>
        <v>公共配套设施</v>
      </c>
      <c r="AA19" s="1809">
        <f t="shared" si="3"/>
        <v>0.96153846153846156</v>
      </c>
      <c r="AB19" s="1809">
        <f t="shared" si="4"/>
        <v>0.96153846153846156</v>
      </c>
      <c r="AC19" s="1809">
        <f t="shared" si="5"/>
        <v>0.96153846153846156</v>
      </c>
    </row>
    <row r="20" spans="1:29" ht="15">
      <c r="A20" s="428"/>
      <c r="B20" s="456"/>
      <c r="C20" s="447" t="s">
        <v>3298</v>
      </c>
      <c r="D20" s="448"/>
      <c r="E20" s="2597" t="s">
        <v>3323</v>
      </c>
      <c r="F20" s="449"/>
      <c r="G20" s="2596" t="s">
        <v>3323</v>
      </c>
      <c r="H20" s="448"/>
      <c r="I20" s="2597" t="s">
        <v>3323</v>
      </c>
      <c r="J20" s="448"/>
      <c r="K20" s="615"/>
      <c r="L20" s="1139"/>
      <c r="M20" s="1130"/>
      <c r="N20" s="1130"/>
      <c r="O20" s="1130"/>
      <c r="P20" s="3258"/>
      <c r="Q20" s="1808"/>
      <c r="R20" s="773"/>
      <c r="S20" s="774"/>
      <c r="T20" s="773"/>
      <c r="U20" s="774"/>
      <c r="V20" s="773"/>
      <c r="W20" s="774"/>
      <c r="X20" s="1811"/>
      <c r="Y20" s="3218"/>
      <c r="Z20" s="1812"/>
      <c r="AA20" s="1809">
        <v>1</v>
      </c>
      <c r="AB20" s="1809">
        <v>1</v>
      </c>
      <c r="AC20" s="1809">
        <v>1</v>
      </c>
    </row>
    <row r="21" spans="1:29" ht="42.75">
      <c r="A21" s="428"/>
      <c r="B21" s="1383" t="s">
        <v>2643</v>
      </c>
      <c r="C21" s="2599" t="str">
        <f>估价对象房地状况!C8</f>
        <v>估价对象所在区域基础设施水平达“六通”。</v>
      </c>
      <c r="D21" s="455">
        <v>100</v>
      </c>
      <c r="E21" s="459" t="s">
        <v>3547</v>
      </c>
      <c r="F21" s="458">
        <f>SUMIF(82:82,E22,83:83)-SUMIF(82:82,C22,83:83)+100</f>
        <v>100</v>
      </c>
      <c r="G21" s="459" t="s">
        <v>3547</v>
      </c>
      <c r="H21" s="450">
        <f>SUMIF(82:82,G22,83:83)-SUMIF(82:82,C22,83:83)+100</f>
        <v>100</v>
      </c>
      <c r="I21" s="459" t="s">
        <v>3547</v>
      </c>
      <c r="J21" s="450">
        <f>SUMIF(82:82,I22,83:83)-SUMIF(82:82,C22,83:83)+100</f>
        <v>100</v>
      </c>
      <c r="K21" s="614">
        <v>2</v>
      </c>
      <c r="L21" s="1139"/>
      <c r="M21" s="1130"/>
      <c r="N21" s="1130"/>
      <c r="O21" s="1130"/>
      <c r="P21" s="3258"/>
      <c r="Q21" s="1808" t="str">
        <f>B21</f>
        <v>基础设施水平</v>
      </c>
      <c r="R21" s="773" t="s">
        <v>17</v>
      </c>
      <c r="S21" s="774">
        <f>F21</f>
        <v>100</v>
      </c>
      <c r="T21" s="773" t="s">
        <v>17</v>
      </c>
      <c r="U21" s="774">
        <f>H21</f>
        <v>100</v>
      </c>
      <c r="V21" s="773" t="s">
        <v>17</v>
      </c>
      <c r="W21" s="774">
        <f>J21</f>
        <v>100</v>
      </c>
      <c r="X21" s="1811"/>
      <c r="Y21" s="3218"/>
      <c r="Z21" s="1812" t="str">
        <f>Q21</f>
        <v>基础设施水平</v>
      </c>
      <c r="AA21" s="1809">
        <f t="shared" ref="AA21" si="8">D21/F21</f>
        <v>1</v>
      </c>
      <c r="AB21" s="1809">
        <f t="shared" ref="AB21" si="9">D21/H21</f>
        <v>1</v>
      </c>
      <c r="AC21" s="1809">
        <f t="shared" ref="AC21" si="10">D21/J21</f>
        <v>1</v>
      </c>
    </row>
    <row r="22" spans="1:29" ht="15">
      <c r="A22" s="428"/>
      <c r="B22" s="1383"/>
      <c r="C22" s="2600" t="s">
        <v>3292</v>
      </c>
      <c r="D22" s="448"/>
      <c r="E22" s="447" t="s">
        <v>3292</v>
      </c>
      <c r="F22" s="449"/>
      <c r="G22" s="447" t="s">
        <v>3292</v>
      </c>
      <c r="H22" s="448"/>
      <c r="I22" s="447" t="s">
        <v>3292</v>
      </c>
      <c r="J22" s="448"/>
      <c r="K22" s="1382"/>
      <c r="L22" s="1139"/>
      <c r="M22" s="1130"/>
      <c r="N22" s="1130"/>
      <c r="O22" s="1130"/>
      <c r="P22" s="3258"/>
      <c r="Q22" s="1808"/>
      <c r="R22" s="773"/>
      <c r="S22" s="774"/>
      <c r="T22" s="773"/>
      <c r="U22" s="774"/>
      <c r="V22" s="773"/>
      <c r="W22" s="774"/>
      <c r="X22" s="1811"/>
      <c r="Y22" s="3218"/>
      <c r="Z22" s="1812"/>
      <c r="AA22" s="1809">
        <v>1</v>
      </c>
      <c r="AB22" s="1809">
        <v>1</v>
      </c>
      <c r="AC22" s="1809">
        <v>1</v>
      </c>
    </row>
    <row r="23" spans="1:29" ht="148.5">
      <c r="A23" s="428"/>
      <c r="B23" s="451" t="s">
        <v>2092</v>
      </c>
      <c r="C23" s="2656" t="str">
        <f>估价对象房地状况!C9</f>
        <v>估价对象所在区域无公园等自然环境设施，自然环境较差；所在区域无博物馆等人文设施，人文设施较差，综合评价自然及人文环境状况较差。</v>
      </c>
      <c r="D23" s="450">
        <v>100</v>
      </c>
      <c r="E23" s="3352" t="s">
        <v>3539</v>
      </c>
      <c r="F23" s="453">
        <f>SUMIF(84:84,E24,85:85)-SUMIF(84:84,C24,85:85)+100</f>
        <v>100</v>
      </c>
      <c r="G23" s="3352" t="s">
        <v>3556</v>
      </c>
      <c r="H23" s="450">
        <f>SUMIF(84:84,G24,85:85)-SUMIF(84:84,C24,85:85)+100</f>
        <v>102</v>
      </c>
      <c r="I23" s="3352" t="s">
        <v>3548</v>
      </c>
      <c r="J23" s="450">
        <f>SUMIF(84:84,I24,85:85)-SUMIF(84:84,C24,85:85)+100</f>
        <v>102</v>
      </c>
      <c r="K23" s="614">
        <v>2</v>
      </c>
      <c r="L23" s="1139"/>
      <c r="M23" s="1130"/>
      <c r="N23" s="1130"/>
      <c r="O23" s="1130"/>
      <c r="P23" s="3258"/>
      <c r="Q23" s="1808" t="str">
        <f>B23</f>
        <v>自然及人文环境</v>
      </c>
      <c r="R23" s="773" t="s">
        <v>17</v>
      </c>
      <c r="S23" s="774">
        <f>F23</f>
        <v>100</v>
      </c>
      <c r="T23" s="773" t="s">
        <v>17</v>
      </c>
      <c r="U23" s="774">
        <f>H23</f>
        <v>102</v>
      </c>
      <c r="V23" s="773" t="s">
        <v>17</v>
      </c>
      <c r="W23" s="774">
        <f>J23</f>
        <v>102</v>
      </c>
      <c r="X23" s="1811"/>
      <c r="Y23" s="3218"/>
      <c r="Z23" s="1812" t="str">
        <f>Q23</f>
        <v>自然及人文环境</v>
      </c>
      <c r="AA23" s="1809">
        <f t="shared" si="3"/>
        <v>1</v>
      </c>
      <c r="AB23" s="1809">
        <f t="shared" si="4"/>
        <v>0.98039215686274506</v>
      </c>
      <c r="AC23" s="1809">
        <f t="shared" si="5"/>
        <v>0.98039215686274506</v>
      </c>
    </row>
    <row r="24" spans="1:29" ht="15">
      <c r="A24" s="428"/>
      <c r="B24" s="456"/>
      <c r="C24" s="447" t="s">
        <v>3298</v>
      </c>
      <c r="D24" s="448"/>
      <c r="E24" s="2597" t="s">
        <v>3298</v>
      </c>
      <c r="F24" s="449"/>
      <c r="G24" s="2596" t="s">
        <v>3300</v>
      </c>
      <c r="H24" s="448"/>
      <c r="I24" s="2597" t="s">
        <v>3300</v>
      </c>
      <c r="J24" s="448"/>
      <c r="K24" s="615"/>
      <c r="L24" s="1139"/>
      <c r="M24" s="1130"/>
      <c r="N24" s="1130"/>
      <c r="O24" s="1130"/>
      <c r="P24" s="3258"/>
      <c r="Q24" s="1808"/>
      <c r="R24" s="773"/>
      <c r="S24" s="774"/>
      <c r="T24" s="773"/>
      <c r="U24" s="774"/>
      <c r="V24" s="773"/>
      <c r="W24" s="774"/>
      <c r="X24" s="1811"/>
      <c r="Y24" s="3218"/>
      <c r="Z24" s="1812"/>
      <c r="AA24" s="1809">
        <v>1</v>
      </c>
      <c r="AB24" s="1809">
        <v>1</v>
      </c>
      <c r="AC24" s="1809">
        <v>1</v>
      </c>
    </row>
    <row r="25" spans="1:29" ht="15">
      <c r="A25" s="428"/>
      <c r="B25" s="422" t="s">
        <v>2644</v>
      </c>
      <c r="C25" s="616" t="s">
        <v>3334</v>
      </c>
      <c r="D25" s="435">
        <v>100</v>
      </c>
      <c r="E25" s="616" t="s">
        <v>3334</v>
      </c>
      <c r="F25" s="461">
        <f>SUMIF(86:86,E25,87:87)-SUMIF(86:86,C25,87:87)+100</f>
        <v>100</v>
      </c>
      <c r="G25" s="616" t="s">
        <v>3334</v>
      </c>
      <c r="H25" s="435">
        <f>SUMIF(86:86,G25,87:87)-SUMIF(86:86,C25,87:87)+100</f>
        <v>100</v>
      </c>
      <c r="I25" s="616" t="s">
        <v>3334</v>
      </c>
      <c r="J25" s="435">
        <f>SUMIF(86:86,I25,87:87)-SUMIF(86:86,C25,87:87)+100</f>
        <v>100</v>
      </c>
      <c r="K25" s="612">
        <v>2</v>
      </c>
      <c r="L25" s="1139"/>
      <c r="M25" s="1130"/>
      <c r="N25" s="1130"/>
      <c r="O25" s="1130"/>
      <c r="P25" s="3258"/>
      <c r="Q25" s="1808" t="str">
        <f t="shared" ref="Q25:Q46" si="11">B25</f>
        <v>临街状况</v>
      </c>
      <c r="R25" s="773" t="s">
        <v>17</v>
      </c>
      <c r="S25" s="774">
        <f>F25</f>
        <v>100</v>
      </c>
      <c r="T25" s="773" t="s">
        <v>17</v>
      </c>
      <c r="U25" s="774">
        <f>H25</f>
        <v>100</v>
      </c>
      <c r="V25" s="773" t="s">
        <v>17</v>
      </c>
      <c r="W25" s="774">
        <f>J25</f>
        <v>100</v>
      </c>
      <c r="X25" s="1811"/>
      <c r="Y25" s="3218"/>
      <c r="Z25" s="1812" t="str">
        <f>Q25</f>
        <v>临街状况</v>
      </c>
      <c r="AA25" s="1809">
        <f t="shared" si="3"/>
        <v>1</v>
      </c>
      <c r="AB25" s="1809">
        <f t="shared" si="4"/>
        <v>1</v>
      </c>
      <c r="AC25" s="1809">
        <f t="shared" si="5"/>
        <v>1</v>
      </c>
    </row>
    <row r="26" spans="1:29" ht="15">
      <c r="A26" s="428"/>
      <c r="B26" s="1385" t="s">
        <v>2645</v>
      </c>
      <c r="C26" s="2958" t="s">
        <v>3337</v>
      </c>
      <c r="D26" s="435">
        <v>100</v>
      </c>
      <c r="E26" s="2958" t="s">
        <v>3337</v>
      </c>
      <c r="F26" s="461">
        <f>SUMIF(88:88,E26,89:89)-SUMIF(88:88,C26,89:89)+100</f>
        <v>100</v>
      </c>
      <c r="G26" s="2958" t="s">
        <v>3337</v>
      </c>
      <c r="H26" s="435">
        <f>SUMIF(88:88,G26,89:89)-SUMIF(88:88,C26,89:89)+100</f>
        <v>100</v>
      </c>
      <c r="I26" s="2958" t="s">
        <v>3337</v>
      </c>
      <c r="J26" s="435">
        <f>SUMIF(88:88,I26,89:89)-SUMIF(88:88,C26,89:89)+100</f>
        <v>100</v>
      </c>
      <c r="K26" s="613"/>
      <c r="L26" s="1139"/>
      <c r="M26" s="1130"/>
      <c r="N26" s="1130"/>
      <c r="O26" s="1130"/>
      <c r="P26" s="3258"/>
      <c r="Q26" s="1808" t="str">
        <f t="shared" si="11"/>
        <v>平面位置/可视性</v>
      </c>
      <c r="R26" s="773" t="s">
        <v>17</v>
      </c>
      <c r="S26" s="774">
        <f>F26</f>
        <v>100</v>
      </c>
      <c r="T26" s="773" t="s">
        <v>17</v>
      </c>
      <c r="U26" s="774">
        <f>H26</f>
        <v>100</v>
      </c>
      <c r="V26" s="773" t="s">
        <v>17</v>
      </c>
      <c r="W26" s="774">
        <f>J26</f>
        <v>100</v>
      </c>
      <c r="X26" s="1811"/>
      <c r="Y26" s="3218"/>
      <c r="Z26" s="1812" t="str">
        <f>Q26</f>
        <v>平面位置/可视性</v>
      </c>
      <c r="AA26" s="1809">
        <f t="shared" si="3"/>
        <v>1</v>
      </c>
      <c r="AB26" s="1809">
        <f t="shared" si="4"/>
        <v>1</v>
      </c>
      <c r="AC26" s="1809">
        <f t="shared" si="5"/>
        <v>1</v>
      </c>
    </row>
    <row r="27" spans="1:29" s="117" customFormat="1" ht="15">
      <c r="A27" s="431"/>
      <c r="B27" s="451" t="s">
        <v>2646</v>
      </c>
      <c r="C27" s="2657" t="s">
        <v>3300</v>
      </c>
      <c r="D27" s="462">
        <v>100</v>
      </c>
      <c r="E27" s="2657" t="s">
        <v>3300</v>
      </c>
      <c r="F27" s="464">
        <f>SUMIF(90:90,E27,91:91)-SUMIF(90:90,C27,91:91)+100</f>
        <v>100</v>
      </c>
      <c r="G27" s="2657" t="s">
        <v>3300</v>
      </c>
      <c r="H27" s="462">
        <f>SUMIF(90:90,G27,91:91)-SUMIF(90:90,C27,91:91)+100</f>
        <v>100</v>
      </c>
      <c r="I27" s="2657" t="s">
        <v>3300</v>
      </c>
      <c r="J27" s="462">
        <f>SUMIF(90:90,I27,91:91)-SUMIF(90:90,C27,91:91)+100</f>
        <v>100</v>
      </c>
      <c r="K27" s="612">
        <v>2</v>
      </c>
      <c r="L27" s="1131"/>
      <c r="M27" s="1132"/>
      <c r="N27" s="1132"/>
      <c r="O27" s="1132"/>
      <c r="P27" s="3258"/>
      <c r="Q27" s="1793" t="str">
        <f t="shared" si="11"/>
        <v>人流量</v>
      </c>
      <c r="R27" s="769" t="s">
        <v>17</v>
      </c>
      <c r="S27" s="770">
        <f>F27</f>
        <v>100</v>
      </c>
      <c r="T27" s="769" t="s">
        <v>17</v>
      </c>
      <c r="U27" s="770">
        <f>H27</f>
        <v>100</v>
      </c>
      <c r="V27" s="769" t="s">
        <v>17</v>
      </c>
      <c r="W27" s="770">
        <f>J27</f>
        <v>100</v>
      </c>
      <c r="X27" s="771"/>
      <c r="Y27" s="3218"/>
      <c r="Z27" s="55" t="str">
        <f>Q27</f>
        <v>人流量</v>
      </c>
      <c r="AA27" s="1809">
        <f>D27/F27</f>
        <v>1</v>
      </c>
      <c r="AB27" s="1809">
        <f>D27/H27</f>
        <v>1</v>
      </c>
      <c r="AC27" s="1809">
        <f>D27/J27</f>
        <v>1</v>
      </c>
    </row>
    <row r="28" spans="1:29" ht="15.75" thickBot="1">
      <c r="A28" s="428"/>
      <c r="B28" s="422" t="s">
        <v>2647</v>
      </c>
      <c r="C28" s="616" t="s">
        <v>3372</v>
      </c>
      <c r="D28" s="435">
        <v>100</v>
      </c>
      <c r="E28" s="616" t="s">
        <v>3372</v>
      </c>
      <c r="F28" s="461">
        <f>SUMIF(92:92,E28,93:93)-SUMIF(92:92,C28,93:93)+100</f>
        <v>100</v>
      </c>
      <c r="G28" s="616" t="s">
        <v>3372</v>
      </c>
      <c r="H28" s="435">
        <f>SUMIF(92:92,G28,93:93)-SUMIF(92:92,C28,93:93)+100</f>
        <v>100</v>
      </c>
      <c r="I28" s="616" t="s">
        <v>3372</v>
      </c>
      <c r="J28" s="435">
        <f>SUMIF(92:92,I28,93:93)-SUMIF(92:92,C28,93:93)+100</f>
        <v>100</v>
      </c>
      <c r="K28" s="613"/>
      <c r="L28" s="1139"/>
      <c r="M28" s="1130"/>
      <c r="N28" s="1130"/>
      <c r="O28" s="1130"/>
      <c r="P28" s="3258"/>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18"/>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58"/>
      <c r="Q29" s="1808">
        <f t="shared" si="11"/>
        <v>111</v>
      </c>
      <c r="R29" s="773" t="s">
        <v>17</v>
      </c>
      <c r="S29" s="774">
        <f t="shared" si="12"/>
        <v>100</v>
      </c>
      <c r="T29" s="773" t="s">
        <v>17</v>
      </c>
      <c r="U29" s="774">
        <f t="shared" si="13"/>
        <v>100</v>
      </c>
      <c r="V29" s="773" t="s">
        <v>17</v>
      </c>
      <c r="W29" s="774">
        <f t="shared" si="14"/>
        <v>100</v>
      </c>
      <c r="X29" s="1811"/>
      <c r="Y29" s="3218"/>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58"/>
      <c r="Q30" s="1808">
        <f t="shared" si="11"/>
        <v>111</v>
      </c>
      <c r="R30" s="773" t="s">
        <v>17</v>
      </c>
      <c r="S30" s="774">
        <f t="shared" si="12"/>
        <v>100</v>
      </c>
      <c r="T30" s="773" t="s">
        <v>17</v>
      </c>
      <c r="U30" s="774">
        <f t="shared" si="13"/>
        <v>100</v>
      </c>
      <c r="V30" s="773" t="s">
        <v>17</v>
      </c>
      <c r="W30" s="774">
        <f t="shared" si="14"/>
        <v>100</v>
      </c>
      <c r="X30" s="1811"/>
      <c r="Y30" s="3218"/>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58"/>
      <c r="Q31" s="1808">
        <f t="shared" si="11"/>
        <v>111</v>
      </c>
      <c r="R31" s="773" t="s">
        <v>17</v>
      </c>
      <c r="S31" s="774">
        <f t="shared" si="12"/>
        <v>100</v>
      </c>
      <c r="T31" s="773" t="s">
        <v>17</v>
      </c>
      <c r="U31" s="774">
        <f t="shared" si="13"/>
        <v>100</v>
      </c>
      <c r="V31" s="773" t="s">
        <v>17</v>
      </c>
      <c r="W31" s="774">
        <f t="shared" si="14"/>
        <v>100</v>
      </c>
      <c r="X31" s="1811"/>
      <c r="Y31" s="3218"/>
      <c r="Z31" s="1812">
        <f t="shared" si="15"/>
        <v>111</v>
      </c>
      <c r="AA31" s="1809">
        <f t="shared" si="3"/>
        <v>1</v>
      </c>
      <c r="AB31" s="1809">
        <f t="shared" si="4"/>
        <v>1</v>
      </c>
      <c r="AC31" s="1809">
        <f t="shared" si="5"/>
        <v>1</v>
      </c>
    </row>
    <row r="32" spans="1:29" ht="15">
      <c r="A32" s="440" t="s">
        <v>2551</v>
      </c>
      <c r="B32" s="71" t="s">
        <v>2648</v>
      </c>
      <c r="C32" s="2997" t="s">
        <v>3343</v>
      </c>
      <c r="D32" s="467">
        <v>100</v>
      </c>
      <c r="E32" s="2609" t="s">
        <v>3343</v>
      </c>
      <c r="F32" s="461">
        <f>SUMIF(100:100,E32,101:101)-SUMIF(100:100,C32,101:101)+100</f>
        <v>100</v>
      </c>
      <c r="G32" s="2609" t="s">
        <v>3343</v>
      </c>
      <c r="H32" s="435">
        <f>SUMIF(100:100,G32,101:101)-SUMIF(100:100,C32,101:101)+100</f>
        <v>100</v>
      </c>
      <c r="I32" s="2609" t="s">
        <v>3343</v>
      </c>
      <c r="J32" s="467">
        <f>SUMIF(100:100,I32,101:101)-SUMIF(100:100,C32,101:101)+100</f>
        <v>100</v>
      </c>
      <c r="K32" s="612">
        <v>3</v>
      </c>
      <c r="L32" s="1139"/>
      <c r="M32" s="1130"/>
      <c r="N32" s="1130"/>
      <c r="O32" s="1130"/>
      <c r="P32" s="3253" t="s">
        <v>2553</v>
      </c>
      <c r="Q32" s="1808" t="str">
        <f t="shared" si="11"/>
        <v>商业类型</v>
      </c>
      <c r="R32" s="773" t="s">
        <v>17</v>
      </c>
      <c r="S32" s="774">
        <f t="shared" si="12"/>
        <v>100</v>
      </c>
      <c r="T32" s="773" t="s">
        <v>17</v>
      </c>
      <c r="U32" s="774">
        <f t="shared" si="13"/>
        <v>100</v>
      </c>
      <c r="V32" s="773" t="s">
        <v>17</v>
      </c>
      <c r="W32" s="774">
        <f t="shared" si="14"/>
        <v>100</v>
      </c>
      <c r="X32" s="1811"/>
      <c r="Y32" s="3220" t="s">
        <v>2553</v>
      </c>
      <c r="Z32" s="1812" t="str">
        <f t="shared" si="15"/>
        <v>商业类型</v>
      </c>
      <c r="AA32" s="1809">
        <f t="shared" si="3"/>
        <v>1</v>
      </c>
      <c r="AB32" s="1809">
        <f t="shared" si="4"/>
        <v>1</v>
      </c>
      <c r="AC32" s="1809">
        <f t="shared" si="5"/>
        <v>1</v>
      </c>
    </row>
    <row r="33" spans="1:29" s="471" customFormat="1" ht="15">
      <c r="A33" s="468"/>
      <c r="B33" s="422" t="s">
        <v>2554</v>
      </c>
      <c r="C33" s="469">
        <f>'数据-汇总表'!F20</f>
        <v>1453.71</v>
      </c>
      <c r="D33" s="136">
        <v>100</v>
      </c>
      <c r="E33" s="430">
        <v>45.88</v>
      </c>
      <c r="F33" s="425">
        <f>LOOKUP(E33,103:103,104:104)-LOOKUP(C33,103:103,104:104)+100</f>
        <v>104</v>
      </c>
      <c r="G33" s="429">
        <v>112</v>
      </c>
      <c r="H33" s="136">
        <f>LOOKUP(G33,103:103,104:104)-LOOKUP(C33,103:103,104:104)+100</f>
        <v>102</v>
      </c>
      <c r="I33" s="429">
        <v>44.16</v>
      </c>
      <c r="J33" s="136">
        <f>LOOKUP(I33,103:103,104:104)-LOOKUP(C33,103:103,104:104)+100</f>
        <v>104</v>
      </c>
      <c r="K33" s="613"/>
      <c r="L33" s="1137"/>
      <c r="M33" s="1140"/>
      <c r="N33" s="1140"/>
      <c r="O33" s="1140"/>
      <c r="P33" s="3254"/>
      <c r="Q33" s="775" t="str">
        <f t="shared" si="11"/>
        <v>项目建筑规模</v>
      </c>
      <c r="R33" s="776" t="s">
        <v>17</v>
      </c>
      <c r="S33" s="777">
        <f t="shared" si="12"/>
        <v>104</v>
      </c>
      <c r="T33" s="776" t="s">
        <v>17</v>
      </c>
      <c r="U33" s="777">
        <f t="shared" si="13"/>
        <v>102</v>
      </c>
      <c r="V33" s="776" t="s">
        <v>17</v>
      </c>
      <c r="W33" s="777">
        <f t="shared" si="14"/>
        <v>104</v>
      </c>
      <c r="X33" s="778"/>
      <c r="Y33" s="3220"/>
      <c r="Z33" s="779" t="str">
        <f t="shared" si="15"/>
        <v>项目建筑规模</v>
      </c>
      <c r="AA33" s="1809">
        <f t="shared" si="3"/>
        <v>0.96153846153846156</v>
      </c>
      <c r="AB33" s="1809">
        <f t="shared" si="4"/>
        <v>0.98039215686274506</v>
      </c>
      <c r="AC33" s="1809">
        <f t="shared" si="5"/>
        <v>0.96153846153846156</v>
      </c>
    </row>
    <row r="34" spans="1:29" ht="15">
      <c r="A34" s="472"/>
      <c r="B34" s="422" t="s">
        <v>2555</v>
      </c>
      <c r="C34" s="2611" t="s">
        <v>3237</v>
      </c>
      <c r="D34" s="435">
        <v>100</v>
      </c>
      <c r="E34" s="2611" t="s">
        <v>3237</v>
      </c>
      <c r="F34" s="461">
        <f>SUMIF(105:105,E34,106:106)-SUMIF(105:105,C34,106:106)+100</f>
        <v>100</v>
      </c>
      <c r="G34" s="2611" t="s">
        <v>3237</v>
      </c>
      <c r="H34" s="435">
        <f>SUMIF(105:105,G34,106:106)-SUMIF(105:105,C34,106:106)+100</f>
        <v>100</v>
      </c>
      <c r="I34" s="2611" t="s">
        <v>3237</v>
      </c>
      <c r="J34" s="435">
        <f>SUMIF(105:105,I34,106:106)-SUMIF(105:105,C34,106:106)+100</f>
        <v>100</v>
      </c>
      <c r="K34" s="612">
        <v>2</v>
      </c>
      <c r="L34" s="1139"/>
      <c r="M34" s="1130"/>
      <c r="N34" s="1130"/>
      <c r="O34" s="1130"/>
      <c r="P34" s="3254"/>
      <c r="Q34" s="1808" t="str">
        <f t="shared" si="11"/>
        <v>建筑结构</v>
      </c>
      <c r="R34" s="773" t="s">
        <v>17</v>
      </c>
      <c r="S34" s="774">
        <f t="shared" si="12"/>
        <v>100</v>
      </c>
      <c r="T34" s="773" t="s">
        <v>17</v>
      </c>
      <c r="U34" s="774">
        <f t="shared" si="13"/>
        <v>100</v>
      </c>
      <c r="V34" s="773" t="s">
        <v>17</v>
      </c>
      <c r="W34" s="774">
        <f t="shared" si="14"/>
        <v>100</v>
      </c>
      <c r="X34" s="1811"/>
      <c r="Y34" s="3220"/>
      <c r="Z34" s="1812" t="str">
        <f t="shared" si="15"/>
        <v>建筑结构</v>
      </c>
      <c r="AA34" s="1809">
        <f t="shared" si="3"/>
        <v>1</v>
      </c>
      <c r="AB34" s="1809">
        <f t="shared" si="4"/>
        <v>1</v>
      </c>
      <c r="AC34" s="1809">
        <f t="shared" si="5"/>
        <v>1</v>
      </c>
    </row>
    <row r="35" spans="1:29" ht="15">
      <c r="A35" s="472"/>
      <c r="B35" s="422" t="s">
        <v>2649</v>
      </c>
      <c r="C35" s="2605" t="s">
        <v>3280</v>
      </c>
      <c r="D35" s="435">
        <v>100</v>
      </c>
      <c r="E35" s="2605" t="s">
        <v>3280</v>
      </c>
      <c r="F35" s="461">
        <f>SUMIF(107:107,E35,108:108)-SUMIF(107:107,C35,108:108)+100</f>
        <v>100</v>
      </c>
      <c r="G35" s="2605" t="s">
        <v>3280</v>
      </c>
      <c r="H35" s="435">
        <f>SUMIF(107:107,G35,108:108)-SUMIF(107:107,C35,108:108)+100</f>
        <v>100</v>
      </c>
      <c r="I35" s="2605" t="s">
        <v>3280</v>
      </c>
      <c r="J35" s="435">
        <f>SUMIF(107:107,I35,108:108)-SUMIF(107:107,C35,108:108)+100</f>
        <v>100</v>
      </c>
      <c r="K35" s="612">
        <v>2</v>
      </c>
      <c r="L35" s="1139"/>
      <c r="M35" s="1130"/>
      <c r="N35" s="1130"/>
      <c r="O35" s="1130"/>
      <c r="P35" s="3254"/>
      <c r="Q35" s="1808" t="str">
        <f t="shared" si="11"/>
        <v>公共部分装修</v>
      </c>
      <c r="R35" s="773" t="s">
        <v>17</v>
      </c>
      <c r="S35" s="774">
        <f t="shared" si="12"/>
        <v>100</v>
      </c>
      <c r="T35" s="773" t="s">
        <v>17</v>
      </c>
      <c r="U35" s="774">
        <f t="shared" si="13"/>
        <v>100</v>
      </c>
      <c r="V35" s="773" t="s">
        <v>17</v>
      </c>
      <c r="W35" s="774">
        <f t="shared" si="14"/>
        <v>100</v>
      </c>
      <c r="X35" s="1811"/>
      <c r="Y35" s="3220"/>
      <c r="Z35" s="1812" t="str">
        <f t="shared" si="15"/>
        <v>公共部分装修</v>
      </c>
      <c r="AA35" s="1809">
        <f t="shared" si="3"/>
        <v>1</v>
      </c>
      <c r="AB35" s="1809">
        <f t="shared" si="4"/>
        <v>1</v>
      </c>
      <c r="AC35" s="1809">
        <f t="shared" si="5"/>
        <v>1</v>
      </c>
    </row>
    <row r="36" spans="1:29" ht="15">
      <c r="A36" s="472"/>
      <c r="B36" s="422" t="s">
        <v>2650</v>
      </c>
      <c r="C36" s="474">
        <v>1</v>
      </c>
      <c r="D36" s="435">
        <v>100</v>
      </c>
      <c r="E36" s="474">
        <v>0.8</v>
      </c>
      <c r="F36" s="461">
        <f>LOOKUP(E36,110:110,111:111)-LOOKUP(C36,110:110,111:111)+100</f>
        <v>98</v>
      </c>
      <c r="G36" s="474">
        <v>0.8</v>
      </c>
      <c r="H36" s="461">
        <f>LOOKUP(G36,110:110,111:111)-LOOKUP(C36,110:110,111:111)+100</f>
        <v>98</v>
      </c>
      <c r="I36" s="474">
        <v>0.8</v>
      </c>
      <c r="J36" s="435">
        <f>LOOKUP(I36,110:110,111:111)-LOOKUP(C36,110:110,111:111)+100</f>
        <v>98</v>
      </c>
      <c r="K36" s="612">
        <v>2</v>
      </c>
      <c r="L36" s="1139"/>
      <c r="M36" s="1130"/>
      <c r="N36" s="1130"/>
      <c r="O36" s="1130"/>
      <c r="P36" s="3254"/>
      <c r="Q36" s="1808" t="str">
        <f t="shared" si="11"/>
        <v>成新度</v>
      </c>
      <c r="R36" s="773" t="s">
        <v>17</v>
      </c>
      <c r="S36" s="774">
        <f t="shared" si="12"/>
        <v>98</v>
      </c>
      <c r="T36" s="773" t="s">
        <v>17</v>
      </c>
      <c r="U36" s="774">
        <f t="shared" si="13"/>
        <v>98</v>
      </c>
      <c r="V36" s="773" t="s">
        <v>17</v>
      </c>
      <c r="W36" s="774">
        <f t="shared" si="14"/>
        <v>98</v>
      </c>
      <c r="X36" s="1811"/>
      <c r="Y36" s="3220"/>
      <c r="Z36" s="1812" t="str">
        <f t="shared" si="15"/>
        <v>成新度</v>
      </c>
      <c r="AA36" s="1809">
        <f t="shared" si="3"/>
        <v>1.0204081632653061</v>
      </c>
      <c r="AB36" s="1809">
        <f t="shared" si="4"/>
        <v>1.0204081632653061</v>
      </c>
      <c r="AC36" s="1809">
        <f t="shared" si="5"/>
        <v>1.0204081632653061</v>
      </c>
    </row>
    <row r="37" spans="1:29" s="117" customFormat="1" ht="15">
      <c r="A37" s="473"/>
      <c r="B37" s="422" t="s">
        <v>2651</v>
      </c>
      <c r="C37" s="2605" t="s">
        <v>3292</v>
      </c>
      <c r="D37" s="136">
        <v>100</v>
      </c>
      <c r="E37" s="2605" t="s">
        <v>3292</v>
      </c>
      <c r="F37" s="461">
        <f>SUMIF(112:112,E37,113:113)-SUMIF(112:112,C37,113:113)+100</f>
        <v>100</v>
      </c>
      <c r="G37" s="2605" t="s">
        <v>3292</v>
      </c>
      <c r="H37" s="435">
        <f>SUMIF(112:112,G37,113:113)-SUMIF(112:112,C37,113:113)+100</f>
        <v>100</v>
      </c>
      <c r="I37" s="2605" t="s">
        <v>3292</v>
      </c>
      <c r="J37" s="435">
        <f>SUMIF(112:112,I37,113:113)-SUMIF(112:112,C37,113:113)+100</f>
        <v>100</v>
      </c>
      <c r="K37" s="612">
        <v>2</v>
      </c>
      <c r="L37" s="1131"/>
      <c r="M37" s="1132"/>
      <c r="N37" s="1132"/>
      <c r="O37" s="1132"/>
      <c r="P37" s="3254"/>
      <c r="Q37" s="1793" t="str">
        <f t="shared" si="11"/>
        <v>市政基础设施</v>
      </c>
      <c r="R37" s="769" t="s">
        <v>17</v>
      </c>
      <c r="S37" s="770">
        <f t="shared" si="12"/>
        <v>100</v>
      </c>
      <c r="T37" s="769" t="s">
        <v>17</v>
      </c>
      <c r="U37" s="770">
        <f t="shared" si="13"/>
        <v>100</v>
      </c>
      <c r="V37" s="769" t="s">
        <v>17</v>
      </c>
      <c r="W37" s="770">
        <f t="shared" si="14"/>
        <v>100</v>
      </c>
      <c r="X37" s="771"/>
      <c r="Y37" s="3220"/>
      <c r="Z37" s="55" t="str">
        <f t="shared" si="15"/>
        <v>市政基础设施</v>
      </c>
      <c r="AA37" s="772">
        <f t="shared" si="3"/>
        <v>1</v>
      </c>
      <c r="AB37" s="772">
        <f t="shared" si="4"/>
        <v>1</v>
      </c>
      <c r="AC37" s="772">
        <f t="shared" si="5"/>
        <v>1</v>
      </c>
    </row>
    <row r="38" spans="1:29" ht="15">
      <c r="A38" s="472"/>
      <c r="B38" s="422" t="s">
        <v>2652</v>
      </c>
      <c r="C38" s="2605" t="s">
        <v>3358</v>
      </c>
      <c r="D38" s="435">
        <v>100</v>
      </c>
      <c r="E38" s="2605" t="s">
        <v>3358</v>
      </c>
      <c r="F38" s="461">
        <f>SUMIF(114:114,E38,115:115)-SUMIF(114:114,C38,115:115)+100</f>
        <v>100</v>
      </c>
      <c r="G38" s="2605" t="s">
        <v>3358</v>
      </c>
      <c r="H38" s="435">
        <f>SUMIF(114:114,G38,115:115)-SUMIF(114:114,C38,115:115)+100</f>
        <v>100</v>
      </c>
      <c r="I38" s="2605" t="s">
        <v>3358</v>
      </c>
      <c r="J38" s="435">
        <f>SUMIF(114:114,I38,115:115)-SUMIF(114:114,C38,115:115)+100</f>
        <v>100</v>
      </c>
      <c r="K38" s="612">
        <v>2</v>
      </c>
      <c r="L38" s="1139"/>
      <c r="M38" s="1130"/>
      <c r="N38" s="1130"/>
      <c r="O38" s="1130"/>
      <c r="P38" s="3254" t="s">
        <v>2553</v>
      </c>
      <c r="Q38" s="1808" t="str">
        <f t="shared" si="11"/>
        <v>业态</v>
      </c>
      <c r="R38" s="773" t="s">
        <v>17</v>
      </c>
      <c r="S38" s="774">
        <f t="shared" si="12"/>
        <v>100</v>
      </c>
      <c r="T38" s="773" t="s">
        <v>17</v>
      </c>
      <c r="U38" s="774">
        <f t="shared" si="13"/>
        <v>100</v>
      </c>
      <c r="V38" s="773" t="s">
        <v>17</v>
      </c>
      <c r="W38" s="774">
        <f t="shared" si="14"/>
        <v>100</v>
      </c>
      <c r="X38" s="1811"/>
      <c r="Y38" s="3220" t="s">
        <v>2553</v>
      </c>
      <c r="Z38" s="1812" t="str">
        <f t="shared" si="15"/>
        <v>业态</v>
      </c>
      <c r="AA38" s="1809">
        <f t="shared" si="3"/>
        <v>1</v>
      </c>
      <c r="AB38" s="1809">
        <f t="shared" si="4"/>
        <v>1</v>
      </c>
      <c r="AC38" s="1809">
        <f t="shared" si="5"/>
        <v>1</v>
      </c>
    </row>
    <row r="39" spans="1:29" ht="15">
      <c r="A39" s="472"/>
      <c r="B39" s="422" t="s">
        <v>2653</v>
      </c>
      <c r="C39" s="2605" t="s">
        <v>3362</v>
      </c>
      <c r="D39" s="435">
        <v>100</v>
      </c>
      <c r="E39" s="2605" t="s">
        <v>3362</v>
      </c>
      <c r="F39" s="461">
        <f>SUMIF(116:116,E39,117:117)-SUMIF(116:116,C39,117:117)+100</f>
        <v>100</v>
      </c>
      <c r="G39" s="2605" t="s">
        <v>3362</v>
      </c>
      <c r="H39" s="435">
        <f>SUMIF(116:116,G39,117:117)-SUMIF(116:116,C39,117:117)+100</f>
        <v>100</v>
      </c>
      <c r="I39" s="2605" t="s">
        <v>3362</v>
      </c>
      <c r="J39" s="435">
        <f>SUMIF(116:116,I39,117:117)-SUMIF(116:116,C39,117:117)+100</f>
        <v>100</v>
      </c>
      <c r="K39" s="612">
        <v>2</v>
      </c>
      <c r="L39" s="1139"/>
      <c r="M39" s="1130"/>
      <c r="N39" s="1130"/>
      <c r="O39" s="1130"/>
      <c r="P39" s="3254"/>
      <c r="Q39" s="1808" t="str">
        <f t="shared" si="11"/>
        <v>层高</v>
      </c>
      <c r="R39" s="773" t="s">
        <v>17</v>
      </c>
      <c r="S39" s="774">
        <f t="shared" si="12"/>
        <v>100</v>
      </c>
      <c r="T39" s="773" t="s">
        <v>17</v>
      </c>
      <c r="U39" s="774">
        <f t="shared" si="13"/>
        <v>100</v>
      </c>
      <c r="V39" s="773" t="s">
        <v>17</v>
      </c>
      <c r="W39" s="774">
        <f t="shared" si="14"/>
        <v>100</v>
      </c>
      <c r="X39" s="1811"/>
      <c r="Y39" s="3220"/>
      <c r="Z39" s="1812" t="str">
        <f t="shared" si="15"/>
        <v>层高</v>
      </c>
      <c r="AA39" s="1809">
        <f t="shared" si="3"/>
        <v>1</v>
      </c>
      <c r="AB39" s="1809">
        <f t="shared" si="4"/>
        <v>1</v>
      </c>
      <c r="AC39" s="1809">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54"/>
      <c r="Q40" s="1808" t="str">
        <f t="shared" si="11"/>
        <v>单套建筑面积</v>
      </c>
      <c r="R40" s="773" t="s">
        <v>17</v>
      </c>
      <c r="S40" s="774">
        <f t="shared" si="12"/>
        <v>100</v>
      </c>
      <c r="T40" s="773" t="s">
        <v>17</v>
      </c>
      <c r="U40" s="774">
        <f t="shared" si="13"/>
        <v>100</v>
      </c>
      <c r="V40" s="773" t="s">
        <v>17</v>
      </c>
      <c r="W40" s="774">
        <f t="shared" si="14"/>
        <v>100</v>
      </c>
      <c r="X40" s="1811"/>
      <c r="Y40" s="3220"/>
      <c r="Z40" s="1812" t="str">
        <f t="shared" si="15"/>
        <v>单套建筑面积</v>
      </c>
      <c r="AA40" s="1809">
        <f t="shared" si="3"/>
        <v>1</v>
      </c>
      <c r="AB40" s="1809">
        <f t="shared" si="4"/>
        <v>1</v>
      </c>
      <c r="AC40" s="1809">
        <f t="shared" si="5"/>
        <v>1</v>
      </c>
    </row>
    <row r="41" spans="1:29" s="471" customFormat="1" ht="15">
      <c r="A41" s="468"/>
      <c r="B41" s="1810" t="s">
        <v>2655</v>
      </c>
      <c r="C41" s="616" t="s">
        <v>3313</v>
      </c>
      <c r="D41" s="435">
        <v>100</v>
      </c>
      <c r="E41" s="616" t="s">
        <v>3313</v>
      </c>
      <c r="F41" s="461">
        <f>SUMIF(120:120,E41,121:121)-SUMIF(120:120,C41,121:121)+100</f>
        <v>100</v>
      </c>
      <c r="G41" s="616" t="s">
        <v>3313</v>
      </c>
      <c r="H41" s="435">
        <f>SUMIF(120:120,G41,121:121)-SUMIF(120:120,C41,121:121)+100</f>
        <v>100</v>
      </c>
      <c r="I41" s="616" t="s">
        <v>3313</v>
      </c>
      <c r="J41" s="435">
        <f>SUMIF(120:120,I41,121:121)-SUMIF(120:120,C41,121:121)+100</f>
        <v>100</v>
      </c>
      <c r="K41" s="612">
        <v>2</v>
      </c>
      <c r="L41" s="1137"/>
      <c r="M41" s="1140"/>
      <c r="N41" s="1140"/>
      <c r="O41" s="1140"/>
      <c r="P41" s="3254"/>
      <c r="Q41" s="775" t="str">
        <f t="shared" si="11"/>
        <v>进深比</v>
      </c>
      <c r="R41" s="776" t="s">
        <v>17</v>
      </c>
      <c r="S41" s="777">
        <f t="shared" si="12"/>
        <v>100</v>
      </c>
      <c r="T41" s="776" t="s">
        <v>17</v>
      </c>
      <c r="U41" s="777">
        <f t="shared" si="13"/>
        <v>100</v>
      </c>
      <c r="V41" s="776" t="s">
        <v>17</v>
      </c>
      <c r="W41" s="777">
        <f t="shared" si="14"/>
        <v>100</v>
      </c>
      <c r="X41" s="778"/>
      <c r="Y41" s="3220"/>
      <c r="Z41" s="779" t="str">
        <f t="shared" si="15"/>
        <v>进深比</v>
      </c>
      <c r="AA41" s="1809">
        <f t="shared" si="3"/>
        <v>1</v>
      </c>
      <c r="AB41" s="1809">
        <f t="shared" si="4"/>
        <v>1</v>
      </c>
      <c r="AC41" s="1809">
        <f t="shared" si="5"/>
        <v>1</v>
      </c>
    </row>
    <row r="42" spans="1:29" ht="15">
      <c r="A42" s="472"/>
      <c r="B42" s="422" t="s">
        <v>2656</v>
      </c>
      <c r="C42" s="2605" t="s">
        <v>3286</v>
      </c>
      <c r="D42" s="435">
        <v>100</v>
      </c>
      <c r="E42" s="2605" t="s">
        <v>3286</v>
      </c>
      <c r="F42" s="461">
        <f>SUMIF(122:122,E42,123:123)-SUMIF(122:122,C42,123:123)+100</f>
        <v>100</v>
      </c>
      <c r="G42" s="2605" t="s">
        <v>3282</v>
      </c>
      <c r="H42" s="435">
        <f>SUMIF(122:122,G42,123:123)-SUMIF(122:122,C42,123:123)+100</f>
        <v>104</v>
      </c>
      <c r="I42" s="2605" t="s">
        <v>3286</v>
      </c>
      <c r="J42" s="435">
        <f>SUMIF(122:122,I42,123:123)-SUMIF(122:122,C42,123:123)+100</f>
        <v>100</v>
      </c>
      <c r="K42" s="612">
        <v>2</v>
      </c>
      <c r="L42" s="1139"/>
      <c r="M42" s="1130"/>
      <c r="N42" s="1130"/>
      <c r="O42" s="1130"/>
      <c r="P42" s="3254"/>
      <c r="Q42" s="1808" t="str">
        <f t="shared" si="11"/>
        <v>内部装修</v>
      </c>
      <c r="R42" s="773" t="s">
        <v>17</v>
      </c>
      <c r="S42" s="774">
        <f t="shared" si="12"/>
        <v>100</v>
      </c>
      <c r="T42" s="773" t="s">
        <v>17</v>
      </c>
      <c r="U42" s="774">
        <f t="shared" si="13"/>
        <v>104</v>
      </c>
      <c r="V42" s="773" t="s">
        <v>17</v>
      </c>
      <c r="W42" s="774">
        <f t="shared" si="14"/>
        <v>100</v>
      </c>
      <c r="X42" s="1811"/>
      <c r="Y42" s="3220"/>
      <c r="Z42" s="1812" t="str">
        <f t="shared" si="15"/>
        <v>内部装修</v>
      </c>
      <c r="AA42" s="1809">
        <f t="shared" si="3"/>
        <v>1</v>
      </c>
      <c r="AB42" s="1809">
        <f t="shared" si="4"/>
        <v>0.96153846153846156</v>
      </c>
      <c r="AC42" s="1809">
        <f t="shared" si="5"/>
        <v>1</v>
      </c>
    </row>
    <row r="43" spans="1:29" ht="15">
      <c r="A43" s="472"/>
      <c r="B43" s="422" t="s">
        <v>2564</v>
      </c>
      <c r="C43" s="2605" t="s">
        <v>3323</v>
      </c>
      <c r="D43" s="435">
        <v>100</v>
      </c>
      <c r="E43" s="2605" t="s">
        <v>3323</v>
      </c>
      <c r="F43" s="461">
        <f>SUMIF(124:124,E43,125:125)-SUMIF(124:124,C43,125:125)+100</f>
        <v>100</v>
      </c>
      <c r="G43" s="2605" t="s">
        <v>3323</v>
      </c>
      <c r="H43" s="435">
        <f>SUMIF(124:124,G43,125:125)-SUMIF(124:124,C43,125:125)+100</f>
        <v>100</v>
      </c>
      <c r="I43" s="2605" t="s">
        <v>3323</v>
      </c>
      <c r="J43" s="435">
        <f>SUMIF(124:124,I43,125:125)-SUMIF(124:124,C43,125:125)+100</f>
        <v>100</v>
      </c>
      <c r="K43" s="612">
        <v>2</v>
      </c>
      <c r="L43" s="1139"/>
      <c r="M43" s="1130"/>
      <c r="N43" s="1130"/>
      <c r="O43" s="1130"/>
      <c r="P43" s="3254"/>
      <c r="Q43" s="1808" t="str">
        <f t="shared" si="11"/>
        <v>内部装修维护情况</v>
      </c>
      <c r="R43" s="773" t="s">
        <v>17</v>
      </c>
      <c r="S43" s="774">
        <f t="shared" si="12"/>
        <v>100</v>
      </c>
      <c r="T43" s="773" t="s">
        <v>17</v>
      </c>
      <c r="U43" s="774">
        <f t="shared" si="13"/>
        <v>100</v>
      </c>
      <c r="V43" s="773" t="s">
        <v>17</v>
      </c>
      <c r="W43" s="774">
        <f t="shared" si="14"/>
        <v>100</v>
      </c>
      <c r="X43" s="1811"/>
      <c r="Y43" s="3220"/>
      <c r="Z43" s="1812" t="str">
        <f t="shared" si="15"/>
        <v>内部装修维护情况</v>
      </c>
      <c r="AA43" s="1809">
        <f t="shared" si="3"/>
        <v>1</v>
      </c>
      <c r="AB43" s="1809">
        <f t="shared" si="4"/>
        <v>1</v>
      </c>
      <c r="AC43" s="1809">
        <f t="shared" si="5"/>
        <v>1</v>
      </c>
    </row>
    <row r="44" spans="1:29" s="117" customFormat="1" ht="15.75" thickBot="1">
      <c r="A44" s="473"/>
      <c r="B44" s="2996" t="s">
        <v>3520</v>
      </c>
      <c r="C44" s="2998" t="s">
        <v>3521</v>
      </c>
      <c r="D44" s="136">
        <v>100</v>
      </c>
      <c r="E44" s="2958" t="s">
        <v>3522</v>
      </c>
      <c r="F44" s="425">
        <f>SUMIF(126:126,E44,127:127)-SUMIF(126:126,C44,127:127)+100</f>
        <v>105</v>
      </c>
      <c r="G44" s="2958" t="s">
        <v>3522</v>
      </c>
      <c r="H44" s="136">
        <f>SUMIF(126:126,G44,127:127)-SUMIF(126:126,C44,127:127)+100</f>
        <v>105</v>
      </c>
      <c r="I44" s="2958" t="s">
        <v>3522</v>
      </c>
      <c r="J44" s="136">
        <f>SUMIF(126:126,I44,127:127)-SUMIF(126:126,C44,127:127)+100</f>
        <v>105</v>
      </c>
      <c r="K44" s="613"/>
      <c r="L44" s="1131"/>
      <c r="M44" s="1132"/>
      <c r="N44" s="1132"/>
      <c r="O44" s="1132"/>
      <c r="P44" s="3254"/>
      <c r="Q44" s="1793" t="str">
        <f t="shared" si="11"/>
        <v>房屋状态</v>
      </c>
      <c r="R44" s="769" t="s">
        <v>17</v>
      </c>
      <c r="S44" s="770">
        <f t="shared" si="12"/>
        <v>105</v>
      </c>
      <c r="T44" s="769" t="s">
        <v>17</v>
      </c>
      <c r="U44" s="770">
        <f t="shared" si="13"/>
        <v>105</v>
      </c>
      <c r="V44" s="769" t="s">
        <v>17</v>
      </c>
      <c r="W44" s="770">
        <f t="shared" si="14"/>
        <v>105</v>
      </c>
      <c r="X44" s="771"/>
      <c r="Y44" s="3220"/>
      <c r="Z44" s="55" t="str">
        <f t="shared" si="15"/>
        <v>房屋状态</v>
      </c>
      <c r="AA44" s="772">
        <f t="shared" si="3"/>
        <v>0.95238095238095233</v>
      </c>
      <c r="AB44" s="772">
        <f t="shared" si="4"/>
        <v>0.95238095238095233</v>
      </c>
      <c r="AC44" s="772">
        <f t="shared" si="5"/>
        <v>0.95238095238095233</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54"/>
      <c r="Q45" s="1808">
        <f t="shared" si="11"/>
        <v>111</v>
      </c>
      <c r="R45" s="773" t="s">
        <v>17</v>
      </c>
      <c r="S45" s="774">
        <f t="shared" si="12"/>
        <v>100</v>
      </c>
      <c r="T45" s="773" t="s">
        <v>17</v>
      </c>
      <c r="U45" s="774">
        <f t="shared" si="13"/>
        <v>100</v>
      </c>
      <c r="V45" s="773" t="s">
        <v>17</v>
      </c>
      <c r="W45" s="774">
        <f t="shared" si="14"/>
        <v>100</v>
      </c>
      <c r="X45" s="1811"/>
      <c r="Y45" s="3220"/>
      <c r="Z45" s="1812">
        <f t="shared" si="15"/>
        <v>111</v>
      </c>
      <c r="AA45" s="1809">
        <f t="shared" si="3"/>
        <v>1</v>
      </c>
      <c r="AB45" s="1809">
        <f t="shared" si="4"/>
        <v>1</v>
      </c>
      <c r="AC45" s="1809">
        <f t="shared" si="5"/>
        <v>1</v>
      </c>
    </row>
    <row r="46" spans="1:29" ht="15.75" hidden="1"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55"/>
      <c r="Q46" s="1808">
        <f t="shared" si="11"/>
        <v>111</v>
      </c>
      <c r="R46" s="773" t="s">
        <v>17</v>
      </c>
      <c r="S46" s="774">
        <f t="shared" si="12"/>
        <v>100</v>
      </c>
      <c r="T46" s="773" t="s">
        <v>17</v>
      </c>
      <c r="U46" s="774">
        <f t="shared" si="13"/>
        <v>100</v>
      </c>
      <c r="V46" s="773" t="s">
        <v>17</v>
      </c>
      <c r="W46" s="774">
        <f t="shared" si="14"/>
        <v>100</v>
      </c>
      <c r="X46" s="1811"/>
      <c r="Y46" s="3256"/>
      <c r="Z46" s="1812">
        <f t="shared" si="15"/>
        <v>111</v>
      </c>
      <c r="AA46" s="1809">
        <f t="shared" si="3"/>
        <v>1</v>
      </c>
      <c r="AB46" s="1809">
        <f t="shared" si="4"/>
        <v>1</v>
      </c>
      <c r="AC46" s="1809">
        <f t="shared" si="5"/>
        <v>1</v>
      </c>
    </row>
    <row r="47" spans="1:29" ht="15">
      <c r="A47" s="479" t="s">
        <v>2565</v>
      </c>
      <c r="B47" s="480"/>
      <c r="C47" s="1406" t="s">
        <v>1</v>
      </c>
      <c r="D47" s="1407"/>
      <c r="E47" s="1408">
        <v>11508</v>
      </c>
      <c r="F47" s="1409"/>
      <c r="G47" s="1410">
        <v>11300</v>
      </c>
      <c r="H47" s="1411"/>
      <c r="I47" s="1408">
        <v>13000</v>
      </c>
      <c r="J47" s="1411"/>
      <c r="K47" s="782"/>
      <c r="L47" s="1142"/>
      <c r="M47" s="1143"/>
      <c r="N47" s="1130"/>
      <c r="O47" s="1143"/>
      <c r="P47" s="3215" t="str">
        <f>A47</f>
        <v>成交单价（元/平方米）</v>
      </c>
      <c r="Q47" s="3215"/>
      <c r="R47" s="3221">
        <f>E47</f>
        <v>11508</v>
      </c>
      <c r="S47" s="3221"/>
      <c r="T47" s="3221">
        <f>G47</f>
        <v>11300</v>
      </c>
      <c r="U47" s="3221"/>
      <c r="V47" s="3221">
        <f>I47</f>
        <v>13000</v>
      </c>
      <c r="W47" s="3221"/>
      <c r="X47" s="758"/>
      <c r="Y47" s="780"/>
      <c r="Z47" s="758"/>
      <c r="AA47" s="758"/>
      <c r="AB47" s="758"/>
      <c r="AC47" s="758"/>
    </row>
    <row r="48" spans="1:29" ht="15.75" thickBot="1">
      <c r="A48" s="486" t="s">
        <v>2657</v>
      </c>
      <c r="B48" s="487"/>
      <c r="C48" s="1412">
        <f>R49</f>
        <v>10668</v>
      </c>
      <c r="D48" s="1413"/>
      <c r="E48" s="1414">
        <f>R48</f>
        <v>10551</v>
      </c>
      <c r="F48" s="1414"/>
      <c r="G48" s="1412">
        <f>T48</f>
        <v>9763</v>
      </c>
      <c r="H48" s="1413"/>
      <c r="I48" s="1414">
        <f>V48</f>
        <v>11690</v>
      </c>
      <c r="J48" s="1413"/>
      <c r="K48" s="783"/>
      <c r="L48" s="1142"/>
      <c r="M48" s="1143"/>
      <c r="N48" s="1130"/>
      <c r="O48" s="1143"/>
      <c r="P48" s="3215" t="str">
        <f>A48</f>
        <v>比较价值（元/平方米）</v>
      </c>
      <c r="Q48" s="3215"/>
      <c r="R48" s="3252">
        <f>IF(F1="售价",ROUND(PRODUCT(R47,AA7:AA46),0),ROUND(PRODUCT(R47,AA7:AA46),1))</f>
        <v>10551</v>
      </c>
      <c r="S48" s="3252"/>
      <c r="T48" s="3252">
        <f>IF(F1="售价",ROUND(PRODUCT(T47,AB7:AB46),0),ROUND(PRODUCT(T47,AB7:AB46),1))</f>
        <v>9763</v>
      </c>
      <c r="U48" s="3252"/>
      <c r="V48" s="3252">
        <f>IF(F1="售价",ROUND(PRODUCT(V47,AC7:AC46),0),ROUND(PRODUCT(V47,AC7:AC46),1))</f>
        <v>11690</v>
      </c>
      <c r="W48" s="3252"/>
      <c r="X48" s="758"/>
      <c r="Y48" s="758"/>
      <c r="Z48" s="758"/>
      <c r="AA48" s="758"/>
      <c r="AB48" s="758"/>
      <c r="AC48" s="758"/>
    </row>
    <row r="49" spans="1:29" ht="15.75" thickBot="1">
      <c r="A49" s="492" t="s">
        <v>2658</v>
      </c>
      <c r="B49" s="493"/>
      <c r="C49" s="1416">
        <f>R49</f>
        <v>10668</v>
      </c>
      <c r="D49" s="1416"/>
      <c r="E49" s="1416"/>
      <c r="F49" s="1416"/>
      <c r="G49" s="1416"/>
      <c r="H49" s="1416"/>
      <c r="I49" s="1416"/>
      <c r="J49" s="1416"/>
      <c r="K49" s="784"/>
      <c r="L49" s="1142"/>
      <c r="M49" s="1143"/>
      <c r="N49" s="1130"/>
      <c r="O49" s="1143"/>
      <c r="P49" s="3209" t="str">
        <f>A49</f>
        <v>估价对象XX用房的比较价值（楼面单价，元/平方米）</v>
      </c>
      <c r="Q49" s="3210"/>
      <c r="R49" s="3251">
        <f>IF(F1="售价",ROUND(AVERAGE(R48:V48),0),ROUND(AVERAGE(R48:V48),1))</f>
        <v>10668</v>
      </c>
      <c r="S49" s="3251"/>
      <c r="T49" s="3251"/>
      <c r="U49" s="3251"/>
      <c r="V49" s="3251"/>
      <c r="W49" s="325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2659</v>
      </c>
      <c r="D52" s="498"/>
      <c r="E52" s="499">
        <f>IF(E47&lt;E48,E48/E47-1,E47/E48-1)</f>
        <v>9.0702303099232218E-2</v>
      </c>
      <c r="F52" s="500" t="str">
        <f>IF(OR(E52&gt;=0.3,E52&lt;=-0.3),"超过30%","")</f>
        <v/>
      </c>
      <c r="G52" s="499">
        <f>IF(G47&lt;G48,G48/G47-1,G47/G48-1)</f>
        <v>0.15743111748437988</v>
      </c>
      <c r="H52" s="500" t="str">
        <f>IF(OR(G52&gt;=0.3,G52&lt;=-0.3),"超过30%","")</f>
        <v/>
      </c>
      <c r="I52" s="499">
        <f>IF(I47&lt;I48,I48/I47-1,I47/I48-1)</f>
        <v>0.11206159110350722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2660</v>
      </c>
      <c r="D53" s="501"/>
      <c r="E53" s="499">
        <f>IF(E48&lt;G48,G48/E48-1,E48/G48-1)</f>
        <v>8.0712895626344316E-2</v>
      </c>
      <c r="F53" s="500" t="str">
        <f>IF(OR(E53&gt;=0.2,E53&lt;=-0.2),"超过20%","")</f>
        <v/>
      </c>
      <c r="G53" s="499">
        <f>IF(G48&lt;I48,I48/G48-1,G48/I48-1)</f>
        <v>0.19737785516746897</v>
      </c>
      <c r="H53" s="500" t="str">
        <f>IF(OR(G53&gt;=0.2,G53&lt;=-0.2),"超过20%","")</f>
        <v/>
      </c>
      <c r="I53" s="499">
        <f>IF(I48&lt;E48,E48/I48-1,I48/E48-1)</f>
        <v>0.10795185290493792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2661</v>
      </c>
      <c r="D54" s="501"/>
      <c r="E54" s="499">
        <f>IF(E47&lt;G47,G47/E47-1,E47/G47-1)</f>
        <v>1.8407079646017621E-2</v>
      </c>
      <c r="F54" s="500" t="str">
        <f>IF(OR(E54&gt;=0.3,E54&lt;=-0.3),"超过30%","")</f>
        <v/>
      </c>
      <c r="G54" s="499">
        <f>IF(G47&lt;I47,I47/G47-1,G47/I47-1)</f>
        <v>0.15044247787610621</v>
      </c>
      <c r="H54" s="500" t="str">
        <f>IF(OR(G54&gt;=0.3,G54&lt;=-0.3),"超过30%","")</f>
        <v/>
      </c>
      <c r="I54" s="499">
        <f>IF(I47&lt;E47,E47/I47-1,I47/E47-1)</f>
        <v>0.12964893986791792</v>
      </c>
      <c r="J54" s="500" t="str">
        <f>IF(OR(I54&gt;=0.3,I54&lt;=-0.3),"超过30%","")</f>
        <v/>
      </c>
      <c r="K54" s="1147"/>
      <c r="L54" s="1148"/>
      <c r="M54" s="1144"/>
      <c r="N54" s="1144"/>
      <c r="O54" s="1144"/>
      <c r="P54" s="2658"/>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8"/>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60"/>
      <c r="M57" s="1158"/>
      <c r="N57" s="1158"/>
      <c r="O57" s="1158"/>
      <c r="P57" s="2659"/>
      <c r="Q57" s="2660"/>
      <c r="R57" s="758"/>
      <c r="S57" s="758"/>
      <c r="T57" s="758"/>
      <c r="U57" s="758"/>
      <c r="V57" s="758"/>
      <c r="W57" s="758"/>
      <c r="X57" s="758"/>
      <c r="Y57" s="758"/>
      <c r="Z57" s="758"/>
      <c r="AA57" s="758"/>
      <c r="AB57" s="758"/>
      <c r="AC57" s="758"/>
    </row>
    <row r="58" spans="1:29" s="508" customFormat="1" ht="15">
      <c r="A58" s="505" t="s">
        <v>2536</v>
      </c>
      <c r="B58" s="506"/>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0"/>
    </row>
    <row r="60" spans="1:29" s="117" customFormat="1" ht="15.75" thickBot="1">
      <c r="A60" s="515" t="s">
        <v>2573</v>
      </c>
      <c r="B60" s="516"/>
      <c r="C60" s="517"/>
      <c r="D60" s="518"/>
      <c r="E60" s="518"/>
      <c r="F60" s="518"/>
      <c r="G60" s="518"/>
      <c r="H60" s="518"/>
      <c r="I60" s="518"/>
      <c r="J60" s="518"/>
      <c r="K60" s="518"/>
      <c r="L60" s="518"/>
      <c r="M60" s="519"/>
      <c r="N60" s="518"/>
      <c r="O60" s="519"/>
      <c r="P60" s="2620"/>
      <c r="Q60" s="504"/>
    </row>
    <row r="61" spans="1:29" s="117" customFormat="1" ht="15">
      <c r="A61" s="521" t="s">
        <v>2538</v>
      </c>
      <c r="B61" s="510"/>
      <c r="C61" s="522" t="s">
        <v>2640</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2576</v>
      </c>
      <c r="B63" s="528" t="s">
        <v>2542</v>
      </c>
      <c r="C63" s="529" t="str">
        <f>C9</f>
        <v>商业</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2"/>
      <c r="Q66" s="504"/>
    </row>
    <row r="67" spans="1:17" ht="15.75" thickTop="1">
      <c r="A67" s="534"/>
      <c r="B67" s="546" t="s">
        <v>2546</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2"/>
      <c r="Q67" s="504"/>
    </row>
    <row r="68" spans="1:17" ht="15">
      <c r="A68" s="534"/>
      <c r="B68" s="548"/>
      <c r="C68" s="549">
        <v>0</v>
      </c>
      <c r="D68" s="549">
        <v>1</v>
      </c>
      <c r="E68" s="549">
        <v>2</v>
      </c>
      <c r="F68" s="549">
        <v>3</v>
      </c>
      <c r="G68" s="549"/>
      <c r="H68" s="549"/>
      <c r="I68" s="549"/>
      <c r="J68" s="549"/>
      <c r="K68" s="550"/>
      <c r="L68" s="551"/>
      <c r="M68" s="552"/>
      <c r="N68" s="1151"/>
      <c r="O68" s="1151"/>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36"/>
      <c r="E73" s="536"/>
      <c r="F73" s="536"/>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2"/>
      <c r="Q81" s="504"/>
    </row>
    <row r="82" spans="1:17" ht="15.75" thickTop="1">
      <c r="A82" s="534"/>
      <c r="B82" s="546" t="s">
        <v>2643</v>
      </c>
      <c r="C82" s="660" t="s">
        <v>2663</v>
      </c>
      <c r="D82" s="660" t="s">
        <v>2664</v>
      </c>
      <c r="E82" s="660" t="s">
        <v>2665</v>
      </c>
      <c r="F82" s="660" t="s">
        <v>2666</v>
      </c>
      <c r="G82" s="660" t="s">
        <v>2667</v>
      </c>
      <c r="H82" s="539"/>
      <c r="I82" s="539"/>
      <c r="J82" s="539"/>
      <c r="K82" s="539"/>
      <c r="L82" s="539"/>
      <c r="M82" s="1381"/>
      <c r="N82" s="1152"/>
      <c r="O82" s="1152"/>
      <c r="P82" s="2622"/>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2"/>
      <c r="Q85" s="504"/>
    </row>
    <row r="86" spans="1:17" s="117" customFormat="1" ht="15.75" thickTop="1">
      <c r="A86" s="579"/>
      <c r="B86" s="538" t="s">
        <v>2668</v>
      </c>
      <c r="C86" s="2951" t="s">
        <v>3332</v>
      </c>
      <c r="D86" s="2951" t="s">
        <v>3333</v>
      </c>
      <c r="E86" s="2951" t="s">
        <v>3335</v>
      </c>
      <c r="F86" s="2951" t="s">
        <v>3336</v>
      </c>
      <c r="G86" s="554"/>
      <c r="H86" s="554"/>
      <c r="I86" s="554"/>
      <c r="J86" s="554"/>
      <c r="K86" s="554"/>
      <c r="L86" s="580"/>
      <c r="M86" s="581"/>
      <c r="N86" s="1150"/>
      <c r="O86" s="1150"/>
      <c r="P86" s="262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2"/>
      <c r="Q87" s="504"/>
    </row>
    <row r="88" spans="1:17" s="117" customFormat="1" ht="15.75" thickTop="1">
      <c r="A88" s="579"/>
      <c r="B88" s="538" t="str">
        <f>B26</f>
        <v>平面位置/可视性</v>
      </c>
      <c r="C88" s="2951" t="s">
        <v>3322</v>
      </c>
      <c r="D88" s="2951" t="s">
        <v>3337</v>
      </c>
      <c r="E88" s="2951" t="s">
        <v>3338</v>
      </c>
      <c r="F88" s="2957" t="s">
        <v>3339</v>
      </c>
      <c r="G88" s="2951" t="s">
        <v>3340</v>
      </c>
      <c r="H88" s="554"/>
      <c r="I88" s="554"/>
      <c r="J88" s="554"/>
      <c r="K88" s="554"/>
      <c r="L88" s="554"/>
      <c r="M88" s="581"/>
      <c r="N88" s="1150"/>
      <c r="O88" s="1150"/>
      <c r="P88" s="2622"/>
      <c r="Q88" s="504"/>
    </row>
    <row r="89" spans="1:17" s="117" customFormat="1" ht="15.75" thickBot="1">
      <c r="A89" s="579"/>
      <c r="B89" s="543"/>
      <c r="C89" s="560">
        <v>100</v>
      </c>
      <c r="D89" s="536">
        <v>98</v>
      </c>
      <c r="E89" s="560">
        <v>96</v>
      </c>
      <c r="F89" s="536">
        <v>94</v>
      </c>
      <c r="G89" s="560">
        <v>92</v>
      </c>
      <c r="H89" s="536"/>
      <c r="I89" s="536"/>
      <c r="J89" s="536"/>
      <c r="K89" s="536"/>
      <c r="L89" s="536"/>
      <c r="M89" s="536"/>
      <c r="N89" s="1152"/>
      <c r="O89" s="1152"/>
      <c r="P89" s="2622"/>
      <c r="Q89" s="504"/>
    </row>
    <row r="90" spans="1:17" s="471" customFormat="1" ht="15.75" thickTop="1">
      <c r="A90" s="553"/>
      <c r="B90" s="538" t="str">
        <f>B27</f>
        <v>人流量</v>
      </c>
      <c r="C90" s="2951" t="s">
        <v>3322</v>
      </c>
      <c r="D90" s="2951" t="s">
        <v>3337</v>
      </c>
      <c r="E90" s="2951" t="s">
        <v>3338</v>
      </c>
      <c r="F90" s="2957" t="s">
        <v>3339</v>
      </c>
      <c r="G90" s="2951" t="s">
        <v>3340</v>
      </c>
      <c r="H90" s="555"/>
      <c r="I90" s="555"/>
      <c r="J90" s="555"/>
      <c r="K90" s="555"/>
      <c r="L90" s="556"/>
      <c r="M90" s="557"/>
      <c r="N90" s="1153"/>
      <c r="O90" s="1153"/>
      <c r="P90" s="262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3"/>
      <c r="Q91" s="559"/>
    </row>
    <row r="92" spans="1:17" ht="15.75" thickTop="1">
      <c r="A92" s="534"/>
      <c r="B92" s="538" t="str">
        <f>B28</f>
        <v>楼层</v>
      </c>
      <c r="C92" s="554" t="s">
        <v>3371</v>
      </c>
      <c r="D92" s="554"/>
      <c r="E92" s="554"/>
      <c r="F92" s="554"/>
      <c r="G92" s="554"/>
      <c r="H92" s="554"/>
      <c r="I92" s="554"/>
      <c r="J92" s="554"/>
      <c r="K92" s="554"/>
      <c r="L92" s="580"/>
      <c r="M92" s="581"/>
      <c r="N92" s="1151"/>
      <c r="O92" s="1151"/>
      <c r="P92" s="2622"/>
      <c r="Q92" s="504"/>
    </row>
    <row r="93" spans="1:17" ht="15.75" thickBot="1">
      <c r="A93" s="534"/>
      <c r="B93" s="543"/>
      <c r="C93" s="536">
        <v>100</v>
      </c>
      <c r="D93" s="536"/>
      <c r="E93" s="536"/>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36"/>
      <c r="E95" s="536"/>
      <c r="F95" s="536"/>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60"/>
      <c r="D97" s="536"/>
      <c r="E97" s="536"/>
      <c r="F97" s="536"/>
      <c r="G97" s="536"/>
      <c r="H97" s="536"/>
      <c r="I97" s="536"/>
      <c r="J97" s="536"/>
      <c r="K97" s="536"/>
      <c r="L97" s="536"/>
      <c r="M97" s="537"/>
      <c r="N97" s="1152"/>
      <c r="O97" s="1152"/>
      <c r="P97" s="2622"/>
      <c r="Q97" s="504"/>
    </row>
    <row r="98" spans="1:17" ht="15.75" thickTop="1">
      <c r="A98" s="534"/>
      <c r="B98" s="546">
        <f>B31</f>
        <v>111</v>
      </c>
      <c r="C98" s="554"/>
      <c r="D98" s="554"/>
      <c r="E98" s="554"/>
      <c r="F98" s="554"/>
      <c r="G98" s="587"/>
      <c r="H98" s="587"/>
      <c r="I98" s="587"/>
      <c r="J98" s="587"/>
      <c r="K98" s="588"/>
      <c r="L98" s="589"/>
      <c r="M98" s="590"/>
      <c r="N98" s="1151"/>
      <c r="O98" s="1151"/>
      <c r="P98" s="2622"/>
      <c r="Q98" s="504"/>
    </row>
    <row r="99" spans="1:17" ht="15.75" thickBot="1">
      <c r="A99" s="2628"/>
      <c r="B99" s="569"/>
      <c r="C99" s="570"/>
      <c r="D99" s="570"/>
      <c r="E99" s="570"/>
      <c r="F99" s="570"/>
      <c r="G99" s="591"/>
      <c r="H99" s="591"/>
      <c r="I99" s="591"/>
      <c r="J99" s="591"/>
      <c r="K99" s="591"/>
      <c r="L99" s="591"/>
      <c r="M99" s="592"/>
      <c r="N99" s="1152"/>
      <c r="O99" s="1152"/>
      <c r="P99" s="2622"/>
      <c r="Q99" s="504"/>
    </row>
    <row r="100" spans="1:17">
      <c r="A100" s="527" t="s">
        <v>2551</v>
      </c>
      <c r="B100" s="528" t="s">
        <v>2669</v>
      </c>
      <c r="C100" s="2950" t="s">
        <v>3341</v>
      </c>
      <c r="D100" s="2950" t="s">
        <v>3342</v>
      </c>
      <c r="E100" s="2950" t="s">
        <v>3344</v>
      </c>
      <c r="F100" s="2950" t="s">
        <v>3345</v>
      </c>
      <c r="G100" s="530"/>
      <c r="H100" s="530"/>
      <c r="I100" s="530"/>
      <c r="J100" s="530"/>
      <c r="K100" s="531"/>
      <c r="L100" s="532"/>
      <c r="M100" s="533"/>
      <c r="N100" s="1151"/>
      <c r="O100" s="1151"/>
      <c r="P100" s="2622"/>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22"/>
      <c r="Q101" s="504"/>
    </row>
    <row r="102" spans="1:17" ht="15.75" thickTop="1">
      <c r="A102" s="534"/>
      <c r="B102" s="538" t="s">
        <v>2601</v>
      </c>
      <c r="C102" s="578" t="str">
        <f>C103&amp;"(含)"&amp;"-"&amp;D103</f>
        <v>0(含)-50</v>
      </c>
      <c r="D102" s="578" t="str">
        <f t="shared" ref="D102:L102" si="23">D103&amp;"(含)"&amp;"-"&amp;E103</f>
        <v>50(含)-100</v>
      </c>
      <c r="E102" s="578" t="str">
        <f t="shared" si="23"/>
        <v>100(含)-150</v>
      </c>
      <c r="F102" s="578" t="str">
        <f t="shared" si="23"/>
        <v>150(含)-200</v>
      </c>
      <c r="G102" s="578" t="str">
        <f t="shared" si="23"/>
        <v>200(含)-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2"/>
      <c r="Q102" s="504"/>
    </row>
    <row r="103" spans="1:17" s="471" customFormat="1">
      <c r="A103" s="593"/>
      <c r="B103" s="594"/>
      <c r="C103" s="595">
        <v>0</v>
      </c>
      <c r="D103" s="595">
        <v>50</v>
      </c>
      <c r="E103" s="595">
        <v>100</v>
      </c>
      <c r="F103" s="595">
        <v>150</v>
      </c>
      <c r="G103" s="595">
        <v>200</v>
      </c>
      <c r="H103" s="595"/>
      <c r="I103" s="595"/>
      <c r="J103" s="596"/>
      <c r="K103" s="596"/>
      <c r="L103" s="597"/>
      <c r="M103" s="598"/>
      <c r="N103" s="1153"/>
      <c r="O103" s="1153"/>
      <c r="P103" s="2623"/>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2"/>
      <c r="O104" s="1152"/>
      <c r="P104" s="2623"/>
      <c r="Q104" s="559"/>
    </row>
    <row r="105" spans="1:17" ht="15" thickTop="1">
      <c r="A105" s="599"/>
      <c r="B105" s="538" t="s">
        <v>2602</v>
      </c>
      <c r="C105" s="2951" t="s">
        <v>3346</v>
      </c>
      <c r="D105" s="2951" t="s">
        <v>3347</v>
      </c>
      <c r="E105" s="2952" t="s">
        <v>3348</v>
      </c>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2"/>
      <c r="Q106" s="504"/>
    </row>
    <row r="107" spans="1:17" ht="15" thickTop="1">
      <c r="A107" s="599"/>
      <c r="B107" s="538" t="s">
        <v>2604</v>
      </c>
      <c r="C107" s="2951" t="s">
        <v>3349</v>
      </c>
      <c r="D107" s="2951" t="s">
        <v>3350</v>
      </c>
      <c r="E107" s="2951" t="s">
        <v>3351</v>
      </c>
      <c r="F107" s="2952" t="s">
        <v>3352</v>
      </c>
      <c r="G107" s="583"/>
      <c r="H107" s="583"/>
      <c r="I107" s="583"/>
      <c r="J107" s="583"/>
      <c r="K107" s="584"/>
      <c r="L107" s="585"/>
      <c r="M107" s="586"/>
      <c r="N107" s="1151"/>
      <c r="O107" s="1151"/>
      <c r="P107" s="262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2"/>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2"/>
      <c r="Q111" s="504"/>
    </row>
    <row r="112" spans="1:17" s="471" customFormat="1" ht="15" thickTop="1">
      <c r="A112" s="593"/>
      <c r="B112" s="538" t="s">
        <v>2606</v>
      </c>
      <c r="C112" s="2951" t="s">
        <v>3353</v>
      </c>
      <c r="D112" s="2951" t="s">
        <v>3354</v>
      </c>
      <c r="E112" s="2951" t="s">
        <v>3355</v>
      </c>
      <c r="F112" s="2951" t="s">
        <v>3356</v>
      </c>
      <c r="G112" s="2951" t="s">
        <v>3357</v>
      </c>
      <c r="H112" s="583"/>
      <c r="I112" s="583"/>
      <c r="J112" s="583"/>
      <c r="K112" s="584"/>
      <c r="L112" s="585"/>
      <c r="M112" s="586"/>
      <c r="N112" s="1153"/>
      <c r="O112" s="1153"/>
      <c r="P112" s="262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3"/>
      <c r="Q113" s="559"/>
    </row>
    <row r="114" spans="1:17" ht="15" thickTop="1">
      <c r="A114" s="599"/>
      <c r="B114" s="538" t="s">
        <v>2670</v>
      </c>
      <c r="C114" s="2951" t="s">
        <v>3359</v>
      </c>
      <c r="D114" s="2951" t="s">
        <v>3360</v>
      </c>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2"/>
      <c r="Q115" s="504"/>
    </row>
    <row r="116" spans="1:17" ht="15" thickTop="1">
      <c r="A116" s="599"/>
      <c r="B116" s="538" t="s">
        <v>2671</v>
      </c>
      <c r="C116" s="2951" t="s">
        <v>3361</v>
      </c>
      <c r="D116" s="2951" t="s">
        <v>3363</v>
      </c>
      <c r="E116" s="554"/>
      <c r="F116" s="554"/>
      <c r="G116" s="554"/>
      <c r="H116" s="583"/>
      <c r="I116" s="583"/>
      <c r="J116" s="583"/>
      <c r="K116" s="584"/>
      <c r="L116" s="585"/>
      <c r="M116" s="586"/>
      <c r="N116" s="1151"/>
      <c r="O116" s="1151"/>
      <c r="P116" s="262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2"/>
      <c r="Q117" s="504"/>
    </row>
    <row r="118" spans="1:17" ht="15" thickTop="1">
      <c r="A118" s="599"/>
      <c r="B118" s="538" t="s">
        <v>2672</v>
      </c>
      <c r="C118" s="627"/>
      <c r="D118" s="627"/>
      <c r="E118" s="627"/>
      <c r="F118" s="627"/>
      <c r="G118" s="627"/>
      <c r="H118" s="555"/>
      <c r="I118" s="555"/>
      <c r="J118" s="555"/>
      <c r="K118" s="555"/>
      <c r="L118" s="556"/>
      <c r="M118" s="557"/>
      <c r="N118" s="1151"/>
      <c r="O118" s="1151"/>
      <c r="P118" s="2622"/>
      <c r="Q118" s="504"/>
    </row>
    <row r="119" spans="1:17" ht="15.75" thickBot="1">
      <c r="A119" s="534"/>
      <c r="B119" s="543"/>
      <c r="C119" s="560"/>
      <c r="D119" s="536"/>
      <c r="E119" s="536"/>
      <c r="F119" s="536"/>
      <c r="G119" s="536"/>
      <c r="H119" s="536"/>
      <c r="I119" s="536"/>
      <c r="J119" s="536"/>
      <c r="K119" s="536"/>
      <c r="L119" s="536"/>
      <c r="M119" s="537"/>
      <c r="N119" s="1152"/>
      <c r="O119" s="1152"/>
      <c r="P119" s="2622"/>
      <c r="Q119" s="504"/>
    </row>
    <row r="120" spans="1:17" s="471" customFormat="1" ht="15" thickTop="1">
      <c r="A120" s="593"/>
      <c r="B120" s="538" t="s">
        <v>2673</v>
      </c>
      <c r="C120" s="2952" t="s">
        <v>3364</v>
      </c>
      <c r="D120" s="2952" t="s">
        <v>3365</v>
      </c>
      <c r="E120" s="2952" t="s">
        <v>3366</v>
      </c>
      <c r="F120" s="2952" t="s">
        <v>3367</v>
      </c>
      <c r="G120" s="555"/>
      <c r="H120" s="555"/>
      <c r="I120" s="555"/>
      <c r="J120" s="555"/>
      <c r="K120" s="555"/>
      <c r="L120" s="556"/>
      <c r="M120" s="557"/>
      <c r="N120" s="1153"/>
      <c r="O120" s="1153"/>
      <c r="P120" s="2623"/>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23"/>
      <c r="Q121" s="559"/>
    </row>
    <row r="122" spans="1:17" ht="15" thickTop="1">
      <c r="A122" s="599"/>
      <c r="B122" s="538" t="s">
        <v>2608</v>
      </c>
      <c r="C122" s="2951" t="s">
        <v>3349</v>
      </c>
      <c r="D122" s="2951" t="s">
        <v>3350</v>
      </c>
      <c r="E122" s="2951" t="s">
        <v>3351</v>
      </c>
      <c r="F122" s="2952" t="s">
        <v>3352</v>
      </c>
      <c r="G122" s="583"/>
      <c r="H122" s="583"/>
      <c r="I122" s="583"/>
      <c r="J122" s="583"/>
      <c r="K122" s="584"/>
      <c r="L122" s="585"/>
      <c r="M122" s="586"/>
      <c r="N122" s="1151"/>
      <c r="O122" s="1151"/>
      <c r="P122" s="2622"/>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2"/>
      <c r="Q125" s="504"/>
    </row>
    <row r="126" spans="1:17" s="471" customFormat="1" ht="15" thickTop="1">
      <c r="A126" s="593"/>
      <c r="B126" s="538" t="str">
        <f>B44</f>
        <v>房屋状态</v>
      </c>
      <c r="C126" s="2951" t="s">
        <v>3522</v>
      </c>
      <c r="D126" s="2951" t="s">
        <v>3521</v>
      </c>
      <c r="E126" s="554"/>
      <c r="F126" s="554"/>
      <c r="G126" s="554"/>
      <c r="H126" s="555"/>
      <c r="I126" s="555"/>
      <c r="J126" s="555"/>
      <c r="K126" s="555"/>
      <c r="L126" s="556"/>
      <c r="M126" s="557"/>
      <c r="N126" s="1153"/>
      <c r="O126" s="1153"/>
      <c r="P126" s="2623"/>
      <c r="Q126" s="559"/>
    </row>
    <row r="127" spans="1:17" s="471" customFormat="1" ht="15.75" thickBot="1">
      <c r="A127" s="553"/>
      <c r="B127" s="543"/>
      <c r="C127" s="560">
        <v>100</v>
      </c>
      <c r="D127" s="536">
        <v>95</v>
      </c>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36"/>
      <c r="E129" s="536"/>
      <c r="F129" s="536"/>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P92" sqref="P92"/>
    </sheetView>
  </sheetViews>
  <sheetFormatPr defaultRowHeight="13.5"/>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云南文滇置业有限公司：</v>
      </c>
    </row>
    <row r="4" spans="1:1" ht="54">
      <c r="A4" s="1946" t="str">
        <f>"受贵公司委托，我公司对"&amp;项目基本情况!S1&amp;"进行了预评估。"</f>
        <v>受贵公司委托，我公司对云南省昆明市晋宁区晋城镇草村村民委员会住宅、商业、地下车库用地出让国有建设用地使用权及在建建筑物房地产抵押价值进行了预评估。</v>
      </c>
    </row>
    <row r="5" spans="1:1" ht="18.75">
      <c r="A5" s="1947" t="s">
        <v>1608</v>
      </c>
    </row>
    <row r="6" spans="1:1" ht="18.75">
      <c r="A6" s="1948" t="s">
        <v>1609</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晋宁区晋城镇草村村民委员会住宅、商业、地下车库用地出让国有建设用地使用权及在建建筑物房地产，为云南文滇置业有限公司所有。根据《不动产权利证书》[云（2018）晋宁区不动产权第0004354号]，估价对象（分摊）出让国有建设用地使用权面积为63995.17平方米。根据《建设工程规划许可证》[建字第晋宁区201900021号]、《经济技术指标》及估价委托人介绍，估价对象建筑面积为256595.19平方米。</v>
      </c>
    </row>
    <row r="8" spans="1:1" ht="57.75">
      <c r="A8" s="1949" t="s">
        <v>1610</v>
      </c>
    </row>
    <row r="9" spans="1:1" ht="18.75">
      <c r="A9" s="1948" t="s">
        <v>1611</v>
      </c>
    </row>
    <row r="10" spans="1:1" ht="12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晋宁区晋城镇草村村民委员会住宅、商业、地下车库用地出让国有建设用地使用权及在建建筑物房地产,为云南文滇置业有限公司开发建设的居住项目，该项目尚在开发建设中。根据《不动产权利证书》[云（2018）晋宁区不动产权第0004354号]，估价对象（分摊）出让国有建设用地使用权面积为63995.17平方米。根据《建设工程规划许可证》[建字第晋宁区201900021号]、《经济技术指标》及估价委托人介绍，估价对象规划建筑面积为256595.19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为估价委托人在向广东粤财信托有限公司办理贷款手续过程中，确定房地产抵押贷款额度提供参考依据而评估房地产抵押价值。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2019年6月5日（评估专业人员实地查勘之日）</v>
      </c>
    </row>
    <row r="16" spans="1:1" ht="18.75">
      <c r="A16" s="1951" t="s">
        <v>1615</v>
      </c>
    </row>
    <row r="17" spans="1:1" ht="75">
      <c r="A17" s="1946" t="s">
        <v>1616</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住宅、商业、地下车库，土地取得方式为出让，出让国有建设用地使用权剩余土地使用年限为住宅69.2年、商业39.2年、地下车库49.2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42" sqref="G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1"/>
      <c r="C1" s="1835" t="s">
        <v>3049</v>
      </c>
      <c r="D1" s="1818" t="s">
        <v>3236</v>
      </c>
      <c r="E1" s="1819" t="s">
        <v>1383</v>
      </c>
      <c r="F1" s="1282">
        <f ca="1">J53</f>
        <v>47.489999999999995</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1511</v>
      </c>
      <c r="B2" s="1842">
        <f ca="1">C40+J29+L46</f>
        <v>15360</v>
      </c>
      <c r="C2" s="1843" t="s">
        <v>1512</v>
      </c>
      <c r="D2" s="1843"/>
      <c r="E2" s="1844"/>
      <c r="F2" s="1845"/>
      <c r="G2" s="1846"/>
      <c r="H2" s="1838"/>
      <c r="I2" s="1838"/>
      <c r="J2" s="1838"/>
      <c r="K2" s="1839"/>
      <c r="L2" s="1838"/>
      <c r="M2" s="1838"/>
    </row>
    <row r="3" spans="1:37" ht="18" customHeight="1" thickBot="1">
      <c r="A3" s="1847" t="s">
        <v>1513</v>
      </c>
      <c r="B3" s="1848">
        <f ca="1">IF(ISERROR(B2*10000/F43),0,ROUND(B2*10000/F43,0))</f>
        <v>2821</v>
      </c>
      <c r="C3" s="1843" t="s">
        <v>1514</v>
      </c>
      <c r="D3" s="1843"/>
      <c r="E3" s="1844"/>
      <c r="F3" s="1845"/>
      <c r="G3" s="1846"/>
      <c r="H3" s="743"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1073</v>
      </c>
      <c r="D5" s="1820" t="s">
        <v>1398</v>
      </c>
      <c r="E5" s="1292"/>
      <c r="F5" s="1293"/>
      <c r="G5" s="1849"/>
      <c r="H5" s="344">
        <v>1</v>
      </c>
      <c r="I5" s="345" t="s">
        <v>1397</v>
      </c>
      <c r="J5" s="1291">
        <f ca="1">J6+J10+J12</f>
        <v>0</v>
      </c>
      <c r="K5" s="1820" t="s">
        <v>1398</v>
      </c>
      <c r="L5" s="1292"/>
      <c r="M5" s="1293"/>
    </row>
    <row r="6" spans="1:37" ht="18" customHeight="1">
      <c r="A6" s="1290" t="s">
        <v>1032</v>
      </c>
      <c r="B6" s="3263" t="s">
        <v>1399</v>
      </c>
      <c r="C6" s="1295">
        <f ca="1">ROUND(F6*F8*F7*(1-F9)/10000,0)</f>
        <v>1073</v>
      </c>
      <c r="D6" s="164" t="s">
        <v>3021</v>
      </c>
      <c r="E6" s="347" t="s">
        <v>1401</v>
      </c>
      <c r="F6" s="348">
        <f ca="1">INDIRECT("'数据-取费表'!u"&amp;$G$1)</f>
        <v>0.6</v>
      </c>
      <c r="G6" s="1849"/>
      <c r="H6" s="1290" t="s">
        <v>1032</v>
      </c>
      <c r="I6" s="3263" t="s">
        <v>1399</v>
      </c>
      <c r="J6" s="346">
        <f ca="1">ROUND(M6*M8*M7*(1-M9)/10000,0)</f>
        <v>0</v>
      </c>
      <c r="K6" s="164" t="s">
        <v>3020</v>
      </c>
      <c r="L6" s="347" t="s">
        <v>1401</v>
      </c>
      <c r="M6" s="348">
        <f ca="1">INDIRECT("'数据-取费表'!z"&amp;$G$1)</f>
        <v>0</v>
      </c>
    </row>
    <row r="7" spans="1:37" ht="18" customHeight="1">
      <c r="A7" s="1294"/>
      <c r="B7" s="3264"/>
      <c r="C7" s="1296"/>
      <c r="D7" s="352"/>
      <c r="E7" s="1297" t="s">
        <v>1402</v>
      </c>
      <c r="F7" s="348">
        <f ca="1">IF(INDIRECT("'数据-取费表'!ah"&amp;$G$1)="",INDIRECT("'数据-取费表'!k"&amp;$G$1),INDIRECT("'数据-取费表'!ah"&amp;$G$1))</f>
        <v>54445.270000000004</v>
      </c>
      <c r="G7" s="1849"/>
      <c r="H7" s="349"/>
      <c r="I7" s="3264"/>
      <c r="J7" s="351"/>
      <c r="K7" s="352"/>
      <c r="L7" s="347" t="s">
        <v>1402</v>
      </c>
      <c r="M7" s="348">
        <f ca="1">F7</f>
        <v>54445.270000000004</v>
      </c>
    </row>
    <row r="8" spans="1:37" ht="18" customHeight="1">
      <c r="A8" s="349"/>
      <c r="B8" s="3264"/>
      <c r="C8" s="351"/>
      <c r="D8" s="352"/>
      <c r="E8" s="347" t="s">
        <v>1403</v>
      </c>
      <c r="F8" s="348">
        <f ca="1">INDIRECT("'数据-取费表'!ai"&amp;$G$1)</f>
        <v>365</v>
      </c>
      <c r="G8" s="1849"/>
      <c r="H8" s="349"/>
      <c r="I8" s="3264"/>
      <c r="J8" s="351"/>
      <c r="K8" s="352"/>
      <c r="L8" s="347" t="s">
        <v>1403</v>
      </c>
      <c r="M8" s="348">
        <f ca="1">INDIRECT("'数据-取费表'!ai"&amp;$G$1)</f>
        <v>365</v>
      </c>
    </row>
    <row r="9" spans="1:37" ht="18" customHeight="1">
      <c r="A9" s="349"/>
      <c r="B9" s="3265"/>
      <c r="C9" s="351"/>
      <c r="D9" s="352"/>
      <c r="E9" s="347" t="s">
        <v>1404</v>
      </c>
      <c r="F9" s="357">
        <f ca="1">INDIRECT("'数据-取费表'!w"&amp;$G$1)</f>
        <v>0.1</v>
      </c>
      <c r="G9" s="1849"/>
      <c r="H9" s="349"/>
      <c r="I9" s="3265"/>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3030</v>
      </c>
      <c r="E10" s="358" t="s">
        <v>1406</v>
      </c>
      <c r="F10" s="1365" t="s">
        <v>3239</v>
      </c>
      <c r="G10" s="1849"/>
      <c r="H10" s="1290" t="s">
        <v>1036</v>
      </c>
      <c r="I10" s="1821" t="s">
        <v>1405</v>
      </c>
      <c r="J10" s="346">
        <f ca="1">ROUND(IF(M10="押一",J6/12*M11,IF(M10="押二",J6/12*2*M11,IF(M10="押三",J6/12*3*M11,J11*M11))),0)</f>
        <v>0</v>
      </c>
      <c r="K10" s="1822" t="s">
        <v>3029</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7"/>
      <c r="L11" s="358" t="s">
        <v>1408</v>
      </c>
      <c r="M11" s="1055">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15403</v>
      </c>
      <c r="D13" s="1330" t="s">
        <v>1411</v>
      </c>
      <c r="E13" s="1330" t="s">
        <v>1412</v>
      </c>
      <c r="F13" s="1331">
        <f ca="1">INDIRECT("'数据-取费表'!y"&amp;$G$1)</f>
        <v>1</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11333</v>
      </c>
      <c r="D14" s="1798" t="s">
        <v>1414</v>
      </c>
      <c r="E14" s="1792"/>
      <c r="F14" s="364"/>
      <c r="G14" s="1849"/>
      <c r="H14" s="1200" t="s">
        <v>1032</v>
      </c>
      <c r="I14" s="347" t="s">
        <v>1415</v>
      </c>
      <c r="J14" s="24">
        <f ca="1">C29</f>
        <v>15403</v>
      </c>
      <c r="K14" s="15"/>
      <c r="L14" s="978"/>
      <c r="M14" s="979"/>
    </row>
    <row r="15" spans="1:37" s="1856" customFormat="1" ht="18" customHeight="1" thickBot="1">
      <c r="A15" s="1200" t="s">
        <v>1033</v>
      </c>
      <c r="B15" s="347" t="s">
        <v>1416</v>
      </c>
      <c r="C15" s="24">
        <f ca="1">ROUND(C14*F15,0)</f>
        <v>453</v>
      </c>
      <c r="D15" s="365" t="s">
        <v>1417</v>
      </c>
      <c r="E15" s="365" t="s">
        <v>1418</v>
      </c>
      <c r="F15" s="366">
        <f>'数据-取费表'!B33</f>
        <v>0.04</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368</v>
      </c>
      <c r="K16" s="1336" t="s">
        <v>1421</v>
      </c>
      <c r="L16" s="1337"/>
      <c r="M16" s="1293"/>
    </row>
    <row r="17" spans="1:37" s="1856" customFormat="1" ht="18" customHeight="1">
      <c r="A17" s="1200" t="s">
        <v>1386</v>
      </c>
      <c r="B17" s="347" t="s">
        <v>1422</v>
      </c>
      <c r="C17" s="24">
        <f ca="1">ROUND(F17*(F43+INDIRECT("'数据-取费表'!S"&amp;$G$1))/10000,0)</f>
        <v>1133</v>
      </c>
      <c r="D17" s="347" t="s">
        <v>1423</v>
      </c>
      <c r="E17" s="347" t="s">
        <v>1424</v>
      </c>
      <c r="F17" s="26">
        <f>'数据-取费表'!B35</f>
        <v>200</v>
      </c>
      <c r="G17" s="1852"/>
      <c r="H17" s="1200" t="s">
        <v>1032</v>
      </c>
      <c r="I17" s="347" t="s">
        <v>1425</v>
      </c>
      <c r="J17" s="24">
        <f ca="1">ROUND(IF(项目基本情况!B11="自然人",J5*M17,J18+J19+J20),1)</f>
        <v>136.5</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170</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13089</v>
      </c>
      <c r="D19" s="140" t="s">
        <v>1432</v>
      </c>
      <c r="E19" s="1816"/>
      <c r="F19" s="26"/>
      <c r="G19" s="1849"/>
      <c r="H19" s="1200" t="s">
        <v>1033</v>
      </c>
      <c r="I19" s="347" t="s">
        <v>1433</v>
      </c>
      <c r="J19" s="24">
        <f ca="1">IF(K19="按租金收入计税",ROUND(J5*M19,2),ROUND(C29*M19*0.7,2))</f>
        <v>129.38999999999999</v>
      </c>
      <c r="K19" s="1826" t="s">
        <v>1434</v>
      </c>
      <c r="L19" s="347" t="s">
        <v>1418</v>
      </c>
      <c r="M19" s="367">
        <f>IF(K19="按租金收入计税",'数据-取费表'!B51,'数据-取费表'!B50)</f>
        <v>1.2E-2</v>
      </c>
    </row>
    <row r="20" spans="1:37" s="1856" customFormat="1" ht="18" customHeight="1">
      <c r="A20" s="1200" t="s">
        <v>1036</v>
      </c>
      <c r="B20" s="347" t="s">
        <v>1435</v>
      </c>
      <c r="C20" s="24">
        <f ca="1">ROUND(C19*F20,0)</f>
        <v>262</v>
      </c>
      <c r="D20" s="369" t="s">
        <v>1436</v>
      </c>
      <c r="E20" s="347" t="s">
        <v>1418</v>
      </c>
      <c r="F20" s="367">
        <f>'数据-取费表'!B37</f>
        <v>0.02</v>
      </c>
      <c r="G20" s="1852"/>
      <c r="H20" s="1200" t="s">
        <v>1385</v>
      </c>
      <c r="I20" s="164" t="s">
        <v>1437</v>
      </c>
      <c r="J20" s="25">
        <f ca="1">ROUND(M20*M21/10000,2)</f>
        <v>7.07</v>
      </c>
      <c r="K20" s="370" t="s">
        <v>1438</v>
      </c>
      <c r="L20" s="347" t="s">
        <v>1439</v>
      </c>
      <c r="M20" s="371">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14132.359999999999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231</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634</v>
      </c>
      <c r="D23" s="375" t="str">
        <f>IF(F23&lt;=1,"(建造成本+管理费用)×利率×(建设周期÷2)","(建造成本+管理费用)×((1+利率)^(建设周期÷2)-1)")</f>
        <v>(建造成本+管理费用)×((1+利率)^(建设周期÷2)-1)</v>
      </c>
      <c r="E23" s="347" t="s">
        <v>1448</v>
      </c>
      <c r="F23" s="371">
        <f>'数据-取费表'!B20</f>
        <v>2</v>
      </c>
      <c r="G23" s="1852"/>
      <c r="H23" s="1200"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-368</v>
      </c>
      <c r="K25" s="1344" t="s">
        <v>1460</v>
      </c>
      <c r="L25" s="1345"/>
      <c r="M25" s="1346"/>
    </row>
    <row r="26" spans="1:37">
      <c r="A26" s="1200" t="s">
        <v>1031</v>
      </c>
      <c r="B26" s="347" t="s">
        <v>1461</v>
      </c>
      <c r="C26" s="24">
        <f ca="1">ROUND((C19+C20)*F26,0)</f>
        <v>267</v>
      </c>
      <c r="D26" s="369" t="s">
        <v>1462</v>
      </c>
      <c r="E26" s="358" t="s">
        <v>1463</v>
      </c>
      <c r="F26" s="357">
        <f ca="1">INDIRECT("'数据-取费表'!q"&amp;$G$1)</f>
        <v>0.02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4.0000000000000002E-4</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15403</v>
      </c>
      <c r="D29" s="1341"/>
      <c r="E29" s="1339"/>
      <c r="F29" s="1342"/>
      <c r="G29" s="1852"/>
      <c r="H29" s="380" t="s">
        <v>1030</v>
      </c>
      <c r="I29" s="381" t="s">
        <v>1475</v>
      </c>
      <c r="J29" s="382">
        <f ca="1">ROUND(J26/(1+F40)^F41,0)</f>
        <v>0</v>
      </c>
      <c r="K29" s="383" t="s">
        <v>1476</v>
      </c>
      <c r="L29" s="384"/>
      <c r="M29" s="385">
        <f ca="1">INDIRECT("'数据-取费表'!k"&amp;$G$1)</f>
        <v>54445.270000000004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458</v>
      </c>
      <c r="D30" s="1336" t="s">
        <v>1421</v>
      </c>
      <c r="E30" s="1337"/>
      <c r="F30" s="1293"/>
      <c r="G30" s="1849"/>
      <c r="H30" s="744"/>
      <c r="I30" s="745"/>
      <c r="J30" s="746"/>
      <c r="K30" s="747"/>
      <c r="L30" s="748"/>
      <c r="M30" s="749"/>
    </row>
    <row r="31" spans="1:37" ht="18" customHeight="1">
      <c r="A31" s="1200" t="s">
        <v>1032</v>
      </c>
      <c r="B31" s="347" t="s">
        <v>1425</v>
      </c>
      <c r="C31" s="24">
        <f ca="1">ROUND(IF(项目基本情况!B11="自然人",C5*F31,C32+C33+C34),1)</f>
        <v>193.1</v>
      </c>
      <c r="D31" s="1798" t="s">
        <v>1426</v>
      </c>
      <c r="E31" s="1796" t="s">
        <v>1477</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1429</v>
      </c>
      <c r="C32" s="24">
        <f ca="1">IF(项目基本情况!B11="自然人","——",ROUND(C5*F32/(1+'数据-取费表'!C42),2))</f>
        <v>57.23</v>
      </c>
      <c r="D32" s="1796" t="s">
        <v>1430</v>
      </c>
      <c r="E32" s="347" t="s">
        <v>1418</v>
      </c>
      <c r="F32" s="377">
        <f>'数据-取费表'!B41</f>
        <v>5.6000000000000001E-2</v>
      </c>
      <c r="G32" s="1849"/>
      <c r="H32" s="744"/>
      <c r="I32" s="745"/>
      <c r="J32" s="746"/>
      <c r="K32" s="747"/>
      <c r="L32" s="748"/>
      <c r="M32" s="749"/>
    </row>
    <row r="33" spans="1:18" ht="18" customHeight="1">
      <c r="A33" s="1200" t="s">
        <v>1033</v>
      </c>
      <c r="B33" s="347" t="s">
        <v>1433</v>
      </c>
      <c r="C33" s="24">
        <f ca="1">IF(项目基本情况!B11="自然人","——",IF(D33="按租金收入计税",ROUND(C5*F33,2),IF(D33="按房产原值计税",ROUND(C29*F33*0.7,2),INDIRECT("'数据-取费表'!Aj"&amp;$G$1))))</f>
        <v>128.76</v>
      </c>
      <c r="D33" s="1826" t="s">
        <v>3240</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IF(项目基本情况!B11="自然人","——",ROUND(F34*F35/10000,2))</f>
        <v>7.07</v>
      </c>
      <c r="D34" s="370" t="s">
        <v>1438</v>
      </c>
      <c r="E34" s="347" t="s">
        <v>1439</v>
      </c>
      <c r="F34" s="371">
        <f>'数据-取费表'!B52</f>
        <v>5</v>
      </c>
      <c r="G34" s="1849"/>
      <c r="H34" s="744"/>
      <c r="I34" s="1858"/>
      <c r="J34" s="1859"/>
      <c r="K34" s="1861"/>
      <c r="L34" s="1862"/>
      <c r="M34" s="1862"/>
    </row>
    <row r="35" spans="1:18" ht="18" customHeight="1">
      <c r="A35" s="1352"/>
      <c r="B35" s="1350"/>
      <c r="C35" s="29"/>
      <c r="D35" s="373"/>
      <c r="E35" s="347" t="s">
        <v>1443</v>
      </c>
      <c r="F35" s="348">
        <f ca="1">INDIRECT("'数据-取费表'!r"&amp;$G$1)</f>
        <v>14132.359999999999</v>
      </c>
      <c r="G35" s="1849"/>
      <c r="H35" s="744"/>
      <c r="I35" s="1858"/>
      <c r="J35" s="1859"/>
      <c r="K35" s="1860"/>
      <c r="L35" s="1857"/>
      <c r="M35" s="1857"/>
    </row>
    <row r="36" spans="1:18" ht="18" customHeight="1">
      <c r="A36" s="1351" t="s">
        <v>1036</v>
      </c>
      <c r="B36" s="347" t="s">
        <v>1445</v>
      </c>
      <c r="C36" s="24">
        <f ca="1">ROUND(C29*F36,1)</f>
        <v>231</v>
      </c>
      <c r="D36" s="1796" t="s">
        <v>1478</v>
      </c>
      <c r="E36" s="347" t="s">
        <v>1418</v>
      </c>
      <c r="F36" s="374">
        <f ca="1">INDIRECT("'数据-取费表'!Ak"&amp;$G$1)</f>
        <v>1.4999999999999999E-2</v>
      </c>
      <c r="G36" s="1849"/>
      <c r="H36" s="1857"/>
      <c r="I36" s="1858"/>
      <c r="J36" s="1859"/>
      <c r="K36" s="750"/>
      <c r="L36" s="1857"/>
      <c r="M36" s="1857"/>
    </row>
    <row r="37" spans="1:18" ht="18" customHeight="1">
      <c r="A37" s="1200" t="s">
        <v>1072</v>
      </c>
      <c r="B37" s="347" t="s">
        <v>1449</v>
      </c>
      <c r="C37" s="24">
        <f ca="1">ROUND(C13*F37,1)</f>
        <v>23.1</v>
      </c>
      <c r="D37" s="1796" t="s">
        <v>1450</v>
      </c>
      <c r="E37" s="347" t="s">
        <v>1451</v>
      </c>
      <c r="F37" s="376">
        <f ca="1">INDIRECT("'数据-取费表'!Al"&amp;$G$1)</f>
        <v>1.5E-3</v>
      </c>
      <c r="G37" s="1849"/>
      <c r="H37" s="1857"/>
      <c r="I37" s="1858"/>
      <c r="J37" s="1859"/>
      <c r="K37" s="750"/>
      <c r="L37" s="1857"/>
      <c r="M37" s="1857"/>
    </row>
    <row r="38" spans="1:18" ht="18" customHeight="1" thickBot="1">
      <c r="A38" s="1338" t="s">
        <v>1389</v>
      </c>
      <c r="B38" s="1339" t="s">
        <v>1435</v>
      </c>
      <c r="C38" s="1340">
        <f ca="1">ROUND(C5*F38,1)</f>
        <v>10.7</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615</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15360</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47.489999999999995</v>
      </c>
      <c r="G41" s="1849"/>
      <c r="H41" s="731"/>
      <c r="I41" s="1858"/>
      <c r="J41" s="1859"/>
      <c r="K41" s="750"/>
      <c r="L41" s="731"/>
      <c r="M41" s="731"/>
    </row>
    <row r="42" spans="1:18" ht="18" customHeight="1">
      <c r="A42" s="353"/>
      <c r="B42" s="354"/>
      <c r="C42" s="355"/>
      <c r="D42" s="373"/>
      <c r="E42" s="347" t="s">
        <v>1473</v>
      </c>
      <c r="F42" s="357">
        <f ca="1">INDIRECT("'数据-取费表'!v"&amp;$G$1)</f>
        <v>1.4999999999999999E-2</v>
      </c>
      <c r="G42" s="1849"/>
      <c r="H42" s="731"/>
      <c r="I42" s="1858"/>
      <c r="J42" s="1859"/>
      <c r="K42" s="750"/>
      <c r="L42" s="731"/>
      <c r="M42" s="731"/>
    </row>
    <row r="43" spans="1:18" ht="18" customHeight="1" thickBot="1">
      <c r="A43" s="380" t="s">
        <v>1030</v>
      </c>
      <c r="B43" s="381" t="s">
        <v>1483</v>
      </c>
      <c r="C43" s="382">
        <f ca="1">ROUND(C40*10000/F43,0)</f>
        <v>2821</v>
      </c>
      <c r="D43" s="383" t="s">
        <v>1484</v>
      </c>
      <c r="E43" s="384" t="s">
        <v>1485</v>
      </c>
      <c r="F43" s="385">
        <f ca="1">INDIRECT("'数据-取费表'!k"&amp;$G$1)</f>
        <v>54445.270000000004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1515</v>
      </c>
      <c r="P45" s="1837"/>
      <c r="Q45" s="1837"/>
      <c r="R45" s="1837"/>
    </row>
    <row r="46" spans="1:18" s="1840" customFormat="1" ht="13.5" thickBot="1">
      <c r="A46" s="1868" t="s">
        <v>1516</v>
      </c>
      <c r="C46" s="1869">
        <f ca="1">C68-C40</f>
        <v>-45643</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4" t="s">
        <v>1392</v>
      </c>
      <c r="B47" s="1196" t="s">
        <v>1393</v>
      </c>
      <c r="C47" s="1366" t="s">
        <v>1394</v>
      </c>
      <c r="D47" s="1196" t="s">
        <v>1395</v>
      </c>
      <c r="E47" s="1278" t="s">
        <v>1396</v>
      </c>
      <c r="F47" s="1279"/>
      <c r="G47" s="791"/>
      <c r="I47" s="1878" t="s">
        <v>1522</v>
      </c>
      <c r="J47" s="1879" t="s">
        <v>3237</v>
      </c>
      <c r="K47" s="1880" t="s">
        <v>1523</v>
      </c>
      <c r="L47" s="1881">
        <f ca="1">INDIRECT("'数据-取费表'!d"&amp;$G$1)</f>
        <v>50</v>
      </c>
      <c r="M47" s="1836" t="str">
        <f>IF(ISNUMBER(FIND("住宅",C1)),"住宅","非住宅")</f>
        <v>非住宅</v>
      </c>
      <c r="O47" s="1882" t="s">
        <v>1037</v>
      </c>
      <c r="P47" s="1883" t="s">
        <v>1524</v>
      </c>
      <c r="Q47" s="1884">
        <f ca="1">C40+J29</f>
        <v>15360</v>
      </c>
      <c r="R47" s="1884" t="s">
        <v>1525</v>
      </c>
    </row>
    <row r="48" spans="1:18" s="1840" customFormat="1" ht="28.5" thickBot="1">
      <c r="A48" s="1359" t="s">
        <v>1132</v>
      </c>
      <c r="B48" s="345" t="s">
        <v>1397</v>
      </c>
      <c r="C48" s="1815">
        <f ca="1">C49+C53+C55</f>
        <v>0</v>
      </c>
      <c r="D48" s="1361"/>
      <c r="E48" s="1362"/>
      <c r="F48" s="1180"/>
      <c r="G48" s="791"/>
      <c r="H48" s="792"/>
      <c r="I48" s="1885" t="s">
        <v>1526</v>
      </c>
      <c r="J48" s="1886" t="s">
        <v>3238</v>
      </c>
      <c r="K48" s="1887" t="s">
        <v>1527</v>
      </c>
      <c r="L48" s="1888">
        <f ca="1">INDIRECT("'数据-取费表'!f"&amp;$G$1)</f>
        <v>49.19</v>
      </c>
      <c r="O48" s="1882" t="s">
        <v>1038</v>
      </c>
      <c r="P48" s="1883" t="s">
        <v>1528</v>
      </c>
      <c r="Q48" s="1884" t="str">
        <f ca="1">J60</f>
        <v>0</v>
      </c>
      <c r="R48" s="1884" t="s">
        <v>1529</v>
      </c>
    </row>
    <row r="49" spans="1:18" s="1840" customFormat="1" ht="13.5" thickBot="1">
      <c r="A49" s="1193" t="s">
        <v>1133</v>
      </c>
      <c r="B49" s="1827" t="s">
        <v>1486</v>
      </c>
      <c r="C49" s="1363">
        <f ca="1">ROUND(F49*F51*F50*(1-F52)/10000,0)</f>
        <v>0</v>
      </c>
      <c r="D49" s="1275" t="s">
        <v>3022</v>
      </c>
      <c r="E49" s="1828" t="s">
        <v>1487</v>
      </c>
      <c r="F49" s="1280"/>
      <c r="G49" s="1889"/>
      <c r="H49" s="792"/>
      <c r="I49" s="1885" t="s">
        <v>1530</v>
      </c>
      <c r="J49" s="1890"/>
      <c r="K49" s="1887" t="s">
        <v>1531</v>
      </c>
      <c r="L49" s="1891"/>
      <c r="O49" s="1892" t="s">
        <v>1039</v>
      </c>
      <c r="P49" s="1883" t="s">
        <v>1532</v>
      </c>
      <c r="Q49" s="1884">
        <f ca="1">C29</f>
        <v>15403</v>
      </c>
      <c r="R49" s="1884" t="s">
        <v>1525</v>
      </c>
    </row>
    <row r="50" spans="1:18" s="1840" customFormat="1" ht="13.5" thickBot="1">
      <c r="A50" s="1194"/>
      <c r="B50" s="1197"/>
      <c r="C50" s="1367"/>
      <c r="D50" s="1171"/>
      <c r="E50" s="1276" t="s">
        <v>1402</v>
      </c>
      <c r="F50" s="1277">
        <f ca="1">F7</f>
        <v>54445.270000000004</v>
      </c>
      <c r="H50" s="792"/>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5"/>
      <c r="B51" s="1197"/>
      <c r="C51" s="1198"/>
      <c r="D51" s="1171"/>
      <c r="E51" s="1199" t="s">
        <v>1403</v>
      </c>
      <c r="F51" s="348">
        <f ca="1">F8</f>
        <v>365</v>
      </c>
      <c r="I51" s="1896" t="s">
        <v>1536</v>
      </c>
      <c r="J51" s="1897">
        <f>IF(J49="",J50,J49+J50-YEAR('数据-取费表'!B2))</f>
        <v>60</v>
      </c>
      <c r="K51" s="1898" t="s">
        <v>1537</v>
      </c>
      <c r="L51" s="1899">
        <f ca="1">ROUND(-PV(INDIRECT("'数据-取费表'!h"&amp;$G$1),L48,(C39-C13*C76),0),0)</f>
        <v>-14835</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f ca="1">J53</f>
        <v>47.489999999999995</v>
      </c>
      <c r="R52" s="1884" t="s">
        <v>1542</v>
      </c>
    </row>
    <row r="53" spans="1:18" s="1840" customFormat="1" ht="24.75" thickBot="1">
      <c r="A53" s="1404" t="s">
        <v>1134</v>
      </c>
      <c r="B53" s="1829" t="s">
        <v>1405</v>
      </c>
      <c r="C53" s="361">
        <f ca="1">ROUND(IF(F53="押一",C49/12*F11,IF(F53="押二",C49/12*2*F11,IF(F53="押三",C49/12*3*F11,C54*F11))),0)</f>
        <v>0</v>
      </c>
      <c r="D53" s="1822" t="s">
        <v>3029</v>
      </c>
      <c r="E53" s="358" t="s">
        <v>1406</v>
      </c>
      <c r="F53" s="1365"/>
      <c r="I53" s="1903" t="s">
        <v>1543</v>
      </c>
      <c r="J53" s="1904">
        <f ca="1">IF(M47="住宅",IF(D1="——",MAX(J51,L48),IF(D1="在建（套用方法）",MAX(J51,L48-'数据-取费表'!B24),MAX(J51,L48-'数据-取费表'!B20))),IF(D1="——",MIN(J51,L48),IF(D1="在建（套用方法）",MIN(J51,L48-'数据-取费表'!B24),IF(D1="土地（套用方法）",MIN(J51,L48-'数据-取费表'!B20)))))</f>
        <v>47.489999999999995</v>
      </c>
      <c r="K53" s="3261" t="s">
        <v>1544</v>
      </c>
      <c r="L53" s="3262"/>
      <c r="O53" s="1882" t="s">
        <v>1043</v>
      </c>
      <c r="P53" s="1883" t="s">
        <v>1545</v>
      </c>
      <c r="Q53" s="1884">
        <f ca="1">Q47+Q48</f>
        <v>15360</v>
      </c>
      <c r="R53" s="1884" t="s">
        <v>1044</v>
      </c>
    </row>
    <row r="54" spans="1:18" s="1840" customFormat="1" ht="13.5"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5">
        <v>2</v>
      </c>
      <c r="B56" s="1176" t="s">
        <v>1410</v>
      </c>
      <c r="C56" s="276">
        <f ca="1">C13</f>
        <v>15403</v>
      </c>
      <c r="D56" s="1912"/>
      <c r="E56" s="1913"/>
      <c r="F56" s="1905"/>
      <c r="I56" s="1914" t="s">
        <v>1550</v>
      </c>
      <c r="J56" s="1915" t="s">
        <v>3045</v>
      </c>
      <c r="K56" s="1885" t="s">
        <v>1551</v>
      </c>
      <c r="L56" s="1888" t="str">
        <f ca="1">IF(L48&lt;J51,"——",L48-J53)</f>
        <v>——</v>
      </c>
      <c r="O56" s="1882" t="s">
        <v>1037</v>
      </c>
      <c r="P56" s="1883" t="s">
        <v>1524</v>
      </c>
      <c r="Q56" s="1884">
        <f ca="1">C40+J29</f>
        <v>15360</v>
      </c>
      <c r="R56" s="1884" t="s">
        <v>1525</v>
      </c>
    </row>
    <row r="57" spans="1:18" s="1840" customFormat="1" ht="24.75" thickBot="1">
      <c r="A57" s="1916"/>
      <c r="B57" s="1168" t="s">
        <v>1474</v>
      </c>
      <c r="C57" s="282">
        <f ca="1">C29</f>
        <v>15403</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6" t="s">
        <v>1420</v>
      </c>
      <c r="C58" s="361">
        <f ca="1">ROUND(C59+C64+C65+C66,0)</f>
        <v>1555</v>
      </c>
      <c r="D58" s="1178" t="s">
        <v>1421</v>
      </c>
      <c r="E58" s="1179"/>
      <c r="F58" s="1180"/>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ROUND(IF(项目基本情况!B11="自然人",C48*F59,C60+C61+C62),1)</f>
        <v>1300.9000000000001</v>
      </c>
      <c r="D59" s="1181" t="s">
        <v>1426</v>
      </c>
      <c r="E59" s="1182"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IF(项目基本情况!B11="自然人","——",IF(D61="按租金收入计税",ROUND(C48*F61,2),IF(D61="按房产原值计税",ROUND(C57*F61*0.7,2),INDIRECT("'数据-取费表'!Aj"&amp;$G$1))))</f>
        <v>1293.8499999999999</v>
      </c>
      <c r="D61" s="1826" t="s">
        <v>1434</v>
      </c>
      <c r="E61" s="1168" t="s">
        <v>1490</v>
      </c>
      <c r="F61" s="367">
        <f t="shared" si="0"/>
        <v>0.12</v>
      </c>
      <c r="I61" s="1926"/>
      <c r="J61" s="1926"/>
      <c r="K61" s="1926"/>
      <c r="L61" s="1926"/>
      <c r="O61" s="1892" t="s">
        <v>1042</v>
      </c>
      <c r="P61" s="1883" t="str">
        <f>K59</f>
        <v>续建工期及建筑物耐用年限下的土地年期修正系数Kn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IF(项目基本情况!B11="自然人","——",ROUND(F62*F63/10000,2))</f>
        <v>7.07</v>
      </c>
      <c r="D62" s="1183" t="s">
        <v>1493</v>
      </c>
      <c r="E62" s="1168" t="s">
        <v>1494</v>
      </c>
      <c r="F62" s="371">
        <f t="shared" si="0"/>
        <v>5</v>
      </c>
      <c r="I62" s="1927" t="s">
        <v>1566</v>
      </c>
      <c r="J62" s="1928" t="s">
        <v>1567</v>
      </c>
      <c r="K62" s="1928" t="s">
        <v>1568</v>
      </c>
      <c r="L62" s="1928" t="s">
        <v>1569</v>
      </c>
      <c r="M62" s="1929" t="s">
        <v>1570</v>
      </c>
      <c r="O62" s="1882" t="s">
        <v>1043</v>
      </c>
      <c r="P62" s="1883" t="s">
        <v>1571</v>
      </c>
      <c r="Q62" s="1884">
        <f ca="1">Q56+Q57</f>
        <v>15360</v>
      </c>
      <c r="R62" s="1884" t="s">
        <v>1044</v>
      </c>
    </row>
    <row r="63" spans="1:18" s="1840" customFormat="1" ht="13.5" thickBot="1">
      <c r="A63" s="372"/>
      <c r="B63" s="1174"/>
      <c r="C63" s="29"/>
      <c r="D63" s="1184"/>
      <c r="E63" s="1168" t="s">
        <v>1495</v>
      </c>
      <c r="F63" s="348">
        <f t="shared" ca="1" si="0"/>
        <v>14132.359999999999</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ROUND(C57*F64,1)</f>
        <v>231</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ROUND(C56*F65,1)</f>
        <v>23.1</v>
      </c>
      <c r="D65" s="1182" t="s">
        <v>1450</v>
      </c>
      <c r="E65" s="1168" t="s">
        <v>1451</v>
      </c>
      <c r="F65" s="376">
        <f t="shared" ca="1" si="0"/>
        <v>1.5E-3</v>
      </c>
      <c r="I65" s="1927" t="s">
        <v>1575</v>
      </c>
      <c r="J65" s="1928">
        <v>40</v>
      </c>
      <c r="K65" s="1928">
        <v>30</v>
      </c>
      <c r="L65" s="1928">
        <v>50</v>
      </c>
      <c r="M65" s="1930">
        <v>0.02</v>
      </c>
      <c r="O65" s="1882" t="s">
        <v>1037</v>
      </c>
      <c r="P65" s="1883" t="s">
        <v>1576</v>
      </c>
      <c r="Q65" s="1884">
        <f ca="1">C40+J29</f>
        <v>15360</v>
      </c>
      <c r="R65" s="1884" t="s">
        <v>1525</v>
      </c>
    </row>
    <row r="66" spans="1:18" s="1840" customFormat="1" ht="16.5" thickBot="1">
      <c r="A66" s="1200" t="s">
        <v>1500</v>
      </c>
      <c r="B66" s="1168" t="s">
        <v>1435</v>
      </c>
      <c r="C66" s="24">
        <f ca="1">ROUND(C48*F66,1)</f>
        <v>0</v>
      </c>
      <c r="D66" s="1182" t="s">
        <v>1501</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-1555</v>
      </c>
      <c r="D67" s="1181" t="s">
        <v>1460</v>
      </c>
      <c r="E67" s="1186"/>
      <c r="F67" s="1187"/>
      <c r="O67" s="1892" t="s">
        <v>1039</v>
      </c>
      <c r="P67" s="1883" t="s">
        <v>1558</v>
      </c>
      <c r="Q67" s="1931">
        <f ca="1">L51</f>
        <v>-14835</v>
      </c>
      <c r="R67" s="1884" t="s">
        <v>1578</v>
      </c>
    </row>
    <row r="68" spans="1:18" s="1840" customFormat="1" ht="16.5" thickBot="1">
      <c r="A68" s="1165" t="s">
        <v>1029</v>
      </c>
      <c r="B68" s="1166" t="s">
        <v>1481</v>
      </c>
      <c r="C68" s="346">
        <f ca="1">ROUND(C67*(1-((1+F70)/(1+F68))^F69)/(F68-F70),0)</f>
        <v>-30283</v>
      </c>
      <c r="D68" s="1183" t="s">
        <v>1465</v>
      </c>
      <c r="E68" s="1168" t="s">
        <v>1466</v>
      </c>
      <c r="F68" s="357">
        <f ca="1">F40</f>
        <v>4.4999999999999998E-2</v>
      </c>
      <c r="O68" s="1892" t="s">
        <v>1040</v>
      </c>
      <c r="P68" s="1932" t="s">
        <v>1579</v>
      </c>
      <c r="Q68" s="1884">
        <f ca="1">ROUND(Q69-Q70*Q71,0)</f>
        <v>-694</v>
      </c>
      <c r="R68" s="1884" t="s">
        <v>1048</v>
      </c>
    </row>
    <row r="69" spans="1:18" s="1840" customFormat="1" ht="13.5" thickBot="1">
      <c r="A69" s="1169"/>
      <c r="B69" s="1170"/>
      <c r="C69" s="351"/>
      <c r="D69" s="1188" t="s">
        <v>1469</v>
      </c>
      <c r="E69" s="1168" t="s">
        <v>1470</v>
      </c>
      <c r="F69" s="379">
        <f ca="1">F41</f>
        <v>47.489999999999995</v>
      </c>
      <c r="O69" s="1892" t="s">
        <v>1045</v>
      </c>
      <c r="P69" s="1932" t="s">
        <v>1580</v>
      </c>
      <c r="Q69" s="1884">
        <f ca="1">C39</f>
        <v>615</v>
      </c>
      <c r="R69" s="1884" t="s">
        <v>1525</v>
      </c>
    </row>
    <row r="70" spans="1:18" s="1840" customFormat="1" ht="13.5" thickBot="1">
      <c r="A70" s="1172"/>
      <c r="B70" s="1173"/>
      <c r="C70" s="355"/>
      <c r="D70" s="1184"/>
      <c r="E70" s="1168" t="s">
        <v>1473</v>
      </c>
      <c r="F70" s="1274"/>
      <c r="O70" s="1892" t="s">
        <v>1046</v>
      </c>
      <c r="P70" s="1932" t="s">
        <v>1581</v>
      </c>
      <c r="Q70" s="1884">
        <f ca="1">C13</f>
        <v>15403</v>
      </c>
      <c r="R70" s="1884" t="s">
        <v>1525</v>
      </c>
    </row>
    <row r="71" spans="1:18" s="1840" customFormat="1" ht="13.5" thickBot="1">
      <c r="A71" s="1189" t="s">
        <v>1030</v>
      </c>
      <c r="B71" s="1190" t="s">
        <v>1483</v>
      </c>
      <c r="C71" s="382">
        <f ca="1">ROUND(C68*10000/F71,0)</f>
        <v>-5562</v>
      </c>
      <c r="D71" s="1191" t="s">
        <v>1484</v>
      </c>
      <c r="E71" s="1192" t="s">
        <v>1485</v>
      </c>
      <c r="F71" s="385">
        <f ca="1">F43</f>
        <v>54445.270000000004</v>
      </c>
      <c r="O71" s="1892" t="s">
        <v>1047</v>
      </c>
      <c r="P71" s="1932" t="s">
        <v>1582</v>
      </c>
      <c r="Q71" s="1895">
        <f ca="1">C76</f>
        <v>8.5000000000000006E-2</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续建工期及建筑物耐用年限下的土地年期修正系数Kn</v>
      </c>
      <c r="Q74" s="1884" t="e">
        <f ca="1">L59</f>
        <v>#DIV/0!</v>
      </c>
      <c r="R74" s="1884" t="s">
        <v>1565</v>
      </c>
    </row>
    <row r="75" spans="1:18" ht="13.5" thickBot="1">
      <c r="A75" s="1840"/>
      <c r="B75" s="386" t="s">
        <v>1502</v>
      </c>
      <c r="C75" s="387">
        <f ca="1">ROUND(C13*C76,0)</f>
        <v>1309</v>
      </c>
      <c r="D75" s="1840"/>
      <c r="E75" s="1840"/>
      <c r="F75" s="1840"/>
      <c r="K75" s="1866"/>
      <c r="L75" s="1840"/>
      <c r="O75" s="1882" t="s">
        <v>1043</v>
      </c>
      <c r="P75" s="1883" t="s">
        <v>1545</v>
      </c>
      <c r="Q75" s="1884">
        <f ca="1">Q65+Q66</f>
        <v>15360</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-1.1280000000000001</v>
      </c>
    </row>
    <row r="80" spans="1:18">
      <c r="B80" s="386" t="s">
        <v>1507</v>
      </c>
      <c r="C80" s="318">
        <f ca="1">ROUND(C75/C39,3)</f>
        <v>2.1280000000000001</v>
      </c>
    </row>
    <row r="81" spans="2:3">
      <c r="B81" s="314" t="s">
        <v>1508</v>
      </c>
      <c r="C81" s="282"/>
    </row>
    <row r="82" spans="2:3">
      <c r="B82" s="317" t="s">
        <v>1509</v>
      </c>
      <c r="C82" s="319">
        <f ca="1">1-C83</f>
        <v>-2.9999999999998916E-3</v>
      </c>
    </row>
    <row r="83" spans="2:3">
      <c r="B83" s="317" t="s">
        <v>1510</v>
      </c>
      <c r="C83" s="318">
        <f ca="1">ROUND(C13/C40,3)</f>
        <v>1.0029999999999999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8" priority="56">
      <formula>$L$48&gt;$J$51</formula>
    </cfRule>
  </conditionalFormatting>
  <conditionalFormatting sqref="I55 I60">
    <cfRule type="expression" dxfId="87" priority="57">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1"/>
      <c r="C1" s="1835"/>
      <c r="D1" s="1818"/>
      <c r="E1" s="1819" t="s">
        <v>1383</v>
      </c>
      <c r="F1" s="1282" t="b">
        <f>J53</f>
        <v>0</v>
      </c>
      <c r="G1" s="1834">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3"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0</v>
      </c>
      <c r="D5" s="1820" t="s">
        <v>1597</v>
      </c>
      <c r="E5" s="1292"/>
      <c r="F5" s="1293"/>
      <c r="G5" s="1849"/>
      <c r="H5" s="344">
        <v>1</v>
      </c>
      <c r="I5" s="345" t="s">
        <v>1596</v>
      </c>
      <c r="J5" s="1291">
        <f ca="1">J6+J10+J12</f>
        <v>0</v>
      </c>
      <c r="K5" s="1820" t="s">
        <v>1597</v>
      </c>
      <c r="L5" s="1292"/>
      <c r="M5" s="1293"/>
    </row>
    <row r="6" spans="1:37" ht="18" customHeight="1">
      <c r="A6" s="1290" t="s">
        <v>1032</v>
      </c>
      <c r="B6" s="3263" t="s">
        <v>1399</v>
      </c>
      <c r="C6" s="1295">
        <f ca="1">ROUND(F6*F8*F7*(1-F9),0)</f>
        <v>0</v>
      </c>
      <c r="D6" s="164" t="s">
        <v>3018</v>
      </c>
      <c r="E6" s="347" t="s">
        <v>1401</v>
      </c>
      <c r="F6" s="348">
        <f ca="1">INDIRECT("'数据-取费表'!u"&amp;$G$1)</f>
        <v>0</v>
      </c>
      <c r="G6" s="1849"/>
      <c r="H6" s="1290" t="s">
        <v>1032</v>
      </c>
      <c r="I6" s="3263" t="s">
        <v>1399</v>
      </c>
      <c r="J6" s="346">
        <f ca="1">ROUND(M6*M8*M7*(1-M9),0)</f>
        <v>0</v>
      </c>
      <c r="K6" s="1832" t="s">
        <v>3019</v>
      </c>
      <c r="L6" s="347" t="s">
        <v>1401</v>
      </c>
      <c r="M6" s="348">
        <f ca="1">INDIRECT("'数据-取费表'!z"&amp;$G$1)</f>
        <v>0</v>
      </c>
    </row>
    <row r="7" spans="1:37" ht="18" customHeight="1">
      <c r="A7" s="1294"/>
      <c r="B7" s="3264"/>
      <c r="C7" s="1296"/>
      <c r="D7" s="352"/>
      <c r="E7" s="1297" t="s">
        <v>1402</v>
      </c>
      <c r="F7" s="348">
        <f ca="1">IF(INDIRECT("'数据-取费表'!ah"&amp;$G$1)="",INDIRECT("'数据-取费表'!k"&amp;$G$1),INDIRECT("'数据-取费表'!ah"&amp;$G$1))</f>
        <v>0</v>
      </c>
      <c r="G7" s="1849"/>
      <c r="H7" s="349"/>
      <c r="I7" s="3264"/>
      <c r="J7" s="351"/>
      <c r="K7" s="352"/>
      <c r="L7" s="347" t="s">
        <v>1402</v>
      </c>
      <c r="M7" s="348">
        <f ca="1">F7</f>
        <v>0</v>
      </c>
    </row>
    <row r="8" spans="1:37" ht="18" customHeight="1">
      <c r="A8" s="349"/>
      <c r="B8" s="3264"/>
      <c r="C8" s="351"/>
      <c r="D8" s="352"/>
      <c r="E8" s="347" t="s">
        <v>1403</v>
      </c>
      <c r="F8" s="348">
        <f ca="1">INDIRECT("'数据-取费表'!ai"&amp;$G$1)</f>
        <v>0</v>
      </c>
      <c r="G8" s="1849"/>
      <c r="H8" s="349"/>
      <c r="I8" s="3264"/>
      <c r="J8" s="351"/>
      <c r="K8" s="352"/>
      <c r="L8" s="347" t="s">
        <v>1403</v>
      </c>
      <c r="M8" s="348">
        <f ca="1">INDIRECT("'数据-取费表'!ai"&amp;$G$1)</f>
        <v>0</v>
      </c>
    </row>
    <row r="9" spans="1:37" ht="18" customHeight="1">
      <c r="A9" s="349"/>
      <c r="B9" s="3265"/>
      <c r="C9" s="351"/>
      <c r="D9" s="352"/>
      <c r="E9" s="347" t="s">
        <v>1404</v>
      </c>
      <c r="F9" s="357">
        <f ca="1">INDIRECT("'数据-取费表'!w"&amp;$G$1)</f>
        <v>0</v>
      </c>
      <c r="G9" s="1849"/>
      <c r="H9" s="349"/>
      <c r="I9" s="3265"/>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3029</v>
      </c>
      <c r="E10" s="358" t="s">
        <v>1406</v>
      </c>
      <c r="F10" s="1365"/>
      <c r="G10" s="1849"/>
      <c r="H10" s="1290" t="s">
        <v>1036</v>
      </c>
      <c r="I10" s="1821" t="s">
        <v>1405</v>
      </c>
      <c r="J10" s="346">
        <f ca="1">ROUND(IF(M10="押一",J6/12*M11,IF(M10="押二",J6/12*2*M11,IF(M10="押三",J6/12*3*M11,J11*M11))),0)</f>
        <v>0</v>
      </c>
      <c r="K10" s="1833" t="s">
        <v>3031</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7"/>
      <c r="L11" s="358" t="s">
        <v>1408</v>
      </c>
      <c r="M11" s="1055">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0</v>
      </c>
      <c r="D14" s="1798" t="s">
        <v>1414</v>
      </c>
      <c r="E14" s="1792"/>
      <c r="F14" s="364"/>
      <c r="G14" s="1849"/>
      <c r="H14" s="1200" t="s">
        <v>1032</v>
      </c>
      <c r="I14" s="347" t="s">
        <v>1415</v>
      </c>
      <c r="J14" s="24">
        <f ca="1">C29</f>
        <v>0</v>
      </c>
      <c r="K14" s="15"/>
      <c r="L14" s="978"/>
      <c r="M14" s="979"/>
    </row>
    <row r="15" spans="1:37" s="1856" customFormat="1" ht="18" customHeight="1" thickBot="1">
      <c r="A15" s="1200" t="s">
        <v>1033</v>
      </c>
      <c r="B15" s="347" t="s">
        <v>1416</v>
      </c>
      <c r="C15" s="24">
        <f ca="1">ROUND(C14*F15,0)</f>
        <v>0</v>
      </c>
      <c r="D15" s="365" t="s">
        <v>1417</v>
      </c>
      <c r="E15" s="365" t="s">
        <v>1418</v>
      </c>
      <c r="F15" s="366">
        <f>'数据-取费表'!B33</f>
        <v>0.04</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ROUND(F17*(F43+INDIRECT("'数据-取费表'!S"&amp;$G$1)),0)</f>
        <v>0</v>
      </c>
      <c r="D17" s="347" t="s">
        <v>1423</v>
      </c>
      <c r="E17" s="347" t="s">
        <v>1424</v>
      </c>
      <c r="F17" s="26">
        <f>'数据-取费表'!B35</f>
        <v>200</v>
      </c>
      <c r="G17" s="1852"/>
      <c r="H17" s="1200"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0.02</v>
      </c>
      <c r="G20" s="1852"/>
      <c r="H20" s="1200" t="s">
        <v>1385</v>
      </c>
      <c r="I20" s="164" t="s">
        <v>1437</v>
      </c>
      <c r="J20" s="25">
        <f ca="1">ROUND(M20*M21,0)</f>
        <v>0</v>
      </c>
      <c r="K20" s="370" t="s">
        <v>1438</v>
      </c>
      <c r="L20" s="347" t="s">
        <v>1439</v>
      </c>
      <c r="M20" s="371">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0"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4"/>
      <c r="I30" s="745"/>
      <c r="J30" s="746"/>
      <c r="K30" s="747"/>
      <c r="L30" s="748"/>
      <c r="M30" s="749"/>
    </row>
    <row r="31" spans="1:37" ht="18" customHeight="1">
      <c r="A31" s="1200"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1429</v>
      </c>
      <c r="C32" s="24">
        <f ca="1">IF(项目基本情况!B11="自然人","——",ROUND(C5*F32/(1+'数据-取费表'!C42),0))</f>
        <v>0</v>
      </c>
      <c r="D32" s="1796" t="s">
        <v>1430</v>
      </c>
      <c r="E32" s="347" t="s">
        <v>1418</v>
      </c>
      <c r="F32" s="377">
        <f>'数据-取费表'!B41</f>
        <v>5.6000000000000001E-2</v>
      </c>
      <c r="G32" s="1849"/>
      <c r="H32" s="744"/>
      <c r="I32" s="745"/>
      <c r="J32" s="746"/>
      <c r="K32" s="747"/>
      <c r="L32" s="748"/>
      <c r="M32" s="749"/>
    </row>
    <row r="33" spans="1:18" ht="18" customHeight="1">
      <c r="A33" s="1200"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5</v>
      </c>
      <c r="G34" s="1849"/>
      <c r="H34" s="744"/>
      <c r="I34" s="1858"/>
      <c r="J34" s="1859"/>
      <c r="K34" s="1861"/>
      <c r="L34" s="1862"/>
      <c r="M34" s="1862"/>
    </row>
    <row r="35" spans="1:18" ht="18" customHeight="1">
      <c r="A35" s="1352"/>
      <c r="B35" s="1350"/>
      <c r="C35" s="29"/>
      <c r="D35" s="373"/>
      <c r="E35" s="347" t="s">
        <v>1443</v>
      </c>
      <c r="F35" s="348">
        <f ca="1">INDIRECT("'数据-取费表'!r"&amp;$G$1)</f>
        <v>0</v>
      </c>
      <c r="G35" s="1849"/>
      <c r="H35" s="744"/>
      <c r="I35" s="1858"/>
      <c r="J35" s="1859"/>
      <c r="K35" s="1860"/>
      <c r="L35" s="1857"/>
      <c r="M35" s="1857"/>
    </row>
    <row r="36" spans="1:18" ht="18" customHeight="1">
      <c r="A36" s="1351" t="s">
        <v>1036</v>
      </c>
      <c r="B36" s="347" t="s">
        <v>1445</v>
      </c>
      <c r="C36" s="24">
        <f ca="1">ROUND(C29*F36,0)</f>
        <v>0</v>
      </c>
      <c r="D36" s="1796" t="s">
        <v>1478</v>
      </c>
      <c r="E36" s="347" t="s">
        <v>1418</v>
      </c>
      <c r="F36" s="374">
        <f ca="1">INDIRECT("'数据-取费表'!Ak"&amp;$G$1)</f>
        <v>0</v>
      </c>
      <c r="G36" s="1849"/>
      <c r="H36" s="1857"/>
      <c r="I36" s="1858"/>
      <c r="J36" s="1859"/>
      <c r="K36" s="750"/>
      <c r="L36" s="1857"/>
      <c r="M36" s="1857"/>
    </row>
    <row r="37" spans="1:18" ht="18" customHeight="1">
      <c r="A37" s="1200" t="s">
        <v>1072</v>
      </c>
      <c r="B37" s="347" t="s">
        <v>1449</v>
      </c>
      <c r="C37" s="24">
        <f ca="1">ROUND(C13*F37,0)</f>
        <v>0</v>
      </c>
      <c r="D37" s="1796" t="s">
        <v>1450</v>
      </c>
      <c r="E37" s="347" t="s">
        <v>1451</v>
      </c>
      <c r="F37" s="376">
        <f ca="1">INDIRECT("'数据-取费表'!Al"&amp;$G$1)</f>
        <v>0</v>
      </c>
      <c r="G37" s="1849"/>
      <c r="H37" s="1857"/>
      <c r="I37" s="1858"/>
      <c r="J37" s="1859"/>
      <c r="K37" s="750"/>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1473</v>
      </c>
      <c r="F42" s="357">
        <f ca="1">INDIRECT("'数据-取费表'!v"&amp;$G$1)</f>
        <v>0</v>
      </c>
      <c r="G42" s="1849"/>
      <c r="H42" s="731"/>
      <c r="I42" s="1858"/>
      <c r="J42" s="1859"/>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91"/>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9" t="s">
        <v>1132</v>
      </c>
      <c r="B48" s="345" t="s">
        <v>1397</v>
      </c>
      <c r="C48" s="1815">
        <f ca="1">C49+C53+C55</f>
        <v>0</v>
      </c>
      <c r="D48" s="1361"/>
      <c r="E48" s="1362"/>
      <c r="F48" s="1180"/>
      <c r="G48" s="791"/>
      <c r="H48" s="792"/>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3" t="s">
        <v>1133</v>
      </c>
      <c r="B49" s="1827" t="s">
        <v>1486</v>
      </c>
      <c r="C49" s="1363">
        <f ca="1">ROUND(F49*F51*F50*(1-F52),0)</f>
        <v>0</v>
      </c>
      <c r="D49" s="1275" t="s">
        <v>1400</v>
      </c>
      <c r="E49" s="1828" t="s">
        <v>1487</v>
      </c>
      <c r="F49" s="1280"/>
      <c r="G49" s="1889"/>
      <c r="H49" s="792"/>
      <c r="I49" s="1885" t="s">
        <v>1530</v>
      </c>
      <c r="J49" s="1890"/>
      <c r="K49" s="1887" t="s">
        <v>1531</v>
      </c>
      <c r="L49" s="1891"/>
      <c r="O49" s="1892" t="s">
        <v>1039</v>
      </c>
      <c r="P49" s="1883" t="s">
        <v>1532</v>
      </c>
      <c r="Q49" s="1884">
        <f ca="1">C29</f>
        <v>0</v>
      </c>
      <c r="R49" s="1884" t="s">
        <v>1525</v>
      </c>
    </row>
    <row r="50" spans="1:18" s="1840" customFormat="1" ht="13.5" thickBot="1">
      <c r="A50" s="1194"/>
      <c r="B50" s="1197"/>
      <c r="C50" s="1198"/>
      <c r="D50" s="1171"/>
      <c r="E50" s="1276" t="s">
        <v>1402</v>
      </c>
      <c r="F50" s="1277">
        <f ca="1">F7</f>
        <v>0</v>
      </c>
      <c r="H50" s="792"/>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30.75" customHeight="1" thickBot="1">
      <c r="A53" s="1360" t="s">
        <v>1134</v>
      </c>
      <c r="B53" s="369" t="s">
        <v>1405</v>
      </c>
      <c r="C53" s="361">
        <f ca="1">ROUND(IF(F53="押一",C49/12*F11,IF(F53="押二",C49/12*2*F11,IF(F53="押三",C49/12*3*F11,C54*F11))),0)</f>
        <v>0</v>
      </c>
      <c r="D53" s="1822" t="s">
        <v>3032</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61" t="s">
        <v>1544</v>
      </c>
      <c r="L53" s="3262"/>
      <c r="O53" s="1882" t="s">
        <v>1043</v>
      </c>
      <c r="P53" s="1883" t="s">
        <v>1545</v>
      </c>
      <c r="Q53" s="1884" t="e">
        <f ca="1">Q47+Q48</f>
        <v>#DIV/0!</v>
      </c>
      <c r="R53" s="1884" t="s">
        <v>1044</v>
      </c>
    </row>
    <row r="54" spans="1:18" s="1840" customFormat="1" ht="13.5"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5">
        <v>2</v>
      </c>
      <c r="B56" s="1176"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8"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6" t="s">
        <v>1420</v>
      </c>
      <c r="C58" s="361">
        <f ca="1">ROUND(C59+C64+C65+C66,0)</f>
        <v>0</v>
      </c>
      <c r="D58" s="1178" t="s">
        <v>1421</v>
      </c>
      <c r="E58" s="1179"/>
      <c r="F58" s="1180"/>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IF(项目基本情况!B11="自然人","——",IF(D61="按租金收入计税",ROUND(C48*F61,0),IF(D61="按房产原值计税",ROUND(C57*F61*0.7,0),INDIRECT("'数据-取费表'!Aj"&amp;$G$1))))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IF(项目基本情况!B11="自然人","——",ROUND(F62*F63,0))</f>
        <v>0</v>
      </c>
      <c r="D62" s="1183" t="s">
        <v>1493</v>
      </c>
      <c r="E62" s="1168" t="s">
        <v>1494</v>
      </c>
      <c r="F62" s="371">
        <f t="shared" si="0"/>
        <v>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ROUND(C57*F64,0)</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0" t="s">
        <v>1500</v>
      </c>
      <c r="B66" s="1168" t="s">
        <v>1435</v>
      </c>
      <c r="C66" s="24">
        <f ca="1">ROUND(C48*F66,0)</f>
        <v>0</v>
      </c>
      <c r="D66" s="1182" t="s">
        <v>1501</v>
      </c>
      <c r="E66" s="1168" t="s">
        <v>1418</v>
      </c>
      <c r="F66" s="357">
        <f t="shared" ca="1" si="0"/>
        <v>0</v>
      </c>
      <c r="O66" s="1882" t="s">
        <v>1038</v>
      </c>
      <c r="P66" s="1883" t="s">
        <v>1554</v>
      </c>
      <c r="Q66" s="1884" t="e">
        <f ca="1">L60</f>
        <v>#DIV/0!</v>
      </c>
      <c r="R66" s="1884" t="s">
        <v>1577</v>
      </c>
    </row>
    <row r="67" spans="1:18" s="1840" customFormat="1" ht="16.5"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5"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5" thickBot="1">
      <c r="A69" s="1169"/>
      <c r="B69" s="1170"/>
      <c r="C69" s="351"/>
      <c r="D69" s="1188" t="s">
        <v>1469</v>
      </c>
      <c r="E69" s="1168" t="s">
        <v>1470</v>
      </c>
      <c r="F69" s="379">
        <f ca="1">F41</f>
        <v>0</v>
      </c>
      <c r="O69" s="1892" t="s">
        <v>1045</v>
      </c>
      <c r="P69" s="1932" t="s">
        <v>1580</v>
      </c>
      <c r="Q69" s="1884">
        <f ca="1">C39</f>
        <v>0</v>
      </c>
      <c r="R69" s="1884" t="s">
        <v>1525</v>
      </c>
    </row>
    <row r="70" spans="1:18" s="1840" customFormat="1" ht="13.5" thickBot="1">
      <c r="A70" s="1172"/>
      <c r="B70" s="1173"/>
      <c r="C70" s="355"/>
      <c r="D70" s="1184"/>
      <c r="E70" s="1168" t="s">
        <v>1473</v>
      </c>
      <c r="F70" s="1274">
        <f ca="1">F42</f>
        <v>0</v>
      </c>
      <c r="O70" s="1892" t="s">
        <v>1046</v>
      </c>
      <c r="P70" s="1932" t="s">
        <v>1581</v>
      </c>
      <c r="Q70" s="1884">
        <f ca="1">C13</f>
        <v>0</v>
      </c>
      <c r="R70" s="1884" t="s">
        <v>1525</v>
      </c>
    </row>
    <row r="71" spans="1:18" s="1840" customFormat="1" ht="13.5" thickBot="1">
      <c r="A71" s="1189" t="s">
        <v>1030</v>
      </c>
      <c r="B71" s="1190" t="s">
        <v>1483</v>
      </c>
      <c r="C71" s="382" t="e">
        <f ca="1">ROUND(C68/F71,0)</f>
        <v>#DIV/0!</v>
      </c>
      <c r="D71" s="1191" t="s">
        <v>1484</v>
      </c>
      <c r="E71" s="1192" t="s">
        <v>1485</v>
      </c>
      <c r="F71" s="385">
        <f ca="1">F43</f>
        <v>0</v>
      </c>
      <c r="O71" s="1892" t="s">
        <v>1047</v>
      </c>
      <c r="P71" s="1932" t="s">
        <v>1582</v>
      </c>
      <c r="Q71" s="1895">
        <f ca="1">C76</f>
        <v>0</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3" t="s">
        <v>2514</v>
      </c>
      <c r="B1" s="2554"/>
      <c r="C1" s="2554"/>
      <c r="D1" s="2554"/>
      <c r="E1" s="2555"/>
    </row>
    <row r="2" spans="1:6" ht="15.75">
      <c r="A2" s="2556" t="s">
        <v>2318</v>
      </c>
      <c r="B2" s="2557">
        <f ca="1">SUMIF(B6:B13,"&lt;&gt;#ref!",B6:B13)</f>
        <v>15360</v>
      </c>
      <c r="C2" s="2558" t="s">
        <v>2507</v>
      </c>
      <c r="D2" s="2559" t="s">
        <v>2508</v>
      </c>
      <c r="E2" s="2560">
        <f>SUM(E6:E13)</f>
        <v>56665.15</v>
      </c>
    </row>
    <row r="3" spans="1:6" ht="15.75">
      <c r="A3" s="2556" t="s">
        <v>1391</v>
      </c>
      <c r="B3" s="2557">
        <f ca="1">ROUND(B2*10000/E2,0)</f>
        <v>2711</v>
      </c>
      <c r="C3" s="2558" t="s">
        <v>2515</v>
      </c>
      <c r="D3" s="2561"/>
      <c r="E3" s="2562"/>
    </row>
    <row r="4" spans="1:6" ht="15.75">
      <c r="A4" s="2563"/>
      <c r="B4" s="2561"/>
      <c r="C4" s="2561"/>
      <c r="D4" s="2561"/>
      <c r="E4" s="2562"/>
    </row>
    <row r="5" spans="1:6" ht="15">
      <c r="A5" s="2564" t="s">
        <v>2509</v>
      </c>
      <c r="B5" s="3266" t="s">
        <v>2510</v>
      </c>
      <c r="C5" s="3266"/>
      <c r="D5" s="2565"/>
      <c r="E5" s="2566" t="s">
        <v>2511</v>
      </c>
      <c r="F5" s="2567" t="s">
        <v>2512</v>
      </c>
    </row>
    <row r="6" spans="1:6">
      <c r="A6" s="2568">
        <f>'数据-取费表'!AN6</f>
        <v>0</v>
      </c>
      <c r="B6" s="2567" t="e">
        <f ca="1">IF(F6="是",'数据-取费表'!AO6,0)</f>
        <v>#REF!</v>
      </c>
      <c r="C6" s="2558" t="s">
        <v>2507</v>
      </c>
      <c r="D6" s="2561"/>
      <c r="E6" s="2569">
        <f>IF(OR(A6=0,F6="否"),0,'数据-取费表'!K6+'数据-取费表'!S6)</f>
        <v>0</v>
      </c>
      <c r="F6" s="2570" t="s">
        <v>2513</v>
      </c>
    </row>
    <row r="7" spans="1:6">
      <c r="A7" s="2568">
        <f>'数据-取费表'!AN7</f>
        <v>0</v>
      </c>
      <c r="B7" s="2567" t="e">
        <f ca="1">IF(F7="是",'数据-取费表'!AO7,0)</f>
        <v>#REF!</v>
      </c>
      <c r="C7" s="2558" t="s">
        <v>2507</v>
      </c>
      <c r="D7" s="2561"/>
      <c r="E7" s="2569">
        <f>IF(OR(A7=0,F7="否"),0,'数据-取费表'!K7+'数据-取费表'!S7)</f>
        <v>0</v>
      </c>
      <c r="F7" s="2570" t="s">
        <v>2513</v>
      </c>
    </row>
    <row r="8" spans="1:6">
      <c r="A8" s="2568" t="str">
        <f>'数据-取费表'!AN8</f>
        <v>收益法</v>
      </c>
      <c r="B8" s="2567">
        <f ca="1">IF(F8="是",'数据-取费表'!AO8,0)</f>
        <v>15360</v>
      </c>
      <c r="C8" s="2558" t="s">
        <v>2507</v>
      </c>
      <c r="D8" s="2561"/>
      <c r="E8" s="2569">
        <f>IF(OR(A8=0,F8="否"),0,'数据-取费表'!K8+'数据-取费表'!S8)</f>
        <v>56665.15</v>
      </c>
      <c r="F8" s="2570" t="s">
        <v>2513</v>
      </c>
    </row>
    <row r="9" spans="1:6">
      <c r="A9" s="2568">
        <f>'数据-取费表'!AN9</f>
        <v>0</v>
      </c>
      <c r="B9" s="2567" t="e">
        <f ca="1">IF(F9="是",'数据-取费表'!AO9,0)</f>
        <v>#REF!</v>
      </c>
      <c r="C9" s="2558" t="s">
        <v>2507</v>
      </c>
      <c r="D9" s="2561"/>
      <c r="E9" s="2569">
        <f>IF(OR(A9=0,F9="否"),0,'数据-取费表'!K9+'数据-取费表'!S9)</f>
        <v>0</v>
      </c>
      <c r="F9" s="2570" t="s">
        <v>2513</v>
      </c>
    </row>
    <row r="10" spans="1:6">
      <c r="A10" s="2568">
        <f>'数据-取费表'!AN10</f>
        <v>0</v>
      </c>
      <c r="B10" s="2567" t="e">
        <f ca="1">IF(F10="是",'数据-取费表'!AO10,0)</f>
        <v>#REF!</v>
      </c>
      <c r="C10" s="2558" t="s">
        <v>2507</v>
      </c>
      <c r="D10" s="2561"/>
      <c r="E10" s="2569">
        <f>IF(OR(A10=0,F10="否"),0,'数据-取费表'!K10+'数据-取费表'!S10)</f>
        <v>0</v>
      </c>
      <c r="F10" s="2570" t="s">
        <v>2513</v>
      </c>
    </row>
    <row r="11" spans="1:6">
      <c r="A11" s="2568">
        <f>'数据-取费表'!AN11</f>
        <v>0</v>
      </c>
      <c r="B11" s="2567" t="e">
        <f ca="1">IF(F11="是",'数据-取费表'!AO11,0)</f>
        <v>#REF!</v>
      </c>
      <c r="C11" s="2558" t="s">
        <v>2507</v>
      </c>
      <c r="D11" s="2561"/>
      <c r="E11" s="2569">
        <f>IF(OR(A11=0,F11="否"),0,'数据-取费表'!K11+'数据-取费表'!S11)</f>
        <v>0</v>
      </c>
      <c r="F11" s="2570" t="s">
        <v>2513</v>
      </c>
    </row>
    <row r="12" spans="1:6">
      <c r="A12" s="2568">
        <f>'数据-取费表'!AN12</f>
        <v>0</v>
      </c>
      <c r="B12" s="2567" t="e">
        <f ca="1">IF(F12="是",'数据-取费表'!AO12,0)</f>
        <v>#REF!</v>
      </c>
      <c r="C12" s="2558" t="s">
        <v>2507</v>
      </c>
      <c r="D12" s="2561"/>
      <c r="E12" s="2569">
        <f>IF(OR(A12=0,F12="否"),0,'数据-取费表'!K12+'数据-取费表'!S12)</f>
        <v>0</v>
      </c>
      <c r="F12" s="2570" t="s">
        <v>2513</v>
      </c>
    </row>
    <row r="13" spans="1:6" ht="15" thickBot="1">
      <c r="A13" s="2571">
        <f>'数据-取费表'!AN13</f>
        <v>0</v>
      </c>
      <c r="B13" s="2567" t="e">
        <f ca="1">IF(F13="是",'数据-取费表'!AO13,0)</f>
        <v>#REF!</v>
      </c>
      <c r="C13" s="2572" t="s">
        <v>2507</v>
      </c>
      <c r="D13" s="2573"/>
      <c r="E13" s="2569">
        <f>IF(OR(A13=0,F13="否"),0,'数据-取费表'!K13+'数据-取费表'!S13)</f>
        <v>0</v>
      </c>
      <c r="F13" s="2570"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3" t="s">
        <v>1073</v>
      </c>
      <c r="B1" s="3284"/>
      <c r="C1" s="3285"/>
      <c r="D1" s="3286">
        <f>SUM(I10,I15,I20,I21,I23)</f>
        <v>0</v>
      </c>
      <c r="E1" s="3286"/>
      <c r="F1" s="3286"/>
      <c r="G1" s="3286"/>
      <c r="H1" s="3286"/>
      <c r="I1" s="3287"/>
    </row>
    <row r="2" spans="1:9">
      <c r="A2" s="3273" t="s">
        <v>1074</v>
      </c>
      <c r="B2" s="3274" t="s">
        <v>1075</v>
      </c>
      <c r="C2" s="3274"/>
      <c r="D2" s="1300" t="s">
        <v>1076</v>
      </c>
      <c r="E2" s="1300" t="s">
        <v>1077</v>
      </c>
      <c r="F2" s="1300" t="s">
        <v>1078</v>
      </c>
      <c r="G2" s="1300" t="s">
        <v>1079</v>
      </c>
      <c r="H2" s="1300" t="s">
        <v>1080</v>
      </c>
      <c r="I2" s="1301" t="s">
        <v>1081</v>
      </c>
    </row>
    <row r="3" spans="1:9">
      <c r="A3" s="3273"/>
      <c r="B3" s="3274" t="s">
        <v>1082</v>
      </c>
      <c r="C3" s="3274"/>
      <c r="D3" s="1302"/>
      <c r="E3" s="1300"/>
      <c r="F3" s="1303"/>
      <c r="G3" s="1303"/>
      <c r="H3" s="1304"/>
      <c r="I3" s="1305">
        <f>ROUND(D3*E3*F3*G3*H3/10000,0)</f>
        <v>0</v>
      </c>
    </row>
    <row r="4" spans="1:9">
      <c r="A4" s="3273"/>
      <c r="B4" s="3274" t="s">
        <v>1083</v>
      </c>
      <c r="C4" s="3274"/>
      <c r="D4" s="1302"/>
      <c r="E4" s="1300"/>
      <c r="F4" s="1303"/>
      <c r="G4" s="1303"/>
      <c r="H4" s="1304"/>
      <c r="I4" s="1305">
        <f t="shared" ref="I4:I9" si="0">ROUND(D4*E4*F4*G4*H4/10000,0)</f>
        <v>0</v>
      </c>
    </row>
    <row r="5" spans="1:9">
      <c r="A5" s="3273"/>
      <c r="B5" s="3274" t="s">
        <v>1084</v>
      </c>
      <c r="C5" s="3274"/>
      <c r="D5" s="1302"/>
      <c r="E5" s="1300"/>
      <c r="F5" s="1303"/>
      <c r="G5" s="1303"/>
      <c r="H5" s="1304"/>
      <c r="I5" s="1305">
        <f t="shared" si="0"/>
        <v>0</v>
      </c>
    </row>
    <row r="6" spans="1:9">
      <c r="A6" s="3273"/>
      <c r="B6" s="3274" t="s">
        <v>1085</v>
      </c>
      <c r="C6" s="3274"/>
      <c r="D6" s="1302"/>
      <c r="E6" s="1300"/>
      <c r="F6" s="1303"/>
      <c r="G6" s="1303"/>
      <c r="H6" s="1304"/>
      <c r="I6" s="1305">
        <f t="shared" si="0"/>
        <v>0</v>
      </c>
    </row>
    <row r="7" spans="1:9">
      <c r="A7" s="3273"/>
      <c r="B7" s="3274" t="s">
        <v>1086</v>
      </c>
      <c r="C7" s="3274"/>
      <c r="D7" s="1302"/>
      <c r="E7" s="1300"/>
      <c r="F7" s="1303"/>
      <c r="G7" s="1303"/>
      <c r="H7" s="1304"/>
      <c r="I7" s="1305">
        <f t="shared" si="0"/>
        <v>0</v>
      </c>
    </row>
    <row r="8" spans="1:9">
      <c r="A8" s="3273"/>
      <c r="B8" s="3274" t="s">
        <v>1087</v>
      </c>
      <c r="C8" s="3274"/>
      <c r="D8" s="1302"/>
      <c r="E8" s="1300"/>
      <c r="F8" s="1303"/>
      <c r="G8" s="1303"/>
      <c r="H8" s="1304"/>
      <c r="I8" s="1305">
        <f t="shared" si="0"/>
        <v>0</v>
      </c>
    </row>
    <row r="9" spans="1:9">
      <c r="A9" s="3273"/>
      <c r="B9" s="3274" t="s">
        <v>1088</v>
      </c>
      <c r="C9" s="3274"/>
      <c r="D9" s="1302"/>
      <c r="E9" s="1300"/>
      <c r="F9" s="1303"/>
      <c r="G9" s="1303"/>
      <c r="H9" s="1304"/>
      <c r="I9" s="1305">
        <f t="shared" si="0"/>
        <v>0</v>
      </c>
    </row>
    <row r="10" spans="1:9">
      <c r="A10" s="3273"/>
      <c r="B10" s="3275" t="s">
        <v>1089</v>
      </c>
      <c r="C10" s="3275"/>
      <c r="D10" s="1306"/>
      <c r="E10" s="1306" t="e">
        <f>ROUND(D1*10000/D10/H9,0)</f>
        <v>#DIV/0!</v>
      </c>
      <c r="F10" s="1307"/>
      <c r="G10" s="1307"/>
      <c r="H10" s="1308"/>
      <c r="I10" s="1309">
        <f>SUM(I3:I9)</f>
        <v>0</v>
      </c>
    </row>
    <row r="11" spans="1:9" ht="14.25">
      <c r="A11" s="3273" t="s">
        <v>1090</v>
      </c>
      <c r="B11" s="3274" t="s">
        <v>1091</v>
      </c>
      <c r="C11" s="3274"/>
      <c r="D11" s="1302" t="s">
        <v>1092</v>
      </c>
      <c r="E11" s="1302" t="s">
        <v>1093</v>
      </c>
      <c r="F11" s="1303" t="s">
        <v>1094</v>
      </c>
      <c r="G11" s="1303" t="s">
        <v>1080</v>
      </c>
      <c r="H11" s="1310" t="s">
        <v>1095</v>
      </c>
      <c r="I11" s="1301" t="s">
        <v>1081</v>
      </c>
    </row>
    <row r="12" spans="1:9">
      <c r="A12" s="3273"/>
      <c r="B12" s="3274" t="s">
        <v>1096</v>
      </c>
      <c r="C12" s="3274"/>
      <c r="D12" s="1302"/>
      <c r="E12" s="1302"/>
      <c r="F12" s="1303"/>
      <c r="G12" s="1304"/>
      <c r="H12" s="1311"/>
      <c r="I12" s="1301">
        <f>ROUND(D12*E12*F12*G12/10000,0)</f>
        <v>0</v>
      </c>
    </row>
    <row r="13" spans="1:9">
      <c r="A13" s="3273"/>
      <c r="B13" s="3274" t="s">
        <v>1097</v>
      </c>
      <c r="C13" s="3274"/>
      <c r="D13" s="1302"/>
      <c r="E13" s="1302"/>
      <c r="F13" s="1303"/>
      <c r="G13" s="1304"/>
      <c r="H13" s="1311"/>
      <c r="I13" s="1301">
        <f>ROUND(D13*E13*F13*G13/10000,0)</f>
        <v>0</v>
      </c>
    </row>
    <row r="14" spans="1:9">
      <c r="A14" s="3273"/>
      <c r="B14" s="3274" t="s">
        <v>1098</v>
      </c>
      <c r="C14" s="3274"/>
      <c r="D14" s="1302"/>
      <c r="E14" s="1302"/>
      <c r="F14" s="1303"/>
      <c r="G14" s="1304"/>
      <c r="H14" s="1311"/>
      <c r="I14" s="1301">
        <f>ROUND(D14*E14*F14*G14/10000,0)</f>
        <v>0</v>
      </c>
    </row>
    <row r="15" spans="1:9">
      <c r="A15" s="3273"/>
      <c r="B15" s="3275" t="s">
        <v>1089</v>
      </c>
      <c r="C15" s="3275"/>
      <c r="D15" s="1306"/>
      <c r="E15" s="1306">
        <f>SUM(E12:E14)</f>
        <v>0</v>
      </c>
      <c r="F15" s="1307"/>
      <c r="G15" s="1304"/>
      <c r="H15" s="1311"/>
      <c r="I15" s="1312">
        <f>SUM(I12:I14)</f>
        <v>0</v>
      </c>
    </row>
    <row r="16" spans="1:9" ht="24">
      <c r="A16" s="3273" t="s">
        <v>1099</v>
      </c>
      <c r="B16" s="3274" t="s">
        <v>1100</v>
      </c>
      <c r="C16" s="3274"/>
      <c r="D16" s="1302" t="s">
        <v>1076</v>
      </c>
      <c r="E16" s="1313" t="s">
        <v>1101</v>
      </c>
      <c r="F16" s="1303" t="s">
        <v>1102</v>
      </c>
      <c r="G16" s="1304" t="s">
        <v>1080</v>
      </c>
      <c r="H16" s="1310" t="s">
        <v>1095</v>
      </c>
      <c r="I16" s="1301" t="s">
        <v>1081</v>
      </c>
    </row>
    <row r="17" spans="1:9" ht="14.25">
      <c r="A17" s="3273"/>
      <c r="B17" s="3274" t="s">
        <v>1103</v>
      </c>
      <c r="C17" s="3274"/>
      <c r="D17" s="1302"/>
      <c r="E17" s="1302"/>
      <c r="F17" s="1303"/>
      <c r="G17" s="1304"/>
      <c r="H17" s="1314"/>
      <c r="I17" s="1315">
        <f>ROUND(D17*E17*F17*G17/10000,0)</f>
        <v>0</v>
      </c>
    </row>
    <row r="18" spans="1:9" ht="14.25">
      <c r="A18" s="3273"/>
      <c r="B18" s="3274" t="s">
        <v>1104</v>
      </c>
      <c r="C18" s="3274"/>
      <c r="D18" s="1302"/>
      <c r="E18" s="1302"/>
      <c r="F18" s="1303"/>
      <c r="G18" s="1304"/>
      <c r="H18" s="1314"/>
      <c r="I18" s="1315">
        <f>ROUND(D18*E18*F18*G18/10000,0)</f>
        <v>0</v>
      </c>
    </row>
    <row r="19" spans="1:9" ht="14.25">
      <c r="A19" s="3273"/>
      <c r="B19" s="3274" t="s">
        <v>1105</v>
      </c>
      <c r="C19" s="3274"/>
      <c r="D19" s="1302"/>
      <c r="E19" s="1302"/>
      <c r="F19" s="1303"/>
      <c r="G19" s="1304"/>
      <c r="H19" s="1314"/>
      <c r="I19" s="1315">
        <f>ROUND(D19*E19*F19*G19/10000,0)</f>
        <v>0</v>
      </c>
    </row>
    <row r="20" spans="1:9">
      <c r="A20" s="3273"/>
      <c r="B20" s="3275" t="s">
        <v>1089</v>
      </c>
      <c r="C20" s="3275"/>
      <c r="D20" s="1306">
        <f>SUM(D17:D19)</f>
        <v>0</v>
      </c>
      <c r="E20" s="1306"/>
      <c r="F20" s="1307"/>
      <c r="G20" s="1304"/>
      <c r="H20" s="1311"/>
      <c r="I20" s="1312">
        <f>SUM(I17:I19)</f>
        <v>0</v>
      </c>
    </row>
    <row r="21" spans="1:9">
      <c r="A21" s="3273" t="s">
        <v>1106</v>
      </c>
      <c r="B21" s="3276"/>
      <c r="C21" s="3276"/>
      <c r="D21" s="3276"/>
      <c r="E21" s="3276"/>
      <c r="F21" s="3276"/>
      <c r="G21" s="3276"/>
      <c r="H21" s="1763">
        <v>0.1</v>
      </c>
      <c r="I21" s="1309">
        <f>ROUND(I10*H21,0)</f>
        <v>0</v>
      </c>
    </row>
    <row r="22" spans="1:9" ht="14.25">
      <c r="A22" s="3277" t="s">
        <v>1107</v>
      </c>
      <c r="B22" s="3278"/>
      <c r="C22" s="3279"/>
      <c r="D22" s="1316" t="s">
        <v>1108</v>
      </c>
      <c r="E22" s="1316" t="s">
        <v>1109</v>
      </c>
      <c r="F22" s="1317" t="s">
        <v>1110</v>
      </c>
      <c r="G22" s="1317" t="s">
        <v>1111</v>
      </c>
      <c r="H22" s="1310" t="s">
        <v>1112</v>
      </c>
      <c r="I22" s="1301" t="s">
        <v>1113</v>
      </c>
    </row>
    <row r="23" spans="1:9" ht="14.25" thickBot="1">
      <c r="A23" s="3280"/>
      <c r="B23" s="3281"/>
      <c r="C23" s="3282"/>
      <c r="D23" s="1318"/>
      <c r="E23" s="1318"/>
      <c r="F23" s="1318"/>
      <c r="G23" s="1319"/>
      <c r="H23" s="1320"/>
      <c r="I23" s="1321">
        <f>ROUND(E23*D23*F23*(1-G23)/10000,0)</f>
        <v>0</v>
      </c>
    </row>
    <row r="26" spans="1:9">
      <c r="A26" s="1322" t="s">
        <v>1114</v>
      </c>
      <c r="B26" s="1322"/>
      <c r="C26" s="1322"/>
      <c r="D26" s="1322"/>
      <c r="E26" s="3270">
        <f>C27-C30-C31-C32</f>
        <v>0</v>
      </c>
      <c r="F26" s="3270"/>
      <c r="G26" s="3270"/>
      <c r="H26" s="1735" t="s">
        <v>1336</v>
      </c>
    </row>
    <row r="27" spans="1:9">
      <c r="A27" s="1323">
        <v>1</v>
      </c>
      <c r="B27" s="1324" t="s">
        <v>1115</v>
      </c>
      <c r="C27" s="1324">
        <f>C28+C29</f>
        <v>0</v>
      </c>
      <c r="D27" s="1324"/>
      <c r="E27" s="3271"/>
      <c r="F27" s="3271"/>
      <c r="G27" s="3271"/>
    </row>
    <row r="28" spans="1:9">
      <c r="A28" s="1325" t="s">
        <v>1116</v>
      </c>
      <c r="B28" s="1324" t="s">
        <v>1117</v>
      </c>
      <c r="C28" s="1324"/>
      <c r="D28" s="1324"/>
      <c r="E28" s="3271"/>
      <c r="F28" s="3271"/>
      <c r="G28" s="327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72"/>
      <c r="F32" s="3272"/>
      <c r="G32" s="3272"/>
    </row>
    <row r="33" spans="1:7" hidden="1">
      <c r="A33" s="3267" t="s">
        <v>1126</v>
      </c>
      <c r="B33" s="3268"/>
      <c r="C33" s="3268"/>
      <c r="D33" s="3269"/>
      <c r="E33" s="3270"/>
      <c r="F33" s="3270"/>
      <c r="G33" s="3270"/>
    </row>
    <row r="34" spans="1:7" hidden="1">
      <c r="A34" s="1327">
        <v>1</v>
      </c>
      <c r="B34" s="1324" t="s">
        <v>1127</v>
      </c>
      <c r="C34" s="1324"/>
      <c r="D34" s="1324"/>
      <c r="E34" s="3271"/>
      <c r="F34" s="3271"/>
      <c r="G34" s="3271"/>
    </row>
    <row r="35" spans="1:7" hidden="1">
      <c r="A35" s="1327">
        <v>2</v>
      </c>
      <c r="B35" s="1324" t="s">
        <v>1128</v>
      </c>
      <c r="C35" s="1324"/>
      <c r="D35" s="1324"/>
      <c r="E35" s="3271"/>
      <c r="F35" s="3271"/>
      <c r="G35" s="3271"/>
    </row>
    <row r="36" spans="1:7" hidden="1">
      <c r="A36" s="1327">
        <v>3</v>
      </c>
      <c r="B36" s="1324" t="s">
        <v>1129</v>
      </c>
      <c r="C36" s="1324"/>
      <c r="D36" s="1324"/>
      <c r="E36" s="3271"/>
      <c r="F36" s="3271"/>
      <c r="G36" s="3271"/>
    </row>
    <row r="37" spans="1:7" hidden="1">
      <c r="A37" s="1327">
        <v>4</v>
      </c>
      <c r="B37" s="1324" t="s">
        <v>1130</v>
      </c>
      <c r="C37" s="1324"/>
      <c r="D37" s="1324"/>
      <c r="E37" s="3271"/>
      <c r="F37" s="3271"/>
      <c r="G37" s="3271"/>
    </row>
    <row r="38" spans="1:7" hidden="1">
      <c r="A38" s="3267" t="s">
        <v>1131</v>
      </c>
      <c r="B38" s="3268"/>
      <c r="C38" s="3268"/>
      <c r="D38" s="3269"/>
      <c r="E38" s="3270"/>
      <c r="F38" s="3270"/>
      <c r="G38" s="32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661" t="s">
        <v>2674</v>
      </c>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IF(C2="——",ROUND(C50*D3/10000,0),ROUND(C50*D3/10000,0)-D2)</f>
        <v>#DIV/0!</v>
      </c>
      <c r="C2" s="2578"/>
      <c r="D2" s="1364" t="e">
        <f ca="1">SUMIF(INDIRECT("'"&amp;F2&amp;"'"&amp;"!A:A"),"承租人权益价值",INDIRECT("'"&amp;F2&amp;"'"&amp;"!c:c"))</f>
        <v>#REF!</v>
      </c>
      <c r="E2" s="2579" t="s">
        <v>2319</v>
      </c>
      <c r="F2" s="2580"/>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2632</v>
      </c>
      <c r="D3" s="399">
        <f>IF(D1="",'数据-汇总表'!E3,SUMIF('数据-汇总表'!$C19:$C33,D1,'数据-汇总表'!$E19:$E33))</f>
        <v>256595.18999999997</v>
      </c>
      <c r="E3" s="2655"/>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2633</v>
      </c>
      <c r="B4" s="402"/>
      <c r="C4" s="3212" t="s">
        <v>2634</v>
      </c>
      <c r="D4" s="3225"/>
      <c r="E4" s="3226" t="s">
        <v>2635</v>
      </c>
      <c r="F4" s="3227"/>
      <c r="G4" s="3212" t="s">
        <v>2636</v>
      </c>
      <c r="H4" s="3225"/>
      <c r="I4" s="3212" t="s">
        <v>2637</v>
      </c>
      <c r="J4" s="3225"/>
      <c r="K4" s="610" t="s">
        <v>2638</v>
      </c>
      <c r="L4" s="1129"/>
      <c r="M4" s="1130"/>
      <c r="N4" s="1130"/>
      <c r="O4" s="1130"/>
      <c r="P4" s="3294" t="s">
        <v>2639</v>
      </c>
      <c r="Q4" s="3295"/>
      <c r="R4" s="3298" t="s">
        <v>2635</v>
      </c>
      <c r="S4" s="3299"/>
      <c r="T4" s="3298" t="s">
        <v>2636</v>
      </c>
      <c r="U4" s="3299"/>
      <c r="V4" s="3300" t="s">
        <v>2637</v>
      </c>
      <c r="W4" s="3300"/>
      <c r="X4" s="2662"/>
      <c r="Y4" s="3298" t="s">
        <v>2639</v>
      </c>
      <c r="Z4" s="3299"/>
      <c r="AA4" s="3302" t="s">
        <v>2635</v>
      </c>
      <c r="AB4" s="3302" t="s">
        <v>2636</v>
      </c>
      <c r="AC4" s="3291" t="s">
        <v>2637</v>
      </c>
    </row>
    <row r="5" spans="1:29" ht="15">
      <c r="A5" s="404"/>
      <c r="B5" s="405"/>
      <c r="C5" s="3242" t="s">
        <v>2530</v>
      </c>
      <c r="D5" s="3243"/>
      <c r="E5" s="3249" t="s">
        <v>2531</v>
      </c>
      <c r="F5" s="3250"/>
      <c r="G5" s="3242" t="s">
        <v>2532</v>
      </c>
      <c r="H5" s="3243"/>
      <c r="I5" s="3242" t="s">
        <v>2533</v>
      </c>
      <c r="J5" s="3243"/>
      <c r="K5" s="610"/>
      <c r="L5" s="1129"/>
      <c r="M5" s="1130"/>
      <c r="N5" s="1130"/>
      <c r="O5" s="1130"/>
      <c r="P5" s="3296"/>
      <c r="Q5" s="3231"/>
      <c r="R5" s="3236"/>
      <c r="S5" s="3237"/>
      <c r="T5" s="3236"/>
      <c r="U5" s="3237"/>
      <c r="V5" s="3221"/>
      <c r="W5" s="3221"/>
      <c r="X5" s="1811"/>
      <c r="Y5" s="3236"/>
      <c r="Z5" s="3237"/>
      <c r="AA5" s="3223"/>
      <c r="AB5" s="3223"/>
      <c r="AC5" s="3292"/>
    </row>
    <row r="6" spans="1:29" ht="15.75" thickBot="1">
      <c r="A6" s="406"/>
      <c r="B6" s="407"/>
      <c r="C6" s="3240" t="s">
        <v>2534</v>
      </c>
      <c r="D6" s="3241"/>
      <c r="E6" s="3247" t="s">
        <v>2534</v>
      </c>
      <c r="F6" s="3248"/>
      <c r="G6" s="3240" t="s">
        <v>2534</v>
      </c>
      <c r="H6" s="3241"/>
      <c r="I6" s="3240" t="s">
        <v>2534</v>
      </c>
      <c r="J6" s="3241"/>
      <c r="K6" s="610" t="s">
        <v>2535</v>
      </c>
      <c r="L6" s="1129"/>
      <c r="M6" s="1130"/>
      <c r="N6" s="1130"/>
      <c r="O6" s="1130"/>
      <c r="P6" s="3297"/>
      <c r="Q6" s="3233"/>
      <c r="R6" s="3236"/>
      <c r="S6" s="3237"/>
      <c r="T6" s="3238"/>
      <c r="U6" s="3239"/>
      <c r="V6" s="3221"/>
      <c r="W6" s="3221"/>
      <c r="X6" s="1811"/>
      <c r="Y6" s="3238"/>
      <c r="Z6" s="3239"/>
      <c r="AA6" s="3224"/>
      <c r="AB6" s="3224"/>
      <c r="AC6" s="3293"/>
    </row>
    <row r="7" spans="1:29" s="117" customFormat="1" ht="15.75" thickBot="1">
      <c r="A7" s="408" t="s">
        <v>2536</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301" t="s">
        <v>2537</v>
      </c>
      <c r="Q7" s="3246"/>
      <c r="R7" s="769" t="s">
        <v>17</v>
      </c>
      <c r="S7" s="770">
        <f t="shared" ref="S7:S15" si="0">F7</f>
        <v>0</v>
      </c>
      <c r="T7" s="769" t="s">
        <v>17</v>
      </c>
      <c r="U7" s="770">
        <f t="shared" ref="U7:U15" si="1">H7</f>
        <v>0</v>
      </c>
      <c r="V7" s="769" t="s">
        <v>17</v>
      </c>
      <c r="W7" s="770">
        <f t="shared" ref="W7:W15" si="2">J7</f>
        <v>0</v>
      </c>
      <c r="X7" s="771"/>
      <c r="Y7" s="3244" t="s">
        <v>2537</v>
      </c>
      <c r="Z7" s="3245"/>
      <c r="AA7" s="772" t="e">
        <f>D7/F7</f>
        <v>#DIV/0!</v>
      </c>
      <c r="AB7" s="772" t="e">
        <f>D7/H7</f>
        <v>#DIV/0!</v>
      </c>
      <c r="AC7" s="2663"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301" t="s">
        <v>2540</v>
      </c>
      <c r="Q8" s="3245"/>
      <c r="R8" s="769" t="s">
        <v>17</v>
      </c>
      <c r="S8" s="770">
        <f t="shared" si="0"/>
        <v>0</v>
      </c>
      <c r="T8" s="769" t="s">
        <v>17</v>
      </c>
      <c r="U8" s="770">
        <f t="shared" si="1"/>
        <v>0</v>
      </c>
      <c r="V8" s="769" t="s">
        <v>17</v>
      </c>
      <c r="W8" s="770">
        <f t="shared" si="2"/>
        <v>0</v>
      </c>
      <c r="X8" s="771"/>
      <c r="Y8" s="3244" t="s">
        <v>2540</v>
      </c>
      <c r="Z8" s="3245"/>
      <c r="AA8" s="772" t="e">
        <f t="shared" ref="AA8:AA47" si="3">D8/F8</f>
        <v>#DIV/0!</v>
      </c>
      <c r="AB8" s="772" t="e">
        <f t="shared" ref="AB8:AB47" si="4">D8/H8</f>
        <v>#DIV/0!</v>
      </c>
      <c r="AC8" s="2663"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4" t="s">
        <v>2543</v>
      </c>
      <c r="Q9" s="1793" t="str">
        <f t="shared" ref="Q9:Q15" si="6">B9</f>
        <v>用途</v>
      </c>
      <c r="R9" s="769" t="s">
        <v>17</v>
      </c>
      <c r="S9" s="770">
        <f t="shared" si="0"/>
        <v>100</v>
      </c>
      <c r="T9" s="769" t="s">
        <v>17</v>
      </c>
      <c r="U9" s="770">
        <f t="shared" si="1"/>
        <v>100</v>
      </c>
      <c r="V9" s="769" t="s">
        <v>17</v>
      </c>
      <c r="W9" s="770">
        <f t="shared" si="2"/>
        <v>100</v>
      </c>
      <c r="X9" s="771"/>
      <c r="Y9" s="3043" t="s">
        <v>2544</v>
      </c>
      <c r="Z9" s="55" t="str">
        <f t="shared" ref="Z9:Z15" si="7">Q9</f>
        <v>用途</v>
      </c>
      <c r="AA9" s="772">
        <f t="shared" si="3"/>
        <v>1</v>
      </c>
      <c r="AB9" s="772">
        <f t="shared" si="4"/>
        <v>1</v>
      </c>
      <c r="AC9" s="2663">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4"/>
      <c r="Q10" s="1793" t="str">
        <f t="shared" si="6"/>
        <v>土地使用年限（年）</v>
      </c>
      <c r="R10" s="769" t="s">
        <v>17</v>
      </c>
      <c r="S10" s="770">
        <f t="shared" si="0"/>
        <v>100</v>
      </c>
      <c r="T10" s="769" t="s">
        <v>17</v>
      </c>
      <c r="U10" s="770">
        <f t="shared" si="1"/>
        <v>100</v>
      </c>
      <c r="V10" s="769" t="s">
        <v>17</v>
      </c>
      <c r="W10" s="770">
        <f t="shared" si="2"/>
        <v>100</v>
      </c>
      <c r="X10" s="771"/>
      <c r="Y10" s="3043"/>
      <c r="Z10" s="55" t="str">
        <f t="shared" si="7"/>
        <v>土地使用年限（年）</v>
      </c>
      <c r="AA10" s="772">
        <f t="shared" si="3"/>
        <v>1</v>
      </c>
      <c r="AB10" s="772">
        <f t="shared" si="4"/>
        <v>1</v>
      </c>
      <c r="AC10" s="2663">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4"/>
      <c r="Q11" s="1793" t="str">
        <f t="shared" si="6"/>
        <v>容积率</v>
      </c>
      <c r="R11" s="769" t="s">
        <v>17</v>
      </c>
      <c r="S11" s="770" t="e">
        <f t="shared" si="0"/>
        <v>#N/A</v>
      </c>
      <c r="T11" s="769" t="s">
        <v>17</v>
      </c>
      <c r="U11" s="770" t="e">
        <f t="shared" si="1"/>
        <v>#N/A</v>
      </c>
      <c r="V11" s="769" t="s">
        <v>17</v>
      </c>
      <c r="W11" s="770" t="e">
        <f t="shared" si="2"/>
        <v>#N/A</v>
      </c>
      <c r="X11" s="771"/>
      <c r="Y11" s="3043"/>
      <c r="Z11" s="55" t="str">
        <f t="shared" si="7"/>
        <v>容积率</v>
      </c>
      <c r="AA11" s="772" t="e">
        <f t="shared" si="3"/>
        <v>#N/A</v>
      </c>
      <c r="AB11" s="772"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1"/>
      <c r="M12" s="1132"/>
      <c r="N12" s="1132"/>
      <c r="O12" s="1132"/>
      <c r="P12" s="3214"/>
      <c r="Q12" s="1793">
        <f t="shared" si="6"/>
        <v>111</v>
      </c>
      <c r="R12" s="769" t="s">
        <v>17</v>
      </c>
      <c r="S12" s="770">
        <f t="shared" si="0"/>
        <v>100</v>
      </c>
      <c r="T12" s="769" t="s">
        <v>17</v>
      </c>
      <c r="U12" s="770">
        <f t="shared" si="1"/>
        <v>100</v>
      </c>
      <c r="V12" s="769" t="s">
        <v>17</v>
      </c>
      <c r="W12" s="770">
        <f t="shared" si="2"/>
        <v>100</v>
      </c>
      <c r="X12" s="771"/>
      <c r="Y12" s="3043"/>
      <c r="Z12" s="55">
        <f t="shared" si="7"/>
        <v>111</v>
      </c>
      <c r="AA12" s="772">
        <f>D12/F12</f>
        <v>1</v>
      </c>
      <c r="AB12" s="772">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9"/>
      <c r="M13" s="1130"/>
      <c r="N13" s="1130"/>
      <c r="O13" s="1130"/>
      <c r="P13" s="3214"/>
      <c r="Q13" s="1793">
        <f t="shared" si="6"/>
        <v>111</v>
      </c>
      <c r="R13" s="769" t="s">
        <v>17</v>
      </c>
      <c r="S13" s="770">
        <f t="shared" si="0"/>
        <v>100</v>
      </c>
      <c r="T13" s="769" t="s">
        <v>17</v>
      </c>
      <c r="U13" s="770">
        <f t="shared" si="1"/>
        <v>100</v>
      </c>
      <c r="V13" s="769" t="s">
        <v>17</v>
      </c>
      <c r="W13" s="770">
        <f t="shared" si="2"/>
        <v>100</v>
      </c>
      <c r="X13" s="771"/>
      <c r="Y13" s="3043"/>
      <c r="Z13" s="55">
        <f t="shared" si="7"/>
        <v>111</v>
      </c>
      <c r="AA13" s="772">
        <f t="shared" si="3"/>
        <v>1</v>
      </c>
      <c r="AB13" s="772">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39"/>
      <c r="M14" s="1130"/>
      <c r="N14" s="1130"/>
      <c r="O14" s="1130"/>
      <c r="P14" s="3214"/>
      <c r="Q14" s="1793">
        <f t="shared" si="6"/>
        <v>111</v>
      </c>
      <c r="R14" s="769" t="s">
        <v>17</v>
      </c>
      <c r="S14" s="770">
        <f t="shared" si="0"/>
        <v>100</v>
      </c>
      <c r="T14" s="769" t="s">
        <v>17</v>
      </c>
      <c r="U14" s="770">
        <f t="shared" si="1"/>
        <v>100</v>
      </c>
      <c r="V14" s="769" t="s">
        <v>17</v>
      </c>
      <c r="W14" s="770">
        <f t="shared" si="2"/>
        <v>100</v>
      </c>
      <c r="X14" s="771"/>
      <c r="Y14" s="3043"/>
      <c r="Z14" s="55">
        <f t="shared" si="7"/>
        <v>111</v>
      </c>
      <c r="AA14" s="772">
        <f t="shared" si="3"/>
        <v>1</v>
      </c>
      <c r="AB14" s="772">
        <f t="shared" si="4"/>
        <v>1</v>
      </c>
      <c r="AC14" s="2663">
        <f t="shared" si="5"/>
        <v>1</v>
      </c>
    </row>
    <row r="15" spans="1:29" ht="15">
      <c r="A15" s="440" t="s">
        <v>2547</v>
      </c>
      <c r="B15" s="629" t="s">
        <v>2675</v>
      </c>
      <c r="C15" s="2665"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57" t="s">
        <v>2548</v>
      </c>
      <c r="Q15" s="1808" t="str">
        <f t="shared" si="6"/>
        <v>办公集聚程度</v>
      </c>
      <c r="R15" s="773" t="s">
        <v>17</v>
      </c>
      <c r="S15" s="774">
        <f t="shared" si="0"/>
        <v>100</v>
      </c>
      <c r="T15" s="773" t="s">
        <v>17</v>
      </c>
      <c r="U15" s="774">
        <f t="shared" si="1"/>
        <v>100</v>
      </c>
      <c r="V15" s="773" t="s">
        <v>17</v>
      </c>
      <c r="W15" s="774">
        <f t="shared" si="2"/>
        <v>100</v>
      </c>
      <c r="X15" s="1811"/>
      <c r="Y15" s="3217" t="s">
        <v>2548</v>
      </c>
      <c r="Z15" s="1812" t="str">
        <f t="shared" si="7"/>
        <v>办公集聚程度</v>
      </c>
      <c r="AA15" s="1809">
        <f t="shared" si="3"/>
        <v>1</v>
      </c>
      <c r="AB15" s="1809">
        <f t="shared" si="4"/>
        <v>1</v>
      </c>
      <c r="AC15" s="2666">
        <f t="shared" si="5"/>
        <v>1</v>
      </c>
    </row>
    <row r="16" spans="1:29" ht="15">
      <c r="A16" s="428"/>
      <c r="B16" s="630"/>
      <c r="C16" s="2603"/>
      <c r="D16" s="448"/>
      <c r="E16" s="447"/>
      <c r="F16" s="448"/>
      <c r="G16" s="2603"/>
      <c r="H16" s="450"/>
      <c r="I16" s="447"/>
      <c r="J16" s="448"/>
      <c r="K16" s="615"/>
      <c r="L16" s="1139"/>
      <c r="M16" s="1130"/>
      <c r="N16" s="1130"/>
      <c r="O16" s="1130"/>
      <c r="P16" s="3258"/>
      <c r="Q16" s="1808"/>
      <c r="R16" s="773"/>
      <c r="S16" s="774"/>
      <c r="T16" s="773"/>
      <c r="U16" s="774"/>
      <c r="V16" s="773"/>
      <c r="W16" s="774"/>
      <c r="X16" s="1811"/>
      <c r="Y16" s="3218"/>
      <c r="Z16" s="1812"/>
      <c r="AA16" s="1809">
        <v>1</v>
      </c>
      <c r="AB16" s="1809">
        <v>1</v>
      </c>
      <c r="AC16" s="2666">
        <v>1</v>
      </c>
    </row>
    <row r="17" spans="1:29" ht="15">
      <c r="A17" s="428"/>
      <c r="B17" s="631" t="s">
        <v>2087</v>
      </c>
      <c r="C17" s="2667" t="str">
        <f>估价对象房地状况!C6</f>
        <v>估价对象邻近昆磨高速，公共交通线路较少，路网密集度一般，停车便捷程度较好，综合评价交通便捷度一般。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58"/>
      <c r="Q17" s="1808" t="str">
        <f>B17</f>
        <v>交通便捷度</v>
      </c>
      <c r="R17" s="773" t="s">
        <v>17</v>
      </c>
      <c r="S17" s="774">
        <f>F17</f>
        <v>100</v>
      </c>
      <c r="T17" s="773" t="s">
        <v>17</v>
      </c>
      <c r="U17" s="774">
        <f>H17</f>
        <v>100</v>
      </c>
      <c r="V17" s="773" t="s">
        <v>17</v>
      </c>
      <c r="W17" s="774">
        <f>J17</f>
        <v>100</v>
      </c>
      <c r="X17" s="1811"/>
      <c r="Y17" s="3218"/>
      <c r="Z17" s="1812" t="str">
        <f>Q17</f>
        <v>交通便捷度</v>
      </c>
      <c r="AA17" s="1809">
        <f t="shared" si="3"/>
        <v>1</v>
      </c>
      <c r="AB17" s="1809">
        <f t="shared" si="4"/>
        <v>1</v>
      </c>
      <c r="AC17" s="2666">
        <f t="shared" si="5"/>
        <v>1</v>
      </c>
    </row>
    <row r="18" spans="1:29" ht="15">
      <c r="A18" s="428"/>
      <c r="B18" s="632"/>
      <c r="C18" s="2668"/>
      <c r="D18" s="450"/>
      <c r="E18" s="2601"/>
      <c r="F18" s="450"/>
      <c r="G18" s="2602"/>
      <c r="H18" s="448"/>
      <c r="I18" s="2602"/>
      <c r="J18" s="448"/>
      <c r="K18" s="615"/>
      <c r="L18" s="1139"/>
      <c r="M18" s="1130"/>
      <c r="N18" s="1130"/>
      <c r="O18" s="1130"/>
      <c r="P18" s="3258"/>
      <c r="Q18" s="1808"/>
      <c r="R18" s="773"/>
      <c r="S18" s="774"/>
      <c r="T18" s="773"/>
      <c r="U18" s="774"/>
      <c r="V18" s="773"/>
      <c r="W18" s="774"/>
      <c r="X18" s="1811"/>
      <c r="Y18" s="3218"/>
      <c r="Z18" s="1812"/>
      <c r="AA18" s="1809">
        <v>1</v>
      </c>
      <c r="AB18" s="1809">
        <v>1</v>
      </c>
      <c r="AC18" s="2666">
        <v>1</v>
      </c>
    </row>
    <row r="19" spans="1:29" ht="42.75">
      <c r="A19" s="428"/>
      <c r="B19" s="631" t="s">
        <v>2676</v>
      </c>
      <c r="C19" s="2667" t="str">
        <f>估价对象房地状况!C7</f>
        <v>估价对象所在区域公共配套设施齐备情况较差。</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58"/>
      <c r="Q19" s="1808" t="str">
        <f>B19</f>
        <v>公共配套设施</v>
      </c>
      <c r="R19" s="773" t="s">
        <v>17</v>
      </c>
      <c r="S19" s="774">
        <f>F19</f>
        <v>100</v>
      </c>
      <c r="T19" s="773" t="s">
        <v>17</v>
      </c>
      <c r="U19" s="774">
        <f>H19</f>
        <v>100</v>
      </c>
      <c r="V19" s="773" t="s">
        <v>17</v>
      </c>
      <c r="W19" s="774">
        <f>J19</f>
        <v>100</v>
      </c>
      <c r="X19" s="1811"/>
      <c r="Y19" s="3218"/>
      <c r="Z19" s="1812" t="str">
        <f>Q19</f>
        <v>公共配套设施</v>
      </c>
      <c r="AA19" s="1809">
        <f t="shared" si="3"/>
        <v>1</v>
      </c>
      <c r="AB19" s="1809">
        <f t="shared" si="4"/>
        <v>1</v>
      </c>
      <c r="AC19" s="2666">
        <f t="shared" si="5"/>
        <v>1</v>
      </c>
    </row>
    <row r="20" spans="1:29" ht="15">
      <c r="A20" s="428"/>
      <c r="B20" s="632"/>
      <c r="C20" s="2603"/>
      <c r="D20" s="448"/>
      <c r="E20" s="2596"/>
      <c r="F20" s="448"/>
      <c r="G20" s="2597"/>
      <c r="H20" s="448"/>
      <c r="I20" s="2597"/>
      <c r="J20" s="448"/>
      <c r="K20" s="615"/>
      <c r="L20" s="1139"/>
      <c r="M20" s="1130"/>
      <c r="N20" s="1130"/>
      <c r="O20" s="1130"/>
      <c r="P20" s="3258"/>
      <c r="Q20" s="1808"/>
      <c r="R20" s="773"/>
      <c r="S20" s="774"/>
      <c r="T20" s="773"/>
      <c r="U20" s="774"/>
      <c r="V20" s="773"/>
      <c r="W20" s="774"/>
      <c r="X20" s="1811"/>
      <c r="Y20" s="3218"/>
      <c r="Z20" s="1812"/>
      <c r="AA20" s="1809">
        <v>1</v>
      </c>
      <c r="AB20" s="1809">
        <v>1</v>
      </c>
      <c r="AC20" s="2666">
        <v>1</v>
      </c>
    </row>
    <row r="21" spans="1:29" ht="42.75">
      <c r="A21" s="428"/>
      <c r="B21" s="633" t="s">
        <v>2677</v>
      </c>
      <c r="C21" s="2667"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58"/>
      <c r="Q21" s="1808" t="str">
        <f>B21</f>
        <v>基础设施水平</v>
      </c>
      <c r="R21" s="773" t="s">
        <v>17</v>
      </c>
      <c r="S21" s="774">
        <f>F21</f>
        <v>100</v>
      </c>
      <c r="T21" s="773" t="s">
        <v>17</v>
      </c>
      <c r="U21" s="774">
        <f>H21</f>
        <v>100</v>
      </c>
      <c r="V21" s="773" t="s">
        <v>17</v>
      </c>
      <c r="W21" s="774">
        <f>J21</f>
        <v>100</v>
      </c>
      <c r="X21" s="1811"/>
      <c r="Y21" s="3218"/>
      <c r="Z21" s="1812" t="str">
        <f>Q21</f>
        <v>基础设施水平</v>
      </c>
      <c r="AA21" s="1809">
        <f t="shared" ref="AA21" si="8">D21/F21</f>
        <v>1</v>
      </c>
      <c r="AB21" s="1809">
        <f t="shared" ref="AB21" si="9">D21/H21</f>
        <v>1</v>
      </c>
      <c r="AC21" s="2666">
        <f t="shared" ref="AC21" si="10">D21/J21</f>
        <v>1</v>
      </c>
    </row>
    <row r="22" spans="1:29" ht="15">
      <c r="A22" s="428"/>
      <c r="B22" s="633"/>
      <c r="C22" s="2668"/>
      <c r="D22" s="448"/>
      <c r="E22" s="447"/>
      <c r="F22" s="448"/>
      <c r="G22" s="2603"/>
      <c r="H22" s="448"/>
      <c r="I22" s="2603"/>
      <c r="J22" s="448"/>
      <c r="K22" s="1382"/>
      <c r="L22" s="1139"/>
      <c r="M22" s="1130"/>
      <c r="N22" s="1130"/>
      <c r="O22" s="1130"/>
      <c r="P22" s="3258"/>
      <c r="Q22" s="1808"/>
      <c r="R22" s="773"/>
      <c r="S22" s="774"/>
      <c r="T22" s="773"/>
      <c r="U22" s="774"/>
      <c r="V22" s="773"/>
      <c r="W22" s="774"/>
      <c r="X22" s="1811"/>
      <c r="Y22" s="3218"/>
      <c r="Z22" s="1812"/>
      <c r="AA22" s="1809">
        <v>1</v>
      </c>
      <c r="AB22" s="1809">
        <v>1</v>
      </c>
      <c r="AC22" s="2666">
        <v>1</v>
      </c>
    </row>
    <row r="23" spans="1:29" ht="57">
      <c r="A23" s="428"/>
      <c r="B23" s="631" t="s">
        <v>2678</v>
      </c>
      <c r="C23" s="2667" t="str">
        <f>估价对象房地状况!C9</f>
        <v>估价对象所在区域无公园等自然环境设施，自然环境较差；所在区域无博物馆等人文设施，人文设施较差，综合评价自然及人文环境状况较差。</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58"/>
      <c r="Q23" s="1808" t="str">
        <f>B23</f>
        <v>环境质量</v>
      </c>
      <c r="R23" s="773" t="s">
        <v>17</v>
      </c>
      <c r="S23" s="774">
        <f>F23</f>
        <v>100</v>
      </c>
      <c r="T23" s="773" t="s">
        <v>17</v>
      </c>
      <c r="U23" s="774">
        <f>H23</f>
        <v>100</v>
      </c>
      <c r="V23" s="773" t="s">
        <v>17</v>
      </c>
      <c r="W23" s="774">
        <f>J23</f>
        <v>100</v>
      </c>
      <c r="X23" s="1811"/>
      <c r="Y23" s="3218"/>
      <c r="Z23" s="1812" t="str">
        <f>Q23</f>
        <v>环境质量</v>
      </c>
      <c r="AA23" s="1809">
        <f t="shared" si="3"/>
        <v>1</v>
      </c>
      <c r="AB23" s="1809">
        <f t="shared" si="4"/>
        <v>1</v>
      </c>
      <c r="AC23" s="2666">
        <f t="shared" si="5"/>
        <v>1</v>
      </c>
    </row>
    <row r="24" spans="1:29" ht="15">
      <c r="A24" s="428"/>
      <c r="B24" s="633"/>
      <c r="C24" s="2603"/>
      <c r="D24" s="448"/>
      <c r="E24" s="2596"/>
      <c r="F24" s="448"/>
      <c r="G24" s="2597"/>
      <c r="H24" s="448"/>
      <c r="I24" s="2597"/>
      <c r="J24" s="448"/>
      <c r="K24" s="615"/>
      <c r="L24" s="1139"/>
      <c r="M24" s="1130"/>
      <c r="N24" s="1130"/>
      <c r="O24" s="1130"/>
      <c r="P24" s="3258"/>
      <c r="Q24" s="1808"/>
      <c r="R24" s="773"/>
      <c r="S24" s="774"/>
      <c r="T24" s="773"/>
      <c r="U24" s="774"/>
      <c r="V24" s="773"/>
      <c r="W24" s="774"/>
      <c r="X24" s="1811"/>
      <c r="Y24" s="3218"/>
      <c r="Z24" s="1812"/>
      <c r="AA24" s="1809">
        <v>1</v>
      </c>
      <c r="AB24" s="1809">
        <v>1</v>
      </c>
      <c r="AC24" s="2666">
        <v>1</v>
      </c>
    </row>
    <row r="25" spans="1:29" ht="27">
      <c r="A25" s="404"/>
      <c r="B25" s="631" t="s">
        <v>2679</v>
      </c>
      <c r="C25" s="2607"/>
      <c r="D25" s="435">
        <v>100</v>
      </c>
      <c r="E25" s="434"/>
      <c r="F25" s="435">
        <f>SUMIF(87:87,E26,88:88)-SUMIF(87:87,C26,88:88)+100</f>
        <v>100</v>
      </c>
      <c r="G25" s="2607"/>
      <c r="H25" s="435">
        <f>SUMIF(87:87,G26,88:88)-SUMIF(87:87,C26,88:88)+100</f>
        <v>100</v>
      </c>
      <c r="I25" s="434"/>
      <c r="J25" s="435">
        <f>SUMIF(87:87,I26,88:88)-SUMIF(87:87,C26,88:88)+100</f>
        <v>100</v>
      </c>
      <c r="K25" s="614"/>
      <c r="L25" s="1139"/>
      <c r="M25" s="1130"/>
      <c r="N25" s="1130"/>
      <c r="O25" s="1130"/>
      <c r="P25" s="3258"/>
      <c r="Q25" s="1808" t="str">
        <f>B25</f>
        <v>毗邻道路的类型与等级</v>
      </c>
      <c r="R25" s="773" t="s">
        <v>17</v>
      </c>
      <c r="S25" s="774">
        <f>F25</f>
        <v>100</v>
      </c>
      <c r="T25" s="773" t="s">
        <v>17</v>
      </c>
      <c r="U25" s="774">
        <f>H25</f>
        <v>100</v>
      </c>
      <c r="V25" s="773" t="s">
        <v>17</v>
      </c>
      <c r="W25" s="774">
        <f>J25</f>
        <v>100</v>
      </c>
      <c r="X25" s="1811"/>
      <c r="Y25" s="3218"/>
      <c r="Z25" s="1812" t="str">
        <f>Q25</f>
        <v>毗邻道路的类型与等级</v>
      </c>
      <c r="AA25" s="1809">
        <f t="shared" si="3"/>
        <v>1</v>
      </c>
      <c r="AB25" s="1809">
        <f t="shared" si="4"/>
        <v>1</v>
      </c>
      <c r="AC25" s="2666">
        <f t="shared" si="5"/>
        <v>1</v>
      </c>
    </row>
    <row r="26" spans="1:29" ht="15">
      <c r="A26" s="404"/>
      <c r="B26" s="632"/>
      <c r="C26" s="634"/>
      <c r="D26" s="435"/>
      <c r="E26" s="616"/>
      <c r="F26" s="435"/>
      <c r="G26" s="634"/>
      <c r="H26" s="435"/>
      <c r="I26" s="616"/>
      <c r="J26" s="435"/>
      <c r="K26" s="615"/>
      <c r="L26" s="1139"/>
      <c r="M26" s="1130"/>
      <c r="N26" s="1130"/>
      <c r="O26" s="1130"/>
      <c r="P26" s="3258"/>
      <c r="Q26" s="1808"/>
      <c r="R26" s="773"/>
      <c r="S26" s="774"/>
      <c r="T26" s="773"/>
      <c r="U26" s="774"/>
      <c r="V26" s="773"/>
      <c r="W26" s="774"/>
      <c r="X26" s="1811"/>
      <c r="Y26" s="3218"/>
      <c r="Z26" s="1812"/>
      <c r="AA26" s="1809">
        <v>1</v>
      </c>
      <c r="AB26" s="1809">
        <v>1</v>
      </c>
      <c r="AC26" s="2666">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58"/>
      <c r="Q27" s="1808" t="str">
        <f t="shared" ref="Q27:Q47" si="11">B27</f>
        <v>楼层</v>
      </c>
      <c r="R27" s="773" t="s">
        <v>17</v>
      </c>
      <c r="S27" s="774">
        <f>F27</f>
        <v>100</v>
      </c>
      <c r="T27" s="773" t="s">
        <v>17</v>
      </c>
      <c r="U27" s="774">
        <f>H27</f>
        <v>100</v>
      </c>
      <c r="V27" s="773" t="s">
        <v>17</v>
      </c>
      <c r="W27" s="774">
        <f>J27</f>
        <v>100</v>
      </c>
      <c r="X27" s="1811"/>
      <c r="Y27" s="3218"/>
      <c r="Z27" s="1812" t="str">
        <f>Q27</f>
        <v>楼层</v>
      </c>
      <c r="AA27" s="1809">
        <f t="shared" si="3"/>
        <v>1</v>
      </c>
      <c r="AB27" s="1809">
        <f t="shared" si="4"/>
        <v>1</v>
      </c>
      <c r="AC27" s="2666">
        <f t="shared" si="5"/>
        <v>1</v>
      </c>
    </row>
    <row r="28" spans="1:29" s="117" customFormat="1" ht="15">
      <c r="A28" s="431"/>
      <c r="B28" s="631" t="s">
        <v>2680</v>
      </c>
      <c r="C28" s="2669"/>
      <c r="D28" s="462">
        <v>100</v>
      </c>
      <c r="E28" s="2657"/>
      <c r="F28" s="462">
        <f>SUMIF(91:91,E28,92:92)-SUMIF(91:91,C28,92:92)+100</f>
        <v>100</v>
      </c>
      <c r="G28" s="2669"/>
      <c r="H28" s="462">
        <f>SUMIF(91:91,G28,92:92)-SUMIF(91:91,C28,92:92)+100</f>
        <v>100</v>
      </c>
      <c r="I28" s="2657"/>
      <c r="J28" s="462">
        <f>SUMIF(91:91,I28,92:92)-SUMIF(91:91,C28,92:92)+100</f>
        <v>100</v>
      </c>
      <c r="K28" s="612"/>
      <c r="L28" s="1131"/>
      <c r="M28" s="1132"/>
      <c r="N28" s="1132"/>
      <c r="O28" s="1132"/>
      <c r="P28" s="3258"/>
      <c r="Q28" s="1793" t="str">
        <f t="shared" si="11"/>
        <v>朝向</v>
      </c>
      <c r="R28" s="769" t="s">
        <v>17</v>
      </c>
      <c r="S28" s="770">
        <f>F28</f>
        <v>100</v>
      </c>
      <c r="T28" s="769" t="s">
        <v>17</v>
      </c>
      <c r="U28" s="770">
        <f>H28</f>
        <v>100</v>
      </c>
      <c r="V28" s="769" t="s">
        <v>17</v>
      </c>
      <c r="W28" s="770">
        <f>J28</f>
        <v>100</v>
      </c>
      <c r="X28" s="771"/>
      <c r="Y28" s="3218"/>
      <c r="Z28" s="55" t="str">
        <f>Q28</f>
        <v>朝向</v>
      </c>
      <c r="AA28" s="1809">
        <f>D28/F28</f>
        <v>1</v>
      </c>
      <c r="AB28" s="1809">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9"/>
      <c r="M29" s="1130"/>
      <c r="N29" s="1130"/>
      <c r="O29" s="1130"/>
      <c r="P29" s="3258"/>
      <c r="Q29" s="1808">
        <f t="shared" si="11"/>
        <v>111</v>
      </c>
      <c r="R29" s="773" t="s">
        <v>17</v>
      </c>
      <c r="S29" s="774">
        <f t="shared" ref="S29:S47" si="12">F29</f>
        <v>100</v>
      </c>
      <c r="T29" s="773" t="s">
        <v>17</v>
      </c>
      <c r="U29" s="774">
        <f t="shared" ref="U29:U47" si="13">H29</f>
        <v>100</v>
      </c>
      <c r="V29" s="773" t="s">
        <v>17</v>
      </c>
      <c r="W29" s="774">
        <f t="shared" ref="W29:W47" si="14">J29</f>
        <v>100</v>
      </c>
      <c r="X29" s="1811"/>
      <c r="Y29" s="3218"/>
      <c r="Z29" s="1812">
        <f t="shared" ref="Z29:Z47" si="15">Q29</f>
        <v>111</v>
      </c>
      <c r="AA29" s="1809">
        <f t="shared" si="3"/>
        <v>1</v>
      </c>
      <c r="AB29" s="1809">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9"/>
      <c r="M30" s="1130"/>
      <c r="N30" s="1130"/>
      <c r="O30" s="1130"/>
      <c r="P30" s="3258"/>
      <c r="Q30" s="1808">
        <f t="shared" si="11"/>
        <v>111</v>
      </c>
      <c r="R30" s="773" t="s">
        <v>17</v>
      </c>
      <c r="S30" s="774">
        <f t="shared" si="12"/>
        <v>100</v>
      </c>
      <c r="T30" s="773" t="s">
        <v>17</v>
      </c>
      <c r="U30" s="774">
        <f t="shared" si="13"/>
        <v>100</v>
      </c>
      <c r="V30" s="773" t="s">
        <v>17</v>
      </c>
      <c r="W30" s="774">
        <f t="shared" si="14"/>
        <v>100</v>
      </c>
      <c r="X30" s="1811"/>
      <c r="Y30" s="3218"/>
      <c r="Z30" s="1812">
        <f t="shared" si="15"/>
        <v>111</v>
      </c>
      <c r="AA30" s="1809">
        <f t="shared" si="3"/>
        <v>1</v>
      </c>
      <c r="AB30" s="1809">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9"/>
      <c r="M31" s="1130"/>
      <c r="N31" s="1130"/>
      <c r="O31" s="1130"/>
      <c r="P31" s="3258"/>
      <c r="Q31" s="1808">
        <f t="shared" si="11"/>
        <v>111</v>
      </c>
      <c r="R31" s="773" t="s">
        <v>17</v>
      </c>
      <c r="S31" s="774">
        <f t="shared" si="12"/>
        <v>100</v>
      </c>
      <c r="T31" s="773" t="s">
        <v>17</v>
      </c>
      <c r="U31" s="774">
        <f t="shared" si="13"/>
        <v>100</v>
      </c>
      <c r="V31" s="773" t="s">
        <v>17</v>
      </c>
      <c r="W31" s="774">
        <f t="shared" si="14"/>
        <v>100</v>
      </c>
      <c r="X31" s="1811"/>
      <c r="Y31" s="3218"/>
      <c r="Z31" s="1812">
        <f t="shared" si="15"/>
        <v>111</v>
      </c>
      <c r="AA31" s="1809">
        <f t="shared" si="3"/>
        <v>1</v>
      </c>
      <c r="AB31" s="1809">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39"/>
      <c r="M32" s="1130"/>
      <c r="N32" s="1130"/>
      <c r="O32" s="1130"/>
      <c r="P32" s="3258"/>
      <c r="Q32" s="1808">
        <f t="shared" si="11"/>
        <v>111</v>
      </c>
      <c r="R32" s="773" t="s">
        <v>17</v>
      </c>
      <c r="S32" s="774">
        <f t="shared" si="12"/>
        <v>100</v>
      </c>
      <c r="T32" s="773" t="s">
        <v>17</v>
      </c>
      <c r="U32" s="774">
        <f t="shared" si="13"/>
        <v>100</v>
      </c>
      <c r="V32" s="773" t="s">
        <v>17</v>
      </c>
      <c r="W32" s="774">
        <f t="shared" si="14"/>
        <v>100</v>
      </c>
      <c r="X32" s="1811"/>
      <c r="Y32" s="3218"/>
      <c r="Z32" s="1812">
        <f t="shared" si="15"/>
        <v>111</v>
      </c>
      <c r="AA32" s="1809">
        <f t="shared" si="3"/>
        <v>1</v>
      </c>
      <c r="AB32" s="1809">
        <f t="shared" si="4"/>
        <v>1</v>
      </c>
      <c r="AC32" s="2666">
        <f t="shared" si="5"/>
        <v>1</v>
      </c>
    </row>
    <row r="33" spans="1:29" ht="15">
      <c r="A33" s="440" t="s">
        <v>2551</v>
      </c>
      <c r="B33" s="71" t="s">
        <v>2681</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9"/>
      <c r="M33" s="1130"/>
      <c r="N33" s="1130"/>
      <c r="O33" s="1130"/>
      <c r="P33" s="3253" t="s">
        <v>2553</v>
      </c>
      <c r="Q33" s="1808" t="str">
        <f t="shared" si="11"/>
        <v>建筑类型</v>
      </c>
      <c r="R33" s="773" t="s">
        <v>17</v>
      </c>
      <c r="S33" s="774">
        <f t="shared" si="12"/>
        <v>100</v>
      </c>
      <c r="T33" s="773" t="s">
        <v>17</v>
      </c>
      <c r="U33" s="774">
        <f t="shared" si="13"/>
        <v>100</v>
      </c>
      <c r="V33" s="773" t="s">
        <v>17</v>
      </c>
      <c r="W33" s="774">
        <f t="shared" si="14"/>
        <v>100</v>
      </c>
      <c r="X33" s="1811"/>
      <c r="Y33" s="3220" t="s">
        <v>2553</v>
      </c>
      <c r="Z33" s="1812" t="str">
        <f t="shared" si="15"/>
        <v>建筑类型</v>
      </c>
      <c r="AA33" s="1809">
        <f t="shared" si="3"/>
        <v>1</v>
      </c>
      <c r="AB33" s="1809">
        <f t="shared" si="4"/>
        <v>1</v>
      </c>
      <c r="AC33" s="2666">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54"/>
      <c r="Q34" s="775" t="str">
        <f t="shared" si="11"/>
        <v>项目建筑规模</v>
      </c>
      <c r="R34" s="776" t="s">
        <v>17</v>
      </c>
      <c r="S34" s="777" t="e">
        <f t="shared" si="12"/>
        <v>#N/A</v>
      </c>
      <c r="T34" s="776" t="s">
        <v>17</v>
      </c>
      <c r="U34" s="777" t="e">
        <f t="shared" si="13"/>
        <v>#N/A</v>
      </c>
      <c r="V34" s="776" t="s">
        <v>17</v>
      </c>
      <c r="W34" s="777" t="e">
        <f t="shared" si="14"/>
        <v>#N/A</v>
      </c>
      <c r="X34" s="778"/>
      <c r="Y34" s="3220"/>
      <c r="Z34" s="779" t="str">
        <f t="shared" si="15"/>
        <v>项目建筑规模</v>
      </c>
      <c r="AA34" s="1809" t="e">
        <f t="shared" si="3"/>
        <v>#N/A</v>
      </c>
      <c r="AB34" s="1809" t="e">
        <f t="shared" si="4"/>
        <v>#N/A</v>
      </c>
      <c r="AC34" s="2666"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54"/>
      <c r="Q35" s="1808" t="str">
        <f t="shared" si="11"/>
        <v>建筑结构</v>
      </c>
      <c r="R35" s="773" t="s">
        <v>17</v>
      </c>
      <c r="S35" s="774">
        <f t="shared" si="12"/>
        <v>100</v>
      </c>
      <c r="T35" s="773" t="s">
        <v>17</v>
      </c>
      <c r="U35" s="774">
        <f t="shared" si="13"/>
        <v>100</v>
      </c>
      <c r="V35" s="773" t="s">
        <v>17</v>
      </c>
      <c r="W35" s="774">
        <f t="shared" si="14"/>
        <v>100</v>
      </c>
      <c r="X35" s="1811"/>
      <c r="Y35" s="3220"/>
      <c r="Z35" s="1812" t="str">
        <f t="shared" si="15"/>
        <v>建筑结构</v>
      </c>
      <c r="AA35" s="1809">
        <f t="shared" si="3"/>
        <v>1</v>
      </c>
      <c r="AB35" s="1809">
        <f t="shared" si="4"/>
        <v>1</v>
      </c>
      <c r="AC35" s="2666">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54"/>
      <c r="Q36" s="1808" t="str">
        <f t="shared" si="11"/>
        <v>公共部分装修</v>
      </c>
      <c r="R36" s="773" t="s">
        <v>17</v>
      </c>
      <c r="S36" s="774">
        <f t="shared" si="12"/>
        <v>100</v>
      </c>
      <c r="T36" s="773" t="s">
        <v>17</v>
      </c>
      <c r="U36" s="774">
        <f t="shared" si="13"/>
        <v>100</v>
      </c>
      <c r="V36" s="773" t="s">
        <v>17</v>
      </c>
      <c r="W36" s="774">
        <f t="shared" si="14"/>
        <v>100</v>
      </c>
      <c r="X36" s="1811"/>
      <c r="Y36" s="3220"/>
      <c r="Z36" s="1812" t="str">
        <f t="shared" si="15"/>
        <v>公共部分装修</v>
      </c>
      <c r="AA36" s="1809">
        <f t="shared" si="3"/>
        <v>1</v>
      </c>
      <c r="AB36" s="1809">
        <f t="shared" si="4"/>
        <v>1</v>
      </c>
      <c r="AC36" s="2666">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54"/>
      <c r="Q37" s="1808" t="str">
        <f t="shared" si="11"/>
        <v>成新度</v>
      </c>
      <c r="R37" s="773" t="s">
        <v>17</v>
      </c>
      <c r="S37" s="774" t="e">
        <f t="shared" si="12"/>
        <v>#N/A</v>
      </c>
      <c r="T37" s="773" t="s">
        <v>17</v>
      </c>
      <c r="U37" s="774" t="e">
        <f t="shared" si="13"/>
        <v>#N/A</v>
      </c>
      <c r="V37" s="773" t="s">
        <v>17</v>
      </c>
      <c r="W37" s="774" t="e">
        <f t="shared" si="14"/>
        <v>#N/A</v>
      </c>
      <c r="X37" s="1811"/>
      <c r="Y37" s="3220"/>
      <c r="Z37" s="1812" t="str">
        <f t="shared" si="15"/>
        <v>成新度</v>
      </c>
      <c r="AA37" s="1809" t="e">
        <f t="shared" si="3"/>
        <v>#N/A</v>
      </c>
      <c r="AB37" s="1809" t="e">
        <f t="shared" si="4"/>
        <v>#N/A</v>
      </c>
      <c r="AC37" s="2666"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54"/>
      <c r="Q38" s="1793" t="str">
        <f t="shared" si="11"/>
        <v>写字楼等级</v>
      </c>
      <c r="R38" s="769" t="s">
        <v>17</v>
      </c>
      <c r="S38" s="770">
        <f t="shared" si="12"/>
        <v>100</v>
      </c>
      <c r="T38" s="769" t="s">
        <v>17</v>
      </c>
      <c r="U38" s="770">
        <f t="shared" si="13"/>
        <v>100</v>
      </c>
      <c r="V38" s="769" t="s">
        <v>17</v>
      </c>
      <c r="W38" s="770">
        <f t="shared" si="14"/>
        <v>100</v>
      </c>
      <c r="X38" s="771"/>
      <c r="Y38" s="3220"/>
      <c r="Z38" s="55" t="str">
        <f t="shared" si="15"/>
        <v>写字楼等级</v>
      </c>
      <c r="AA38" s="772">
        <f t="shared" si="3"/>
        <v>1</v>
      </c>
      <c r="AB38" s="772">
        <f t="shared" si="4"/>
        <v>1</v>
      </c>
      <c r="AC38" s="2663">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54" t="s">
        <v>2553</v>
      </c>
      <c r="Q39" s="1808" t="str">
        <f t="shared" si="11"/>
        <v>物业管理</v>
      </c>
      <c r="R39" s="773" t="s">
        <v>17</v>
      </c>
      <c r="S39" s="774">
        <f t="shared" si="12"/>
        <v>100</v>
      </c>
      <c r="T39" s="773" t="s">
        <v>17</v>
      </c>
      <c r="U39" s="774">
        <f t="shared" si="13"/>
        <v>100</v>
      </c>
      <c r="V39" s="773" t="s">
        <v>17</v>
      </c>
      <c r="W39" s="774">
        <f t="shared" si="14"/>
        <v>100</v>
      </c>
      <c r="X39" s="1811"/>
      <c r="Y39" s="3220" t="s">
        <v>2553</v>
      </c>
      <c r="Z39" s="1812" t="str">
        <f t="shared" si="15"/>
        <v>物业管理</v>
      </c>
      <c r="AA39" s="1809">
        <f t="shared" si="3"/>
        <v>1</v>
      </c>
      <c r="AB39" s="1809">
        <f t="shared" si="4"/>
        <v>1</v>
      </c>
      <c r="AC39" s="2666">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54"/>
      <c r="Q40" s="1808" t="str">
        <f t="shared" si="11"/>
        <v>市政基础设施</v>
      </c>
      <c r="R40" s="773" t="s">
        <v>17</v>
      </c>
      <c r="S40" s="774">
        <f t="shared" si="12"/>
        <v>100</v>
      </c>
      <c r="T40" s="773" t="s">
        <v>17</v>
      </c>
      <c r="U40" s="774">
        <f t="shared" si="13"/>
        <v>100</v>
      </c>
      <c r="V40" s="773" t="s">
        <v>17</v>
      </c>
      <c r="W40" s="774">
        <f t="shared" si="14"/>
        <v>100</v>
      </c>
      <c r="X40" s="1811"/>
      <c r="Y40" s="3220"/>
      <c r="Z40" s="1812" t="str">
        <f t="shared" si="15"/>
        <v>市政基础设施</v>
      </c>
      <c r="AA40" s="1809">
        <f t="shared" si="3"/>
        <v>1</v>
      </c>
      <c r="AB40" s="1809">
        <f t="shared" si="4"/>
        <v>1</v>
      </c>
      <c r="AC40" s="2666">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54"/>
      <c r="Q41" s="1808" t="str">
        <f t="shared" si="11"/>
        <v>层高</v>
      </c>
      <c r="R41" s="773" t="s">
        <v>17</v>
      </c>
      <c r="S41" s="774">
        <f t="shared" si="12"/>
        <v>100</v>
      </c>
      <c r="T41" s="773" t="s">
        <v>17</v>
      </c>
      <c r="U41" s="774">
        <f t="shared" si="13"/>
        <v>100</v>
      </c>
      <c r="V41" s="773" t="s">
        <v>17</v>
      </c>
      <c r="W41" s="774">
        <f t="shared" si="14"/>
        <v>100</v>
      </c>
      <c r="X41" s="1811"/>
      <c r="Y41" s="3220"/>
      <c r="Z41" s="1812" t="str">
        <f t="shared" si="15"/>
        <v>层高</v>
      </c>
      <c r="AA41" s="1809">
        <f t="shared" si="3"/>
        <v>1</v>
      </c>
      <c r="AB41" s="1809">
        <f t="shared" si="4"/>
        <v>1</v>
      </c>
      <c r="AC41" s="2666">
        <f t="shared" si="5"/>
        <v>1</v>
      </c>
    </row>
    <row r="42" spans="1:29" s="471" customFormat="1" ht="15">
      <c r="A42" s="468"/>
      <c r="B42" s="1810"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54"/>
      <c r="Q42" s="775" t="str">
        <f t="shared" si="11"/>
        <v>单套建筑面积</v>
      </c>
      <c r="R42" s="776" t="s">
        <v>17</v>
      </c>
      <c r="S42" s="777">
        <f t="shared" si="12"/>
        <v>100</v>
      </c>
      <c r="T42" s="776" t="s">
        <v>17</v>
      </c>
      <c r="U42" s="777">
        <f t="shared" si="13"/>
        <v>100</v>
      </c>
      <c r="V42" s="776" t="s">
        <v>17</v>
      </c>
      <c r="W42" s="777">
        <f t="shared" si="14"/>
        <v>100</v>
      </c>
      <c r="X42" s="778"/>
      <c r="Y42" s="3220"/>
      <c r="Z42" s="779" t="str">
        <f t="shared" si="15"/>
        <v>单套建筑面积</v>
      </c>
      <c r="AA42" s="1809">
        <f t="shared" si="3"/>
        <v>1</v>
      </c>
      <c r="AB42" s="1809">
        <f t="shared" si="4"/>
        <v>1</v>
      </c>
      <c r="AC42" s="2666">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54"/>
      <c r="Q43" s="1808" t="str">
        <f t="shared" si="11"/>
        <v>内部装修</v>
      </c>
      <c r="R43" s="773" t="s">
        <v>17</v>
      </c>
      <c r="S43" s="774">
        <f t="shared" si="12"/>
        <v>100</v>
      </c>
      <c r="T43" s="773" t="s">
        <v>17</v>
      </c>
      <c r="U43" s="774">
        <f t="shared" si="13"/>
        <v>100</v>
      </c>
      <c r="V43" s="773" t="s">
        <v>17</v>
      </c>
      <c r="W43" s="774">
        <f t="shared" si="14"/>
        <v>100</v>
      </c>
      <c r="X43" s="1811"/>
      <c r="Y43" s="3220"/>
      <c r="Z43" s="1812" t="str">
        <f t="shared" si="15"/>
        <v>内部装修</v>
      </c>
      <c r="AA43" s="1809">
        <f t="shared" si="3"/>
        <v>1</v>
      </c>
      <c r="AB43" s="1809">
        <f t="shared" si="4"/>
        <v>1</v>
      </c>
      <c r="AC43" s="2666">
        <f t="shared" si="5"/>
        <v>1</v>
      </c>
    </row>
    <row r="44" spans="1:29" ht="15">
      <c r="A44" s="472"/>
      <c r="B44" s="422" t="s">
        <v>2564</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9"/>
      <c r="M44" s="1130"/>
      <c r="N44" s="1130"/>
      <c r="O44" s="1130"/>
      <c r="P44" s="3254"/>
      <c r="Q44" s="1808" t="str">
        <f t="shared" si="11"/>
        <v>内部装修维护情况</v>
      </c>
      <c r="R44" s="773" t="s">
        <v>17</v>
      </c>
      <c r="S44" s="774">
        <f t="shared" si="12"/>
        <v>100</v>
      </c>
      <c r="T44" s="773" t="s">
        <v>17</v>
      </c>
      <c r="U44" s="774">
        <f t="shared" si="13"/>
        <v>100</v>
      </c>
      <c r="V44" s="773" t="s">
        <v>17</v>
      </c>
      <c r="W44" s="774">
        <f t="shared" si="14"/>
        <v>100</v>
      </c>
      <c r="X44" s="1811"/>
      <c r="Y44" s="3220"/>
      <c r="Z44" s="1812" t="str">
        <f t="shared" si="15"/>
        <v>内部装修维护情况</v>
      </c>
      <c r="AA44" s="1809">
        <f t="shared" si="3"/>
        <v>1</v>
      </c>
      <c r="AB44" s="1809">
        <f t="shared" si="4"/>
        <v>1</v>
      </c>
      <c r="AC44" s="266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54"/>
      <c r="Q45" s="1793">
        <f t="shared" si="11"/>
        <v>111</v>
      </c>
      <c r="R45" s="769" t="s">
        <v>17</v>
      </c>
      <c r="S45" s="770">
        <f t="shared" si="12"/>
        <v>100</v>
      </c>
      <c r="T45" s="769" t="s">
        <v>17</v>
      </c>
      <c r="U45" s="770">
        <f t="shared" si="13"/>
        <v>100</v>
      </c>
      <c r="V45" s="769" t="s">
        <v>17</v>
      </c>
      <c r="W45" s="770">
        <f t="shared" si="14"/>
        <v>100</v>
      </c>
      <c r="X45" s="771"/>
      <c r="Y45" s="3220"/>
      <c r="Z45" s="55">
        <f t="shared" si="15"/>
        <v>111</v>
      </c>
      <c r="AA45" s="772">
        <f t="shared" si="3"/>
        <v>1</v>
      </c>
      <c r="AB45" s="772">
        <f t="shared" si="4"/>
        <v>1</v>
      </c>
      <c r="AC45" s="266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54"/>
      <c r="Q46" s="1808">
        <f t="shared" si="11"/>
        <v>111</v>
      </c>
      <c r="R46" s="773" t="s">
        <v>17</v>
      </c>
      <c r="S46" s="774">
        <f t="shared" si="12"/>
        <v>100</v>
      </c>
      <c r="T46" s="773" t="s">
        <v>17</v>
      </c>
      <c r="U46" s="774">
        <f t="shared" si="13"/>
        <v>100</v>
      </c>
      <c r="V46" s="773" t="s">
        <v>17</v>
      </c>
      <c r="W46" s="774">
        <f t="shared" si="14"/>
        <v>100</v>
      </c>
      <c r="X46" s="1811"/>
      <c r="Y46" s="3220"/>
      <c r="Z46" s="1812">
        <f t="shared" si="15"/>
        <v>111</v>
      </c>
      <c r="AA46" s="1809">
        <f t="shared" si="3"/>
        <v>1</v>
      </c>
      <c r="AB46" s="1809">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55"/>
      <c r="Q47" s="1808">
        <f t="shared" si="11"/>
        <v>111</v>
      </c>
      <c r="R47" s="773" t="s">
        <v>17</v>
      </c>
      <c r="S47" s="774">
        <f t="shared" si="12"/>
        <v>100</v>
      </c>
      <c r="T47" s="773" t="s">
        <v>17</v>
      </c>
      <c r="U47" s="774">
        <f t="shared" si="13"/>
        <v>100</v>
      </c>
      <c r="V47" s="773" t="s">
        <v>17</v>
      </c>
      <c r="W47" s="774">
        <f t="shared" si="14"/>
        <v>100</v>
      </c>
      <c r="X47" s="1811"/>
      <c r="Y47" s="3256"/>
      <c r="Z47" s="1812">
        <f t="shared" si="15"/>
        <v>111</v>
      </c>
      <c r="AA47" s="1809">
        <f t="shared" si="3"/>
        <v>1</v>
      </c>
      <c r="AB47" s="1809">
        <f t="shared" si="4"/>
        <v>1</v>
      </c>
      <c r="AC47" s="2666">
        <f t="shared" si="5"/>
        <v>1</v>
      </c>
    </row>
    <row r="48" spans="1:29" ht="15">
      <c r="A48" s="479" t="s">
        <v>2565</v>
      </c>
      <c r="B48" s="480"/>
      <c r="C48" s="1406" t="s">
        <v>1</v>
      </c>
      <c r="D48" s="1407"/>
      <c r="E48" s="1408"/>
      <c r="F48" s="1409"/>
      <c r="G48" s="1410"/>
      <c r="H48" s="1411"/>
      <c r="I48" s="1408"/>
      <c r="J48" s="485"/>
      <c r="K48" s="782"/>
      <c r="L48" s="1142"/>
      <c r="M48" s="1130"/>
      <c r="N48" s="1130"/>
      <c r="O48" s="1130"/>
      <c r="P48" s="3214" t="str">
        <f>A48</f>
        <v>成交单价（元/平方米）</v>
      </c>
      <c r="Q48" s="3215"/>
      <c r="R48" s="3252">
        <f>E48</f>
        <v>0</v>
      </c>
      <c r="S48" s="3252"/>
      <c r="T48" s="3252">
        <f>G48</f>
        <v>0</v>
      </c>
      <c r="U48" s="3252"/>
      <c r="V48" s="3252">
        <f>I48</f>
        <v>0</v>
      </c>
      <c r="W48" s="3252"/>
      <c r="X48" s="446"/>
      <c r="Y48" s="780"/>
      <c r="Z48" s="446"/>
      <c r="AA48" s="446"/>
      <c r="AB48" s="446"/>
      <c r="AC48" s="630"/>
    </row>
    <row r="49" spans="1:29" ht="15.75" thickBot="1">
      <c r="A49" s="486" t="s">
        <v>2657</v>
      </c>
      <c r="B49" s="487"/>
      <c r="C49" s="1412" t="e">
        <f>R50</f>
        <v>#DIV/0!</v>
      </c>
      <c r="D49" s="1413"/>
      <c r="E49" s="1414" t="e">
        <f>R49</f>
        <v>#DIV/0!</v>
      </c>
      <c r="F49" s="1414"/>
      <c r="G49" s="1412" t="e">
        <f>T49</f>
        <v>#DIV/0!</v>
      </c>
      <c r="H49" s="1413"/>
      <c r="I49" s="1414" t="e">
        <f>V49</f>
        <v>#DIV/0!</v>
      </c>
      <c r="J49" s="489"/>
      <c r="K49" s="783"/>
      <c r="L49" s="1142"/>
      <c r="M49" s="1130"/>
      <c r="N49" s="1130"/>
      <c r="O49" s="1130"/>
      <c r="P49" s="3214" t="str">
        <f>A49</f>
        <v>比较价值（元/平方米）</v>
      </c>
      <c r="Q49" s="3215"/>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6"/>
      <c r="Y49" s="446"/>
      <c r="Z49" s="446"/>
      <c r="AA49" s="446"/>
      <c r="AB49" s="446"/>
      <c r="AC49" s="630"/>
    </row>
    <row r="50" spans="1:29" ht="15.75" thickBot="1">
      <c r="A50" s="492" t="s">
        <v>2658</v>
      </c>
      <c r="B50" s="493"/>
      <c r="C50" s="1416" t="e">
        <f>R50</f>
        <v>#DIV/0!</v>
      </c>
      <c r="D50" s="1416"/>
      <c r="E50" s="1416"/>
      <c r="F50" s="1416"/>
      <c r="G50" s="1416"/>
      <c r="H50" s="1416"/>
      <c r="I50" s="1416"/>
      <c r="J50" s="494"/>
      <c r="K50" s="784"/>
      <c r="L50" s="1142"/>
      <c r="M50" s="1130"/>
      <c r="N50" s="1130"/>
      <c r="O50" s="1130"/>
      <c r="P50" s="3288" t="str">
        <f>A50</f>
        <v>估价对象XX用房的比较价值（楼面单价，元/平方米）</v>
      </c>
      <c r="Q50" s="3289"/>
      <c r="R50" s="3290" t="e">
        <f>IF(F1="售价",ROUND(AVERAGE(R49:V49),0),ROUND(AVERAGE(R49:V49),1))</f>
        <v>#DIV/0!</v>
      </c>
      <c r="S50" s="3290"/>
      <c r="T50" s="3290"/>
      <c r="U50" s="3290"/>
      <c r="V50" s="3290"/>
      <c r="W50" s="3290"/>
      <c r="X50" s="2646"/>
      <c r="Y50" s="2646"/>
      <c r="Z50" s="2646"/>
      <c r="AA50" s="2646"/>
      <c r="AB50" s="2646"/>
      <c r="AC50" s="264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2"/>
    </row>
    <row r="56" spans="1:29" s="502" customFormat="1">
      <c r="A56" s="1144"/>
      <c r="B56" s="1145"/>
      <c r="C56" s="1149"/>
      <c r="D56" s="1144"/>
      <c r="E56" s="1144"/>
      <c r="F56" s="1144"/>
      <c r="G56" s="1144"/>
      <c r="H56" s="1144"/>
      <c r="I56" s="1144"/>
      <c r="J56" s="1144"/>
      <c r="K56" s="1147"/>
      <c r="L56" s="1148"/>
      <c r="M56" s="1144"/>
      <c r="N56" s="1144"/>
      <c r="O56" s="1144"/>
      <c r="P56" s="2672"/>
    </row>
    <row r="57" spans="1:29">
      <c r="A57" s="1143"/>
      <c r="B57" s="1145"/>
      <c r="C57" s="1149"/>
      <c r="D57" s="1143"/>
      <c r="E57" s="1143"/>
      <c r="F57" s="1143"/>
      <c r="G57" s="1143"/>
      <c r="H57" s="1143"/>
      <c r="I57" s="1143"/>
      <c r="J57" s="1143"/>
      <c r="K57" s="1104"/>
      <c r="L57" s="1105"/>
      <c r="M57" s="1143"/>
      <c r="N57" s="1143"/>
      <c r="O57" s="1143"/>
    </row>
    <row r="58" spans="1:29" ht="21.75" thickBot="1">
      <c r="A58" s="762" t="s">
        <v>2662</v>
      </c>
      <c r="B58" s="758"/>
      <c r="C58" s="763"/>
      <c r="D58" s="763"/>
      <c r="E58" s="763"/>
      <c r="F58" s="764"/>
      <c r="G58" s="764"/>
      <c r="H58" s="763"/>
      <c r="I58" s="763"/>
      <c r="J58" s="763"/>
      <c r="K58" s="765"/>
      <c r="L58" s="1160"/>
      <c r="M58" s="1158"/>
      <c r="N58" s="1158"/>
      <c r="O58" s="1158"/>
      <c r="P58" s="2673"/>
      <c r="Q58" s="504"/>
    </row>
    <row r="59" spans="1:29" s="508" customFormat="1" ht="15">
      <c r="A59" s="505" t="s">
        <v>2536</v>
      </c>
      <c r="B59" s="506"/>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ht="15">
      <c r="A60" s="509"/>
      <c r="B60" s="510"/>
      <c r="C60" s="1571">
        <v>100</v>
      </c>
      <c r="D60" s="512"/>
      <c r="E60" s="512"/>
      <c r="F60" s="512"/>
      <c r="G60" s="512"/>
      <c r="H60" s="512"/>
      <c r="I60" s="512"/>
      <c r="J60" s="512"/>
      <c r="K60" s="512"/>
      <c r="L60" s="512"/>
      <c r="M60" s="513"/>
      <c r="N60" s="512"/>
      <c r="O60" s="513"/>
      <c r="P60" s="2674"/>
    </row>
    <row r="61" spans="1:29" s="117" customFormat="1" ht="15.75" thickBot="1">
      <c r="A61" s="515" t="s">
        <v>2573</v>
      </c>
      <c r="B61" s="516"/>
      <c r="C61" s="517"/>
      <c r="D61" s="518"/>
      <c r="E61" s="518"/>
      <c r="F61" s="518"/>
      <c r="G61" s="518"/>
      <c r="H61" s="518"/>
      <c r="I61" s="518"/>
      <c r="J61" s="518"/>
      <c r="K61" s="518"/>
      <c r="L61" s="518"/>
      <c r="M61" s="519"/>
      <c r="N61" s="518"/>
      <c r="O61" s="519"/>
      <c r="P61" s="2674"/>
      <c r="Q61" s="504"/>
    </row>
    <row r="62" spans="1:29" s="117" customFormat="1" ht="15">
      <c r="A62" s="521" t="s">
        <v>2538</v>
      </c>
      <c r="B62" s="510"/>
      <c r="C62" s="522" t="s">
        <v>2640</v>
      </c>
      <c r="D62" s="523"/>
      <c r="E62" s="523"/>
      <c r="F62" s="523"/>
      <c r="G62" s="523"/>
      <c r="H62" s="523"/>
      <c r="I62" s="523"/>
      <c r="J62" s="523"/>
      <c r="K62" s="523"/>
      <c r="L62" s="524"/>
      <c r="M62" s="525"/>
      <c r="N62" s="1150"/>
      <c r="O62" s="1150"/>
      <c r="P62" s="2675"/>
      <c r="Q62" s="504"/>
    </row>
    <row r="63" spans="1:29" s="117" customFormat="1" ht="15.75" thickBot="1">
      <c r="A63" s="521"/>
      <c r="B63" s="510"/>
      <c r="C63" s="511">
        <v>100</v>
      </c>
      <c r="D63" s="512"/>
      <c r="E63" s="512"/>
      <c r="F63" s="512"/>
      <c r="G63" s="512"/>
      <c r="H63" s="512"/>
      <c r="I63" s="512"/>
      <c r="J63" s="512"/>
      <c r="K63" s="512"/>
      <c r="L63" s="512"/>
      <c r="M63" s="514"/>
      <c r="N63" s="1150"/>
      <c r="O63" s="1150"/>
      <c r="P63" s="2674"/>
      <c r="Q63" s="504"/>
    </row>
    <row r="64" spans="1:29">
      <c r="A64" s="527" t="s">
        <v>2576</v>
      </c>
      <c r="B64" s="528" t="s">
        <v>2542</v>
      </c>
      <c r="C64" s="529">
        <f>C9</f>
        <v>0</v>
      </c>
      <c r="D64" s="530"/>
      <c r="E64" s="530"/>
      <c r="F64" s="530"/>
      <c r="G64" s="530"/>
      <c r="H64" s="530"/>
      <c r="I64" s="530"/>
      <c r="J64" s="530"/>
      <c r="K64" s="531"/>
      <c r="L64" s="532"/>
      <c r="M64" s="533"/>
      <c r="N64" s="1151"/>
      <c r="O64" s="1151"/>
      <c r="P64" s="2676"/>
      <c r="Q64" s="504"/>
    </row>
    <row r="65" spans="1:17" ht="15.75" thickBot="1">
      <c r="A65" s="534"/>
      <c r="B65" s="535"/>
      <c r="C65" s="536">
        <v>100</v>
      </c>
      <c r="D65" s="536"/>
      <c r="E65" s="536"/>
      <c r="F65" s="536"/>
      <c r="G65" s="536"/>
      <c r="H65" s="536"/>
      <c r="I65" s="536"/>
      <c r="J65" s="536"/>
      <c r="K65" s="536"/>
      <c r="L65" s="536"/>
      <c r="M65" s="537"/>
      <c r="N65" s="1152"/>
      <c r="O65" s="1152"/>
      <c r="P65" s="2676"/>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1"/>
      <c r="O66" s="1151"/>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6"/>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6"/>
      <c r="Q68" s="504"/>
    </row>
    <row r="69" spans="1:17" ht="15">
      <c r="A69" s="534"/>
      <c r="B69" s="548"/>
      <c r="C69" s="549"/>
      <c r="D69" s="549"/>
      <c r="E69" s="549"/>
      <c r="F69" s="549"/>
      <c r="G69" s="549"/>
      <c r="H69" s="549"/>
      <c r="I69" s="549"/>
      <c r="J69" s="549"/>
      <c r="K69" s="550"/>
      <c r="L69" s="551"/>
      <c r="M69" s="552"/>
      <c r="N69" s="1151"/>
      <c r="O69" s="1151"/>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6"/>
      <c r="Q70" s="504"/>
    </row>
    <row r="71" spans="1:17" s="471" customFormat="1" ht="15.75" thickTop="1">
      <c r="A71" s="553"/>
      <c r="B71" s="538">
        <f>B12</f>
        <v>111</v>
      </c>
      <c r="C71" s="554"/>
      <c r="D71" s="554"/>
      <c r="E71" s="554"/>
      <c r="F71" s="554"/>
      <c r="G71" s="554"/>
      <c r="H71" s="555"/>
      <c r="I71" s="555"/>
      <c r="J71" s="555"/>
      <c r="K71" s="555"/>
      <c r="L71" s="556"/>
      <c r="M71" s="557"/>
      <c r="N71" s="1153"/>
      <c r="O71" s="1153"/>
      <c r="P71" s="2677"/>
      <c r="Q71" s="559"/>
    </row>
    <row r="72" spans="1:17" s="471" customFormat="1" ht="15.75" thickBot="1">
      <c r="A72" s="553"/>
      <c r="B72" s="543"/>
      <c r="C72" s="560"/>
      <c r="D72" s="536"/>
      <c r="E72" s="536"/>
      <c r="F72" s="536"/>
      <c r="G72" s="536"/>
      <c r="H72" s="536"/>
      <c r="I72" s="536"/>
      <c r="J72" s="536"/>
      <c r="K72" s="536"/>
      <c r="L72" s="536"/>
      <c r="M72" s="537"/>
      <c r="N72" s="1152"/>
      <c r="O72" s="1152"/>
      <c r="P72" s="2677"/>
      <c r="Q72" s="559"/>
    </row>
    <row r="73" spans="1:17" s="471" customFormat="1" ht="15.75" thickTop="1">
      <c r="A73" s="553"/>
      <c r="B73" s="538">
        <f>B13</f>
        <v>111</v>
      </c>
      <c r="C73" s="554"/>
      <c r="D73" s="554"/>
      <c r="E73" s="554"/>
      <c r="F73" s="554"/>
      <c r="G73" s="554"/>
      <c r="H73" s="555"/>
      <c r="I73" s="555"/>
      <c r="J73" s="555"/>
      <c r="K73" s="555"/>
      <c r="L73" s="556"/>
      <c r="M73" s="557"/>
      <c r="N73" s="1153"/>
      <c r="O73" s="1153"/>
      <c r="P73" s="2678"/>
      <c r="Q73" s="561"/>
    </row>
    <row r="74" spans="1:17" s="471" customFormat="1" ht="15.75" thickBot="1">
      <c r="A74" s="553"/>
      <c r="B74" s="543"/>
      <c r="C74" s="560"/>
      <c r="D74" s="560"/>
      <c r="E74" s="560"/>
      <c r="F74" s="560"/>
      <c r="G74" s="560"/>
      <c r="H74" s="562"/>
      <c r="I74" s="562"/>
      <c r="J74" s="562"/>
      <c r="K74" s="562"/>
      <c r="L74" s="562"/>
      <c r="M74" s="563"/>
      <c r="N74" s="1153"/>
      <c r="O74" s="1153"/>
      <c r="P74" s="2677"/>
      <c r="Q74" s="559"/>
    </row>
    <row r="75" spans="1:17" s="471" customFormat="1" ht="15.75" thickTop="1">
      <c r="A75" s="553"/>
      <c r="B75" s="546">
        <f>B14</f>
        <v>111</v>
      </c>
      <c r="C75" s="523"/>
      <c r="D75" s="523"/>
      <c r="E75" s="523"/>
      <c r="F75" s="523"/>
      <c r="G75" s="523"/>
      <c r="H75" s="564"/>
      <c r="I75" s="564"/>
      <c r="J75" s="564"/>
      <c r="K75" s="564"/>
      <c r="L75" s="565"/>
      <c r="M75" s="566"/>
      <c r="N75" s="1153"/>
      <c r="O75" s="1153"/>
      <c r="P75" s="2679"/>
      <c r="Q75" s="559"/>
    </row>
    <row r="76" spans="1:17" s="471" customFormat="1" ht="15.75" thickBot="1">
      <c r="A76" s="568"/>
      <c r="B76" s="569"/>
      <c r="C76" s="570"/>
      <c r="D76" s="570"/>
      <c r="E76" s="570"/>
      <c r="F76" s="570"/>
      <c r="G76" s="570"/>
      <c r="H76" s="571"/>
      <c r="I76" s="571"/>
      <c r="J76" s="571"/>
      <c r="K76" s="571"/>
      <c r="L76" s="571"/>
      <c r="M76" s="572"/>
      <c r="N76" s="1153"/>
      <c r="O76" s="1153"/>
      <c r="P76" s="2677"/>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1"/>
      <c r="O77" s="1151"/>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6"/>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1"/>
      <c r="O79" s="1151"/>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6"/>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1"/>
      <c r="O81" s="1151"/>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6"/>
      <c r="Q82" s="504"/>
    </row>
    <row r="83" spans="1:17" ht="15.75" thickTop="1">
      <c r="A83" s="534"/>
      <c r="B83" s="546" t="s">
        <v>2677</v>
      </c>
      <c r="C83" s="660" t="s">
        <v>2663</v>
      </c>
      <c r="D83" s="660" t="s">
        <v>2664</v>
      </c>
      <c r="E83" s="660" t="s">
        <v>2665</v>
      </c>
      <c r="F83" s="660" t="s">
        <v>2666</v>
      </c>
      <c r="G83" s="660" t="s">
        <v>2667</v>
      </c>
      <c r="H83" s="539"/>
      <c r="I83" s="539"/>
      <c r="J83" s="539"/>
      <c r="K83" s="539"/>
      <c r="L83" s="539"/>
      <c r="M83" s="1381"/>
      <c r="N83" s="1152"/>
      <c r="O83" s="1152"/>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6"/>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1"/>
      <c r="O85" s="1151"/>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6"/>
      <c r="Q86" s="504"/>
    </row>
    <row r="87" spans="1:17" s="117" customFormat="1" ht="27.75" thickTop="1">
      <c r="A87" s="579"/>
      <c r="B87" s="538" t="s">
        <v>2687</v>
      </c>
      <c r="C87" s="554"/>
      <c r="D87" s="554"/>
      <c r="E87" s="554"/>
      <c r="F87" s="554"/>
      <c r="G87" s="554"/>
      <c r="H87" s="554"/>
      <c r="I87" s="554"/>
      <c r="J87" s="554"/>
      <c r="K87" s="554"/>
      <c r="L87" s="580"/>
      <c r="M87" s="581"/>
      <c r="N87" s="1150"/>
      <c r="O87" s="1150"/>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6"/>
      <c r="Q88" s="504"/>
    </row>
    <row r="89" spans="1:17" s="117" customFormat="1" ht="15.75" thickTop="1">
      <c r="A89" s="579"/>
      <c r="B89" s="538" t="str">
        <f>B27</f>
        <v>楼层</v>
      </c>
      <c r="C89" s="554"/>
      <c r="D89" s="554"/>
      <c r="E89" s="554"/>
      <c r="F89" s="2627"/>
      <c r="G89" s="554"/>
      <c r="H89" s="554"/>
      <c r="I89" s="554"/>
      <c r="J89" s="554"/>
      <c r="K89" s="554"/>
      <c r="L89" s="554"/>
      <c r="M89" s="581"/>
      <c r="N89" s="1150"/>
      <c r="O89" s="1150"/>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7"/>
      <c r="Q92" s="559"/>
    </row>
    <row r="93" spans="1:17" ht="15.75" thickTop="1">
      <c r="A93" s="534"/>
      <c r="B93" s="538">
        <f>B29</f>
        <v>111</v>
      </c>
      <c r="C93" s="554"/>
      <c r="D93" s="554"/>
      <c r="E93" s="554"/>
      <c r="F93" s="554"/>
      <c r="G93" s="554"/>
      <c r="H93" s="554"/>
      <c r="I93" s="554"/>
      <c r="J93" s="554"/>
      <c r="K93" s="554"/>
      <c r="L93" s="580"/>
      <c r="M93" s="581"/>
      <c r="N93" s="1151"/>
      <c r="O93" s="1151"/>
      <c r="P93" s="2676"/>
      <c r="Q93" s="504"/>
    </row>
    <row r="94" spans="1:17" ht="15.75" thickBot="1">
      <c r="A94" s="534"/>
      <c r="B94" s="543"/>
      <c r="C94" s="560"/>
      <c r="D94" s="536"/>
      <c r="E94" s="536"/>
      <c r="F94" s="536"/>
      <c r="G94" s="536"/>
      <c r="H94" s="536"/>
      <c r="I94" s="536"/>
      <c r="J94" s="536"/>
      <c r="K94" s="536"/>
      <c r="L94" s="536"/>
      <c r="M94" s="537"/>
      <c r="N94" s="1152"/>
      <c r="O94" s="1152"/>
      <c r="P94" s="2676"/>
      <c r="Q94" s="504"/>
    </row>
    <row r="95" spans="1:17" ht="15.75" thickTop="1">
      <c r="A95" s="534"/>
      <c r="B95" s="538">
        <f>B30</f>
        <v>111</v>
      </c>
      <c r="C95" s="554"/>
      <c r="D95" s="554"/>
      <c r="E95" s="554"/>
      <c r="F95" s="554"/>
      <c r="G95" s="583"/>
      <c r="H95" s="583"/>
      <c r="I95" s="583"/>
      <c r="J95" s="583"/>
      <c r="K95" s="584"/>
      <c r="L95" s="585"/>
      <c r="M95" s="586"/>
      <c r="N95" s="1151"/>
      <c r="O95" s="1151"/>
      <c r="P95" s="2676"/>
      <c r="Q95" s="504"/>
    </row>
    <row r="96" spans="1:17" ht="15.75" thickBot="1">
      <c r="A96" s="534"/>
      <c r="B96" s="543"/>
      <c r="C96" s="560"/>
      <c r="D96" s="560"/>
      <c r="E96" s="560"/>
      <c r="F96" s="560"/>
      <c r="G96" s="536"/>
      <c r="H96" s="536"/>
      <c r="I96" s="536"/>
      <c r="J96" s="536"/>
      <c r="K96" s="536"/>
      <c r="L96" s="536"/>
      <c r="M96" s="537"/>
      <c r="N96" s="1152"/>
      <c r="O96" s="1152"/>
      <c r="P96" s="2676"/>
      <c r="Q96" s="504"/>
    </row>
    <row r="97" spans="1:17" ht="15.75" thickTop="1">
      <c r="A97" s="534"/>
      <c r="B97" s="538">
        <f>B31</f>
        <v>111</v>
      </c>
      <c r="C97" s="554"/>
      <c r="D97" s="554"/>
      <c r="E97" s="554"/>
      <c r="F97" s="554"/>
      <c r="G97" s="583"/>
      <c r="H97" s="583"/>
      <c r="I97" s="583"/>
      <c r="J97" s="583"/>
      <c r="K97" s="584"/>
      <c r="L97" s="585"/>
      <c r="M97" s="586"/>
      <c r="N97" s="1151"/>
      <c r="O97" s="1151"/>
      <c r="P97" s="2676"/>
      <c r="Q97" s="504"/>
    </row>
    <row r="98" spans="1:17" ht="15.75" thickBot="1">
      <c r="A98" s="534"/>
      <c r="B98" s="543"/>
      <c r="C98" s="560"/>
      <c r="D98" s="536"/>
      <c r="E98" s="536"/>
      <c r="F98" s="536"/>
      <c r="G98" s="536"/>
      <c r="H98" s="536"/>
      <c r="I98" s="536"/>
      <c r="J98" s="536"/>
      <c r="K98" s="536"/>
      <c r="L98" s="536"/>
      <c r="M98" s="537"/>
      <c r="N98" s="1152"/>
      <c r="O98" s="1152"/>
      <c r="P98" s="2676"/>
      <c r="Q98" s="504"/>
    </row>
    <row r="99" spans="1:17" ht="15.75" thickTop="1">
      <c r="A99" s="534"/>
      <c r="B99" s="546">
        <f>B32</f>
        <v>111</v>
      </c>
      <c r="C99" s="523"/>
      <c r="D99" s="523"/>
      <c r="E99" s="523"/>
      <c r="F99" s="523"/>
      <c r="G99" s="587"/>
      <c r="H99" s="587"/>
      <c r="I99" s="587"/>
      <c r="J99" s="587"/>
      <c r="K99" s="588"/>
      <c r="L99" s="589"/>
      <c r="M99" s="590"/>
      <c r="N99" s="1151"/>
      <c r="O99" s="1151"/>
      <c r="P99" s="2676"/>
      <c r="Q99" s="504"/>
    </row>
    <row r="100" spans="1:17" ht="15.75" thickBot="1">
      <c r="A100" s="2628"/>
      <c r="B100" s="569"/>
      <c r="C100" s="570"/>
      <c r="D100" s="570"/>
      <c r="E100" s="570"/>
      <c r="F100" s="570"/>
      <c r="G100" s="591"/>
      <c r="H100" s="591"/>
      <c r="I100" s="591"/>
      <c r="J100" s="591"/>
      <c r="K100" s="591"/>
      <c r="L100" s="591"/>
      <c r="M100" s="592"/>
      <c r="N100" s="1152"/>
      <c r="O100" s="1152"/>
      <c r="P100" s="2676"/>
      <c r="Q100" s="504"/>
    </row>
    <row r="101" spans="1:17">
      <c r="A101" s="527" t="s">
        <v>2551</v>
      </c>
      <c r="B101" s="528" t="s">
        <v>2600</v>
      </c>
      <c r="C101" s="530"/>
      <c r="D101" s="530"/>
      <c r="E101" s="530"/>
      <c r="F101" s="530"/>
      <c r="G101" s="530"/>
      <c r="H101" s="530"/>
      <c r="I101" s="530"/>
      <c r="J101" s="530"/>
      <c r="K101" s="531"/>
      <c r="L101" s="532"/>
      <c r="M101" s="533"/>
      <c r="N101" s="1151"/>
      <c r="O101" s="1151"/>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6"/>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6"/>
      <c r="Q103" s="504"/>
    </row>
    <row r="104" spans="1:17" s="471" customFormat="1">
      <c r="A104" s="593"/>
      <c r="B104" s="594"/>
      <c r="C104" s="595"/>
      <c r="D104" s="595"/>
      <c r="E104" s="595"/>
      <c r="F104" s="595"/>
      <c r="G104" s="595"/>
      <c r="H104" s="595"/>
      <c r="I104" s="595"/>
      <c r="J104" s="596"/>
      <c r="K104" s="596"/>
      <c r="L104" s="597"/>
      <c r="M104" s="598"/>
      <c r="N104" s="1153"/>
      <c r="O104" s="1153"/>
      <c r="P104" s="267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7"/>
      <c r="Q105" s="559"/>
    </row>
    <row r="106" spans="1:17" ht="15" thickTop="1">
      <c r="A106" s="599"/>
      <c r="B106" s="538" t="s">
        <v>2602</v>
      </c>
      <c r="C106" s="554"/>
      <c r="D106" s="554"/>
      <c r="E106" s="583"/>
      <c r="F106" s="583"/>
      <c r="G106" s="583"/>
      <c r="H106" s="583"/>
      <c r="I106" s="583"/>
      <c r="J106" s="583"/>
      <c r="K106" s="584"/>
      <c r="L106" s="585"/>
      <c r="M106" s="586"/>
      <c r="N106" s="1151"/>
      <c r="O106" s="1151"/>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6"/>
      <c r="Q107" s="504"/>
    </row>
    <row r="108" spans="1:17" ht="15" thickTop="1">
      <c r="A108" s="599"/>
      <c r="B108" s="538" t="s">
        <v>2604</v>
      </c>
      <c r="C108" s="554"/>
      <c r="D108" s="554"/>
      <c r="E108" s="554"/>
      <c r="F108" s="583"/>
      <c r="G108" s="583"/>
      <c r="H108" s="583"/>
      <c r="I108" s="583"/>
      <c r="J108" s="583"/>
      <c r="K108" s="584"/>
      <c r="L108" s="585"/>
      <c r="M108" s="586"/>
      <c r="N108" s="1151"/>
      <c r="O108" s="1151"/>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6"/>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6"/>
      <c r="Q112" s="504"/>
    </row>
    <row r="113" spans="1:17" s="471" customFormat="1" ht="15" thickTop="1">
      <c r="A113" s="593"/>
      <c r="B113" s="538" t="s">
        <v>2688</v>
      </c>
      <c r="C113" s="554"/>
      <c r="D113" s="554"/>
      <c r="E113" s="554"/>
      <c r="F113" s="554"/>
      <c r="G113" s="554"/>
      <c r="H113" s="583"/>
      <c r="I113" s="583"/>
      <c r="J113" s="583"/>
      <c r="K113" s="584"/>
      <c r="L113" s="585"/>
      <c r="M113" s="586"/>
      <c r="N113" s="1153"/>
      <c r="O113" s="1153"/>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7"/>
      <c r="Q114" s="559"/>
    </row>
    <row r="115" spans="1:17" ht="15" thickTop="1">
      <c r="A115" s="599"/>
      <c r="B115" s="538" t="s">
        <v>2605</v>
      </c>
      <c r="C115" s="554"/>
      <c r="D115" s="554"/>
      <c r="E115" s="583"/>
      <c r="F115" s="583"/>
      <c r="G115" s="583"/>
      <c r="H115" s="583"/>
      <c r="I115" s="583"/>
      <c r="J115" s="583"/>
      <c r="K115" s="584"/>
      <c r="L115" s="585"/>
      <c r="M115" s="586"/>
      <c r="N115" s="1151"/>
      <c r="O115" s="1151"/>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6"/>
      <c r="Q116" s="504"/>
    </row>
    <row r="117" spans="1:17" ht="15" thickTop="1">
      <c r="A117" s="599"/>
      <c r="B117" s="538" t="s">
        <v>2606</v>
      </c>
      <c r="C117" s="554"/>
      <c r="D117" s="554"/>
      <c r="E117" s="554"/>
      <c r="F117" s="554"/>
      <c r="G117" s="554"/>
      <c r="H117" s="583"/>
      <c r="I117" s="583"/>
      <c r="J117" s="583"/>
      <c r="K117" s="584"/>
      <c r="L117" s="585"/>
      <c r="M117" s="586"/>
      <c r="N117" s="1151"/>
      <c r="O117" s="1151"/>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6"/>
      <c r="Q118" s="504"/>
    </row>
    <row r="119" spans="1:17" ht="15" thickTop="1">
      <c r="A119" s="599"/>
      <c r="B119" s="636" t="s">
        <v>2689</v>
      </c>
      <c r="C119" s="583"/>
      <c r="D119" s="583"/>
      <c r="E119" s="583"/>
      <c r="F119" s="583"/>
      <c r="G119" s="583"/>
      <c r="H119" s="583"/>
      <c r="I119" s="583"/>
      <c r="J119" s="583"/>
      <c r="K119" s="583"/>
      <c r="L119" s="2681"/>
      <c r="M119" s="2682"/>
      <c r="N119" s="1152"/>
      <c r="O119" s="1152"/>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6"/>
      <c r="Q120" s="504"/>
    </row>
    <row r="121" spans="1:17" s="471" customFormat="1" ht="15" thickTop="1">
      <c r="A121" s="593"/>
      <c r="B121" s="538" t="s">
        <v>2672</v>
      </c>
      <c r="C121" s="554"/>
      <c r="D121" s="554"/>
      <c r="E121" s="554"/>
      <c r="F121" s="583"/>
      <c r="G121" s="555"/>
      <c r="H121" s="555"/>
      <c r="I121" s="555"/>
      <c r="J121" s="555"/>
      <c r="K121" s="555"/>
      <c r="L121" s="556"/>
      <c r="M121" s="557"/>
      <c r="N121" s="1153"/>
      <c r="O121" s="1153"/>
      <c r="P121" s="267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7"/>
      <c r="Q122" s="559"/>
    </row>
    <row r="123" spans="1:17" ht="15" thickTop="1">
      <c r="A123" s="599"/>
      <c r="B123" s="538" t="s">
        <v>2608</v>
      </c>
      <c r="C123" s="554"/>
      <c r="D123" s="554"/>
      <c r="E123" s="554"/>
      <c r="F123" s="583"/>
      <c r="G123" s="583"/>
      <c r="H123" s="583"/>
      <c r="I123" s="583"/>
      <c r="J123" s="583"/>
      <c r="K123" s="584"/>
      <c r="L123" s="585"/>
      <c r="M123" s="586"/>
      <c r="N123" s="1151"/>
      <c r="O123" s="1151"/>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6"/>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1"/>
      <c r="O125" s="1151"/>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7"/>
      <c r="Q128" s="559"/>
    </row>
    <row r="129" spans="1:17" ht="15" thickTop="1">
      <c r="A129" s="599"/>
      <c r="B129" s="538">
        <f>B46</f>
        <v>111</v>
      </c>
      <c r="C129" s="554"/>
      <c r="D129" s="554"/>
      <c r="E129" s="554"/>
      <c r="F129" s="554"/>
      <c r="G129" s="583"/>
      <c r="H129" s="583"/>
      <c r="I129" s="583"/>
      <c r="J129" s="583"/>
      <c r="K129" s="584"/>
      <c r="L129" s="585"/>
      <c r="M129" s="586"/>
      <c r="N129" s="1151"/>
      <c r="O129" s="1151"/>
      <c r="P129" s="2676"/>
      <c r="Q129" s="504"/>
    </row>
    <row r="130" spans="1:17" ht="15.75" thickBot="1">
      <c r="A130" s="534"/>
      <c r="B130" s="543"/>
      <c r="C130" s="560"/>
      <c r="D130" s="560"/>
      <c r="E130" s="560"/>
      <c r="F130" s="560"/>
      <c r="G130" s="536"/>
      <c r="H130" s="536"/>
      <c r="I130" s="536"/>
      <c r="J130" s="536"/>
      <c r="K130" s="536"/>
      <c r="L130" s="536"/>
      <c r="M130" s="537"/>
      <c r="N130" s="1152"/>
      <c r="O130" s="1152"/>
      <c r="P130" s="2676"/>
      <c r="Q130" s="504"/>
    </row>
    <row r="131" spans="1:17" ht="15" thickTop="1">
      <c r="A131" s="599"/>
      <c r="B131" s="546">
        <f>B47</f>
        <v>111</v>
      </c>
      <c r="C131" s="523"/>
      <c r="D131" s="523"/>
      <c r="E131" s="523"/>
      <c r="F131" s="523"/>
      <c r="G131" s="587"/>
      <c r="H131" s="587"/>
      <c r="I131" s="587"/>
      <c r="J131" s="587"/>
      <c r="K131" s="523"/>
      <c r="L131" s="524"/>
      <c r="M131" s="590"/>
      <c r="N131" s="1151"/>
      <c r="O131" s="1151"/>
      <c r="P131" s="2676"/>
      <c r="Q131" s="504"/>
    </row>
    <row r="132" spans="1:17" ht="15.75" thickBot="1">
      <c r="A132" s="2628"/>
      <c r="B132" s="569"/>
      <c r="C132" s="570"/>
      <c r="D132" s="570"/>
      <c r="E132" s="570"/>
      <c r="F132" s="570"/>
      <c r="G132" s="591"/>
      <c r="H132" s="591"/>
      <c r="I132" s="591"/>
      <c r="J132" s="591"/>
      <c r="K132" s="591"/>
      <c r="L132" s="591"/>
      <c r="M132" s="592"/>
      <c r="N132" s="1152"/>
      <c r="O132" s="1152"/>
      <c r="P132" s="267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661" t="s">
        <v>2690</v>
      </c>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IF(C2="——",ROUND(C43*D3/10000,0),ROUND(C43*D3/10000,0)-D2)</f>
        <v>#DIV/0!</v>
      </c>
      <c r="C2" s="2578"/>
      <c r="D2" s="1123" t="e">
        <f ca="1">SUMIF(INDIRECT("'"&amp;F2&amp;"'"&amp;"!A:A"),"承租人权益价值",INDIRECT("'"&amp;F2&amp;"'"&amp;"!c:c"))</f>
        <v>#REF!</v>
      </c>
      <c r="E2" s="2579" t="s">
        <v>2319</v>
      </c>
      <c r="F2" s="2580"/>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2632</v>
      </c>
      <c r="D3" s="399">
        <f>IF(D1="",'数据-汇总表'!E3,SUMIF('数据-汇总表'!$C19:$C33,D1,'数据-汇总表'!$E19:$E33))</f>
        <v>256595.18999999997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12" t="s">
        <v>2634</v>
      </c>
      <c r="D4" s="3225"/>
      <c r="E4" s="3226" t="s">
        <v>2635</v>
      </c>
      <c r="F4" s="3227"/>
      <c r="G4" s="3212" t="s">
        <v>2636</v>
      </c>
      <c r="H4" s="3225"/>
      <c r="I4" s="3212" t="s">
        <v>2637</v>
      </c>
      <c r="J4" s="3225"/>
      <c r="K4" s="610" t="s">
        <v>2638</v>
      </c>
      <c r="L4" s="1129"/>
      <c r="M4" s="1130"/>
      <c r="N4" s="1130"/>
      <c r="O4" s="1130"/>
      <c r="P4" s="3228" t="s">
        <v>2639</v>
      </c>
      <c r="Q4" s="3229"/>
      <c r="R4" s="3234" t="s">
        <v>2635</v>
      </c>
      <c r="S4" s="3235"/>
      <c r="T4" s="3234" t="s">
        <v>2636</v>
      </c>
      <c r="U4" s="3235"/>
      <c r="V4" s="3221" t="s">
        <v>2637</v>
      </c>
      <c r="W4" s="3221"/>
      <c r="X4" s="1811"/>
      <c r="Y4" s="3234" t="s">
        <v>2639</v>
      </c>
      <c r="Z4" s="3235"/>
      <c r="AA4" s="3222" t="s">
        <v>2635</v>
      </c>
      <c r="AB4" s="3223" t="s">
        <v>2636</v>
      </c>
      <c r="AC4" s="3222" t="s">
        <v>2637</v>
      </c>
    </row>
    <row r="5" spans="1:29" ht="15">
      <c r="A5" s="404"/>
      <c r="B5" s="405"/>
      <c r="C5" s="3242" t="s">
        <v>2530</v>
      </c>
      <c r="D5" s="3243"/>
      <c r="E5" s="3249" t="s">
        <v>2531</v>
      </c>
      <c r="F5" s="3250"/>
      <c r="G5" s="3242" t="s">
        <v>2532</v>
      </c>
      <c r="H5" s="3243"/>
      <c r="I5" s="3242" t="s">
        <v>2533</v>
      </c>
      <c r="J5" s="3243"/>
      <c r="K5" s="610"/>
      <c r="L5" s="1129"/>
      <c r="M5" s="1130"/>
      <c r="N5" s="1130"/>
      <c r="O5" s="1130"/>
      <c r="P5" s="3230"/>
      <c r="Q5" s="3231"/>
      <c r="R5" s="3236"/>
      <c r="S5" s="3237"/>
      <c r="T5" s="3236"/>
      <c r="U5" s="3237"/>
      <c r="V5" s="3221"/>
      <c r="W5" s="3221"/>
      <c r="X5" s="1811"/>
      <c r="Y5" s="3236"/>
      <c r="Z5" s="3237"/>
      <c r="AA5" s="3223"/>
      <c r="AB5" s="3223"/>
      <c r="AC5" s="3223"/>
    </row>
    <row r="6" spans="1:29" ht="15.75" thickBot="1">
      <c r="A6" s="406"/>
      <c r="B6" s="407"/>
      <c r="C6" s="3240" t="s">
        <v>2534</v>
      </c>
      <c r="D6" s="3241"/>
      <c r="E6" s="3247" t="s">
        <v>2534</v>
      </c>
      <c r="F6" s="3248"/>
      <c r="G6" s="3240" t="s">
        <v>2534</v>
      </c>
      <c r="H6" s="3241"/>
      <c r="I6" s="3240" t="s">
        <v>2534</v>
      </c>
      <c r="J6" s="3241"/>
      <c r="K6" s="610" t="s">
        <v>2535</v>
      </c>
      <c r="L6" s="1129"/>
      <c r="M6" s="1130"/>
      <c r="N6" s="1130"/>
      <c r="O6" s="1130"/>
      <c r="P6" s="3232"/>
      <c r="Q6" s="3233"/>
      <c r="R6" s="3236"/>
      <c r="S6" s="3237"/>
      <c r="T6" s="3238"/>
      <c r="U6" s="3239"/>
      <c r="V6" s="3221"/>
      <c r="W6" s="3221"/>
      <c r="X6" s="1811"/>
      <c r="Y6" s="3238"/>
      <c r="Z6" s="3239"/>
      <c r="AA6" s="3224"/>
      <c r="AB6" s="3224"/>
      <c r="AC6" s="3224"/>
    </row>
    <row r="7" spans="1:29" s="117" customFormat="1" ht="15.75" thickBot="1">
      <c r="A7" s="408" t="s">
        <v>2536</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44" t="s">
        <v>2537</v>
      </c>
      <c r="Q7" s="3246"/>
      <c r="R7" s="769" t="s">
        <v>17</v>
      </c>
      <c r="S7" s="770">
        <f t="shared" ref="S7:S15" si="0">F7</f>
        <v>0</v>
      </c>
      <c r="T7" s="769" t="s">
        <v>17</v>
      </c>
      <c r="U7" s="770">
        <f t="shared" ref="U7:U15" si="1">H7</f>
        <v>0</v>
      </c>
      <c r="V7" s="769" t="s">
        <v>17</v>
      </c>
      <c r="W7" s="770">
        <f t="shared" ref="W7:W15" si="2">J7</f>
        <v>0</v>
      </c>
      <c r="X7" s="771"/>
      <c r="Y7" s="3244" t="s">
        <v>2537</v>
      </c>
      <c r="Z7" s="3245"/>
      <c r="AA7" s="772" t="e">
        <f>D7/F7</f>
        <v>#DIV/0!</v>
      </c>
      <c r="AB7" s="772" t="e">
        <f>D7/H7</f>
        <v>#DIV/0!</v>
      </c>
      <c r="AC7" s="772"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44" t="s">
        <v>2540</v>
      </c>
      <c r="Q8" s="3245"/>
      <c r="R8" s="769" t="s">
        <v>17</v>
      </c>
      <c r="S8" s="770">
        <f t="shared" si="0"/>
        <v>0</v>
      </c>
      <c r="T8" s="769" t="s">
        <v>17</v>
      </c>
      <c r="U8" s="770">
        <f t="shared" si="1"/>
        <v>0</v>
      </c>
      <c r="V8" s="769" t="s">
        <v>17</v>
      </c>
      <c r="W8" s="770">
        <f t="shared" si="2"/>
        <v>0</v>
      </c>
      <c r="X8" s="771"/>
      <c r="Y8" s="3244" t="s">
        <v>2540</v>
      </c>
      <c r="Z8" s="3245"/>
      <c r="AA8" s="772" t="e">
        <f t="shared" ref="AA8:AA40" si="3">D8/F8</f>
        <v>#DIV/0!</v>
      </c>
      <c r="AB8" s="772" t="e">
        <f t="shared" ref="AB8:AB40" si="4">D8/H8</f>
        <v>#DIV/0!</v>
      </c>
      <c r="AC8" s="772"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15" t="s">
        <v>2543</v>
      </c>
      <c r="Q9" s="1793" t="str">
        <f t="shared" ref="Q9:Q15" si="6">B9</f>
        <v>用途</v>
      </c>
      <c r="R9" s="769" t="s">
        <v>17</v>
      </c>
      <c r="S9" s="770">
        <f t="shared" si="0"/>
        <v>100</v>
      </c>
      <c r="T9" s="769" t="s">
        <v>17</v>
      </c>
      <c r="U9" s="770">
        <f t="shared" si="1"/>
        <v>100</v>
      </c>
      <c r="V9" s="769" t="s">
        <v>17</v>
      </c>
      <c r="W9" s="770">
        <f t="shared" si="2"/>
        <v>100</v>
      </c>
      <c r="X9" s="771"/>
      <c r="Y9" s="3043" t="s">
        <v>2544</v>
      </c>
      <c r="Z9" s="55" t="str">
        <f t="shared" ref="Z9:Z15" si="7">Q9</f>
        <v>用途</v>
      </c>
      <c r="AA9" s="772">
        <f t="shared" si="3"/>
        <v>1</v>
      </c>
      <c r="AB9" s="772">
        <f t="shared" si="4"/>
        <v>1</v>
      </c>
      <c r="AC9" s="772">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15"/>
      <c r="Q10" s="1793" t="str">
        <f t="shared" si="6"/>
        <v>土地使用年限（年）</v>
      </c>
      <c r="R10" s="769" t="s">
        <v>17</v>
      </c>
      <c r="S10" s="770">
        <f t="shared" si="0"/>
        <v>100</v>
      </c>
      <c r="T10" s="769" t="s">
        <v>17</v>
      </c>
      <c r="U10" s="770">
        <f t="shared" si="1"/>
        <v>100</v>
      </c>
      <c r="V10" s="769" t="s">
        <v>17</v>
      </c>
      <c r="W10" s="770">
        <f t="shared" si="2"/>
        <v>100</v>
      </c>
      <c r="X10" s="771"/>
      <c r="Y10" s="3043"/>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15"/>
      <c r="Q11" s="1793" t="str">
        <f t="shared" si="6"/>
        <v>容积率</v>
      </c>
      <c r="R11" s="769" t="s">
        <v>17</v>
      </c>
      <c r="S11" s="770" t="e">
        <f t="shared" si="0"/>
        <v>#N/A</v>
      </c>
      <c r="T11" s="769" t="s">
        <v>17</v>
      </c>
      <c r="U11" s="770" t="e">
        <f t="shared" si="1"/>
        <v>#N/A</v>
      </c>
      <c r="V11" s="769" t="s">
        <v>17</v>
      </c>
      <c r="W11" s="770" t="e">
        <f t="shared" si="2"/>
        <v>#N/A</v>
      </c>
      <c r="X11" s="771"/>
      <c r="Y11" s="3043"/>
      <c r="Z11" s="55" t="str">
        <f t="shared" si="7"/>
        <v>容积率</v>
      </c>
      <c r="AA11" s="772" t="e">
        <f t="shared" si="3"/>
        <v>#N/A</v>
      </c>
      <c r="AB11" s="772" t="e">
        <f t="shared" si="4"/>
        <v>#N/A</v>
      </c>
      <c r="AC11" s="772"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1"/>
      <c r="M12" s="1132"/>
      <c r="N12" s="1132"/>
      <c r="O12" s="1133"/>
      <c r="P12" s="3215"/>
      <c r="Q12" s="1793">
        <f t="shared" si="6"/>
        <v>111</v>
      </c>
      <c r="R12" s="769" t="s">
        <v>17</v>
      </c>
      <c r="S12" s="770">
        <f t="shared" si="0"/>
        <v>100</v>
      </c>
      <c r="T12" s="769" t="s">
        <v>17</v>
      </c>
      <c r="U12" s="770">
        <f t="shared" si="1"/>
        <v>100</v>
      </c>
      <c r="V12" s="769" t="s">
        <v>17</v>
      </c>
      <c r="W12" s="770">
        <f t="shared" si="2"/>
        <v>100</v>
      </c>
      <c r="X12" s="771"/>
      <c r="Y12" s="3043"/>
      <c r="Z12" s="55">
        <f t="shared" si="7"/>
        <v>111</v>
      </c>
      <c r="AA12" s="772">
        <f>D12/F12</f>
        <v>1</v>
      </c>
      <c r="AB12" s="772">
        <f>D12/H12</f>
        <v>1</v>
      </c>
      <c r="AC12" s="772">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43"/>
      <c r="Z13" s="55">
        <f t="shared" si="7"/>
        <v>111</v>
      </c>
      <c r="AA13" s="772">
        <f t="shared" si="3"/>
        <v>1</v>
      </c>
      <c r="AB13" s="772">
        <f t="shared" si="4"/>
        <v>1</v>
      </c>
      <c r="AC13" s="772">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9"/>
      <c r="M14" s="1130"/>
      <c r="N14" s="1130"/>
      <c r="O14" s="1138"/>
      <c r="P14" s="3215"/>
      <c r="Q14" s="1793">
        <f t="shared" si="6"/>
        <v>111</v>
      </c>
      <c r="R14" s="769" t="s">
        <v>17</v>
      </c>
      <c r="S14" s="770">
        <f t="shared" si="0"/>
        <v>100</v>
      </c>
      <c r="T14" s="769" t="s">
        <v>17</v>
      </c>
      <c r="U14" s="770">
        <f t="shared" si="1"/>
        <v>100</v>
      </c>
      <c r="V14" s="769" t="s">
        <v>17</v>
      </c>
      <c r="W14" s="770">
        <f t="shared" si="2"/>
        <v>100</v>
      </c>
      <c r="X14" s="771"/>
      <c r="Y14" s="3043"/>
      <c r="Z14" s="55">
        <f t="shared" si="7"/>
        <v>111</v>
      </c>
      <c r="AA14" s="772">
        <f t="shared" si="3"/>
        <v>1</v>
      </c>
      <c r="AB14" s="772">
        <f t="shared" si="4"/>
        <v>1</v>
      </c>
      <c r="AC14" s="772">
        <f t="shared" si="5"/>
        <v>1</v>
      </c>
    </row>
    <row r="15" spans="1:29" ht="57">
      <c r="A15" s="440" t="s">
        <v>2547</v>
      </c>
      <c r="B15" s="69" t="s">
        <v>2691</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17" t="s">
        <v>2548</v>
      </c>
      <c r="Q15" s="1808" t="str">
        <f t="shared" si="6"/>
        <v>产业集聚程度</v>
      </c>
      <c r="R15" s="773" t="s">
        <v>17</v>
      </c>
      <c r="S15" s="774">
        <f t="shared" si="0"/>
        <v>100</v>
      </c>
      <c r="T15" s="773" t="s">
        <v>17</v>
      </c>
      <c r="U15" s="774">
        <f t="shared" si="1"/>
        <v>100</v>
      </c>
      <c r="V15" s="773" t="s">
        <v>17</v>
      </c>
      <c r="W15" s="774">
        <f t="shared" si="2"/>
        <v>100</v>
      </c>
      <c r="X15" s="1811"/>
      <c r="Y15" s="3217" t="s">
        <v>2548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18"/>
      <c r="Q16" s="1808"/>
      <c r="R16" s="773"/>
      <c r="S16" s="774"/>
      <c r="T16" s="773"/>
      <c r="U16" s="774"/>
      <c r="V16" s="773"/>
      <c r="W16" s="774"/>
      <c r="X16" s="1811"/>
      <c r="Y16" s="3218"/>
      <c r="Z16" s="1812"/>
      <c r="AA16" s="1809">
        <v>1</v>
      </c>
      <c r="AB16" s="1809">
        <v>1</v>
      </c>
      <c r="AC16" s="1809">
        <v>1</v>
      </c>
    </row>
    <row r="17" spans="1:29" ht="85.5">
      <c r="A17" s="428"/>
      <c r="B17" s="451" t="s">
        <v>2087</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18"/>
      <c r="Q17" s="1808" t="str">
        <f>B17</f>
        <v>交通便捷度</v>
      </c>
      <c r="R17" s="773" t="s">
        <v>17</v>
      </c>
      <c r="S17" s="774">
        <f>F17</f>
        <v>100</v>
      </c>
      <c r="T17" s="773" t="s">
        <v>17</v>
      </c>
      <c r="U17" s="774">
        <f>H17</f>
        <v>100</v>
      </c>
      <c r="V17" s="773" t="s">
        <v>17</v>
      </c>
      <c r="W17" s="774">
        <f>J17</f>
        <v>100</v>
      </c>
      <c r="X17" s="1811"/>
      <c r="Y17" s="3218"/>
      <c r="Z17" s="1812" t="str">
        <f>Q17</f>
        <v>交通便捷度</v>
      </c>
      <c r="AA17" s="1809">
        <f t="shared" si="3"/>
        <v>1</v>
      </c>
      <c r="AB17" s="1809">
        <f t="shared" si="4"/>
        <v>1</v>
      </c>
      <c r="AC17" s="1809">
        <f t="shared" si="5"/>
        <v>1</v>
      </c>
    </row>
    <row r="18" spans="1:29" ht="15">
      <c r="A18" s="428"/>
      <c r="B18" s="456"/>
      <c r="C18" s="2600"/>
      <c r="D18" s="450"/>
      <c r="E18" s="2602"/>
      <c r="F18" s="453"/>
      <c r="G18" s="2601"/>
      <c r="H18" s="448"/>
      <c r="I18" s="2602"/>
      <c r="J18" s="448"/>
      <c r="K18" s="615"/>
      <c r="L18" s="1139"/>
      <c r="M18" s="1130"/>
      <c r="N18" s="1130"/>
      <c r="O18" s="1138"/>
      <c r="P18" s="3218"/>
      <c r="Q18" s="1808"/>
      <c r="R18" s="773"/>
      <c r="S18" s="774"/>
      <c r="T18" s="773"/>
      <c r="U18" s="774"/>
      <c r="V18" s="773"/>
      <c r="W18" s="774"/>
      <c r="X18" s="1811"/>
      <c r="Y18" s="3218"/>
      <c r="Z18" s="1812"/>
      <c r="AA18" s="1809">
        <v>1</v>
      </c>
      <c r="AB18" s="1809">
        <v>1</v>
      </c>
      <c r="AC18" s="1809">
        <v>1</v>
      </c>
    </row>
    <row r="19" spans="1:29" ht="42.75">
      <c r="A19" s="428"/>
      <c r="B19" s="451" t="s">
        <v>2676</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18"/>
      <c r="Q19" s="1808" t="str">
        <f>B19</f>
        <v>公共配套设施</v>
      </c>
      <c r="R19" s="773" t="s">
        <v>17</v>
      </c>
      <c r="S19" s="774">
        <f>F19</f>
        <v>100</v>
      </c>
      <c r="T19" s="773" t="s">
        <v>17</v>
      </c>
      <c r="U19" s="774">
        <f>H19</f>
        <v>100</v>
      </c>
      <c r="V19" s="773" t="s">
        <v>17</v>
      </c>
      <c r="W19" s="774">
        <f>J19</f>
        <v>100</v>
      </c>
      <c r="X19" s="1811"/>
      <c r="Y19" s="3218"/>
      <c r="Z19" s="1812" t="str">
        <f>Q19</f>
        <v>公共配套设施</v>
      </c>
      <c r="AA19" s="1809">
        <f t="shared" si="3"/>
        <v>1</v>
      </c>
      <c r="AB19" s="1809">
        <f t="shared" si="4"/>
        <v>1</v>
      </c>
      <c r="AC19" s="1809">
        <f t="shared" si="5"/>
        <v>1</v>
      </c>
    </row>
    <row r="20" spans="1:29" ht="15">
      <c r="A20" s="428"/>
      <c r="B20" s="456"/>
      <c r="C20" s="447"/>
      <c r="D20" s="448"/>
      <c r="E20" s="2597"/>
      <c r="F20" s="449"/>
      <c r="G20" s="2596"/>
      <c r="H20" s="448"/>
      <c r="I20" s="2597"/>
      <c r="J20" s="448"/>
      <c r="K20" s="615"/>
      <c r="L20" s="1139"/>
      <c r="M20" s="1130"/>
      <c r="N20" s="1130"/>
      <c r="O20" s="1138"/>
      <c r="P20" s="3218"/>
      <c r="Q20" s="1808"/>
      <c r="R20" s="773"/>
      <c r="S20" s="774"/>
      <c r="T20" s="773"/>
      <c r="U20" s="774"/>
      <c r="V20" s="773"/>
      <c r="W20" s="774"/>
      <c r="X20" s="1811"/>
      <c r="Y20" s="3218"/>
      <c r="Z20" s="1812"/>
      <c r="AA20" s="1809">
        <v>1</v>
      </c>
      <c r="AB20" s="1809">
        <v>1</v>
      </c>
      <c r="AC20" s="1809">
        <v>1</v>
      </c>
    </row>
    <row r="21" spans="1:29" ht="28.5">
      <c r="A21" s="428"/>
      <c r="B21" s="1383" t="s">
        <v>2677</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18"/>
      <c r="Q21" s="1808" t="str">
        <f>B21</f>
        <v>基础设施水平</v>
      </c>
      <c r="R21" s="773" t="s">
        <v>17</v>
      </c>
      <c r="S21" s="774">
        <f>F21</f>
        <v>100</v>
      </c>
      <c r="T21" s="773" t="s">
        <v>17</v>
      </c>
      <c r="U21" s="774">
        <f>H21</f>
        <v>100</v>
      </c>
      <c r="V21" s="773" t="s">
        <v>17</v>
      </c>
      <c r="W21" s="774">
        <f>J21</f>
        <v>100</v>
      </c>
      <c r="X21" s="1811"/>
      <c r="Y21" s="3218"/>
      <c r="Z21" s="1812" t="str">
        <f>Q21</f>
        <v>基础设施水平</v>
      </c>
      <c r="AA21" s="1809">
        <f t="shared" ref="AA21" si="8">D21/F21</f>
        <v>1</v>
      </c>
      <c r="AB21" s="1809">
        <f t="shared" ref="AB21" si="9">D21/H21</f>
        <v>1</v>
      </c>
      <c r="AC21" s="1809">
        <f t="shared" ref="AC21" si="10">D21/J21</f>
        <v>1</v>
      </c>
    </row>
    <row r="22" spans="1:29" ht="15">
      <c r="A22" s="428"/>
      <c r="B22" s="1383"/>
      <c r="C22" s="2600"/>
      <c r="D22" s="448"/>
      <c r="E22" s="447"/>
      <c r="F22" s="449"/>
      <c r="G22" s="447"/>
      <c r="H22" s="448"/>
      <c r="I22" s="447"/>
      <c r="J22" s="448"/>
      <c r="K22" s="1382"/>
      <c r="L22" s="1139"/>
      <c r="M22" s="1130"/>
      <c r="N22" s="1130"/>
      <c r="O22" s="1138"/>
      <c r="P22" s="3218"/>
      <c r="Q22" s="1808"/>
      <c r="R22" s="773"/>
      <c r="S22" s="774"/>
      <c r="T22" s="773"/>
      <c r="U22" s="774"/>
      <c r="V22" s="773"/>
      <c r="W22" s="774"/>
      <c r="X22" s="1811"/>
      <c r="Y22" s="3218"/>
      <c r="Z22" s="1812"/>
      <c r="AA22" s="1809">
        <v>1</v>
      </c>
      <c r="AB22" s="1809">
        <v>1</v>
      </c>
      <c r="AC22" s="1809">
        <v>1</v>
      </c>
    </row>
    <row r="23" spans="1:29" ht="71.25">
      <c r="A23" s="428"/>
      <c r="B23" s="451" t="s">
        <v>2678</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18"/>
      <c r="Q23" s="1808" t="str">
        <f>B23</f>
        <v>环境质量</v>
      </c>
      <c r="R23" s="773" t="s">
        <v>17</v>
      </c>
      <c r="S23" s="774">
        <f>F23</f>
        <v>100</v>
      </c>
      <c r="T23" s="773" t="s">
        <v>17</v>
      </c>
      <c r="U23" s="774">
        <f>H23</f>
        <v>100</v>
      </c>
      <c r="V23" s="773" t="s">
        <v>17</v>
      </c>
      <c r="W23" s="774">
        <f>J23</f>
        <v>100</v>
      </c>
      <c r="X23" s="1811"/>
      <c r="Y23" s="3218"/>
      <c r="Z23" s="1812" t="str">
        <f>Q23</f>
        <v>环境质量</v>
      </c>
      <c r="AA23" s="1809">
        <f t="shared" si="3"/>
        <v>1</v>
      </c>
      <c r="AB23" s="1809">
        <f t="shared" si="4"/>
        <v>1</v>
      </c>
      <c r="AC23" s="1809">
        <f t="shared" si="5"/>
        <v>1</v>
      </c>
    </row>
    <row r="24" spans="1:29" ht="15">
      <c r="A24" s="428"/>
      <c r="B24" s="1383"/>
      <c r="C24" s="447"/>
      <c r="D24" s="448"/>
      <c r="E24" s="2597"/>
      <c r="F24" s="449"/>
      <c r="G24" s="2596"/>
      <c r="H24" s="448"/>
      <c r="I24" s="2597"/>
      <c r="J24" s="448"/>
      <c r="K24" s="615"/>
      <c r="L24" s="1139"/>
      <c r="M24" s="1130"/>
      <c r="N24" s="1130"/>
      <c r="O24" s="1138"/>
      <c r="P24" s="3218"/>
      <c r="Q24" s="1808"/>
      <c r="R24" s="773"/>
      <c r="S24" s="774"/>
      <c r="T24" s="773"/>
      <c r="U24" s="774"/>
      <c r="V24" s="773"/>
      <c r="W24" s="774"/>
      <c r="X24" s="1811"/>
      <c r="Y24" s="3218"/>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18"/>
      <c r="Q25" s="1808">
        <f>B25</f>
        <v>111</v>
      </c>
      <c r="R25" s="773" t="s">
        <v>17</v>
      </c>
      <c r="S25" s="774">
        <f>F25</f>
        <v>100</v>
      </c>
      <c r="T25" s="773" t="s">
        <v>17</v>
      </c>
      <c r="U25" s="774">
        <f>H25</f>
        <v>100</v>
      </c>
      <c r="V25" s="773" t="s">
        <v>17</v>
      </c>
      <c r="W25" s="774">
        <f>J25</f>
        <v>100</v>
      </c>
      <c r="X25" s="1811"/>
      <c r="Y25" s="3218"/>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18"/>
      <c r="Q26" s="1808">
        <f t="shared" ref="Q26:Q40" si="11">B26</f>
        <v>111</v>
      </c>
      <c r="R26" s="773" t="s">
        <v>17</v>
      </c>
      <c r="S26" s="774">
        <f>F26</f>
        <v>100</v>
      </c>
      <c r="T26" s="773" t="s">
        <v>17</v>
      </c>
      <c r="U26" s="774">
        <f>H26</f>
        <v>100</v>
      </c>
      <c r="V26" s="773" t="s">
        <v>17</v>
      </c>
      <c r="W26" s="774">
        <f>J26</f>
        <v>100</v>
      </c>
      <c r="X26" s="1811"/>
      <c r="Y26" s="3218"/>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18"/>
      <c r="Q27" s="1793">
        <f t="shared" si="11"/>
        <v>111</v>
      </c>
      <c r="R27" s="769" t="s">
        <v>17</v>
      </c>
      <c r="S27" s="770">
        <f>F27</f>
        <v>100</v>
      </c>
      <c r="T27" s="769" t="s">
        <v>17</v>
      </c>
      <c r="U27" s="770">
        <f>H27</f>
        <v>100</v>
      </c>
      <c r="V27" s="769" t="s">
        <v>17</v>
      </c>
      <c r="W27" s="770">
        <f>J27</f>
        <v>100</v>
      </c>
      <c r="X27" s="771"/>
      <c r="Y27" s="3218"/>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18"/>
      <c r="Q28" s="1808">
        <f t="shared" si="11"/>
        <v>111</v>
      </c>
      <c r="R28" s="773" t="s">
        <v>17</v>
      </c>
      <c r="S28" s="774">
        <f t="shared" ref="S28:S40" si="12">F28</f>
        <v>100</v>
      </c>
      <c r="T28" s="773" t="s">
        <v>17</v>
      </c>
      <c r="U28" s="774">
        <f t="shared" ref="U28:U40" si="13">H28</f>
        <v>100</v>
      </c>
      <c r="V28" s="773" t="s">
        <v>17</v>
      </c>
      <c r="W28" s="774">
        <f t="shared" ref="W28:W40" si="14">J28</f>
        <v>100</v>
      </c>
      <c r="X28" s="1811"/>
      <c r="Y28" s="3218"/>
      <c r="Z28" s="1812">
        <f t="shared" ref="Z28:Z40" si="15">Q28</f>
        <v>111</v>
      </c>
      <c r="AA28" s="1809">
        <f t="shared" si="3"/>
        <v>1</v>
      </c>
      <c r="AB28" s="1809">
        <f t="shared" si="4"/>
        <v>1</v>
      </c>
      <c r="AC28" s="1809">
        <f t="shared" si="5"/>
        <v>1</v>
      </c>
    </row>
    <row r="29" spans="1:29" ht="28.5">
      <c r="A29" s="466" t="s">
        <v>2551</v>
      </c>
      <c r="B29" s="71" t="s">
        <v>2681</v>
      </c>
      <c r="C29" s="2671"/>
      <c r="D29" s="467">
        <v>100</v>
      </c>
      <c r="E29" s="2671"/>
      <c r="F29" s="461">
        <f>SUMIF(88:88,E29,89:89)-SUMIF(88:88,C29,89:89)+100</f>
        <v>100</v>
      </c>
      <c r="G29" s="2671"/>
      <c r="H29" s="435">
        <f>SUMIF(88:88,G29,89:89)-SUMIF(88:88,C29,89:89)+100</f>
        <v>100</v>
      </c>
      <c r="I29" s="2671"/>
      <c r="J29" s="467">
        <f>SUMIF(88:88,I29,89:89)-SUMIF(88:88,C29,89:89)+100</f>
        <v>100</v>
      </c>
      <c r="K29" s="612"/>
      <c r="L29" s="1139"/>
      <c r="M29" s="1130"/>
      <c r="N29" s="1130"/>
      <c r="O29" s="1138"/>
      <c r="P29" s="3219" t="s">
        <v>2553</v>
      </c>
      <c r="Q29" s="1808" t="str">
        <f t="shared" si="11"/>
        <v>建筑类型</v>
      </c>
      <c r="R29" s="773" t="s">
        <v>17</v>
      </c>
      <c r="S29" s="774">
        <f t="shared" si="12"/>
        <v>100</v>
      </c>
      <c r="T29" s="773" t="s">
        <v>17</v>
      </c>
      <c r="U29" s="774">
        <f t="shared" si="13"/>
        <v>100</v>
      </c>
      <c r="V29" s="773" t="s">
        <v>17</v>
      </c>
      <c r="W29" s="774">
        <f t="shared" si="14"/>
        <v>100</v>
      </c>
      <c r="X29" s="1811"/>
      <c r="Y29" s="3220" t="s">
        <v>2553</v>
      </c>
      <c r="Z29" s="1812" t="str">
        <f t="shared" si="15"/>
        <v>建筑类型</v>
      </c>
      <c r="AA29" s="1809">
        <f t="shared" si="3"/>
        <v>1</v>
      </c>
      <c r="AB29" s="1809">
        <f t="shared" si="4"/>
        <v>1</v>
      </c>
      <c r="AC29" s="1809">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20"/>
      <c r="Q30" s="775" t="str">
        <f t="shared" si="11"/>
        <v>项目建筑规模</v>
      </c>
      <c r="R30" s="776" t="s">
        <v>17</v>
      </c>
      <c r="S30" s="777" t="e">
        <f t="shared" si="12"/>
        <v>#N/A</v>
      </c>
      <c r="T30" s="776" t="s">
        <v>17</v>
      </c>
      <c r="U30" s="777" t="e">
        <f t="shared" si="13"/>
        <v>#N/A</v>
      </c>
      <c r="V30" s="776" t="s">
        <v>17</v>
      </c>
      <c r="W30" s="777" t="e">
        <f t="shared" si="14"/>
        <v>#N/A</v>
      </c>
      <c r="X30" s="778"/>
      <c r="Y30" s="3220"/>
      <c r="Z30" s="779" t="str">
        <f t="shared" si="15"/>
        <v>项目建筑规模</v>
      </c>
      <c r="AA30" s="1809" t="e">
        <f t="shared" si="3"/>
        <v>#N/A</v>
      </c>
      <c r="AB30" s="1809" t="e">
        <f t="shared" si="4"/>
        <v>#N/A</v>
      </c>
      <c r="AC30" s="1809"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20"/>
      <c r="Q31" s="1808" t="str">
        <f t="shared" si="11"/>
        <v>建筑结构</v>
      </c>
      <c r="R31" s="773" t="s">
        <v>17</v>
      </c>
      <c r="S31" s="774">
        <f t="shared" si="12"/>
        <v>100</v>
      </c>
      <c r="T31" s="773" t="s">
        <v>17</v>
      </c>
      <c r="U31" s="774">
        <f t="shared" si="13"/>
        <v>100</v>
      </c>
      <c r="V31" s="773" t="s">
        <v>17</v>
      </c>
      <c r="W31" s="774">
        <f t="shared" si="14"/>
        <v>100</v>
      </c>
      <c r="X31" s="1811"/>
      <c r="Y31" s="3220"/>
      <c r="Z31" s="1812" t="str">
        <f t="shared" si="15"/>
        <v>建筑结构</v>
      </c>
      <c r="AA31" s="1809">
        <f t="shared" si="3"/>
        <v>1</v>
      </c>
      <c r="AB31" s="1809">
        <f t="shared" si="4"/>
        <v>1</v>
      </c>
      <c r="AC31" s="1809">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20"/>
      <c r="Q32" s="1808" t="str">
        <f t="shared" si="11"/>
        <v>公共部分装修</v>
      </c>
      <c r="R32" s="773" t="s">
        <v>17</v>
      </c>
      <c r="S32" s="774">
        <f t="shared" si="12"/>
        <v>100</v>
      </c>
      <c r="T32" s="773" t="s">
        <v>17</v>
      </c>
      <c r="U32" s="774">
        <f t="shared" si="13"/>
        <v>100</v>
      </c>
      <c r="V32" s="773" t="s">
        <v>17</v>
      </c>
      <c r="W32" s="774">
        <f t="shared" si="14"/>
        <v>100</v>
      </c>
      <c r="X32" s="1811"/>
      <c r="Y32" s="3220"/>
      <c r="Z32" s="1812" t="str">
        <f t="shared" si="15"/>
        <v>公共部分装修</v>
      </c>
      <c r="AA32" s="1809">
        <f t="shared" si="3"/>
        <v>1</v>
      </c>
      <c r="AB32" s="1809">
        <f t="shared" si="4"/>
        <v>1</v>
      </c>
      <c r="AC32" s="1809">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20"/>
      <c r="Q33" s="1808" t="str">
        <f t="shared" si="11"/>
        <v>成新度</v>
      </c>
      <c r="R33" s="773" t="s">
        <v>17</v>
      </c>
      <c r="S33" s="774" t="e">
        <f t="shared" si="12"/>
        <v>#N/A</v>
      </c>
      <c r="T33" s="773" t="s">
        <v>17</v>
      </c>
      <c r="U33" s="774" t="e">
        <f t="shared" si="13"/>
        <v>#N/A</v>
      </c>
      <c r="V33" s="773" t="s">
        <v>17</v>
      </c>
      <c r="W33" s="774" t="e">
        <f t="shared" si="14"/>
        <v>#N/A</v>
      </c>
      <c r="X33" s="1811"/>
      <c r="Y33" s="3220"/>
      <c r="Z33" s="1812" t="str">
        <f t="shared" si="15"/>
        <v>成新度</v>
      </c>
      <c r="AA33" s="1809" t="e">
        <f t="shared" si="3"/>
        <v>#N/A</v>
      </c>
      <c r="AB33" s="1809" t="e">
        <f t="shared" si="4"/>
        <v>#N/A</v>
      </c>
      <c r="AC33" s="1809"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20"/>
      <c r="Q34" s="1793" t="str">
        <f t="shared" si="11"/>
        <v>物业管理</v>
      </c>
      <c r="R34" s="769" t="s">
        <v>17</v>
      </c>
      <c r="S34" s="770">
        <f t="shared" si="12"/>
        <v>100</v>
      </c>
      <c r="T34" s="769" t="s">
        <v>17</v>
      </c>
      <c r="U34" s="770">
        <f t="shared" si="13"/>
        <v>100</v>
      </c>
      <c r="V34" s="769" t="s">
        <v>17</v>
      </c>
      <c r="W34" s="770">
        <f t="shared" si="14"/>
        <v>100</v>
      </c>
      <c r="X34" s="771"/>
      <c r="Y34" s="3220"/>
      <c r="Z34" s="55" t="str">
        <f t="shared" si="15"/>
        <v>物业管理</v>
      </c>
      <c r="AA34" s="772">
        <f t="shared" si="3"/>
        <v>1</v>
      </c>
      <c r="AB34" s="772">
        <f t="shared" si="4"/>
        <v>1</v>
      </c>
      <c r="AC34" s="772">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20" t="s">
        <v>2553</v>
      </c>
      <c r="Q35" s="1808" t="str">
        <f t="shared" si="11"/>
        <v>市政基础设施</v>
      </c>
      <c r="R35" s="773" t="s">
        <v>17</v>
      </c>
      <c r="S35" s="774">
        <f t="shared" si="12"/>
        <v>100</v>
      </c>
      <c r="T35" s="773" t="s">
        <v>17</v>
      </c>
      <c r="U35" s="774">
        <f t="shared" si="13"/>
        <v>100</v>
      </c>
      <c r="V35" s="773" t="s">
        <v>17</v>
      </c>
      <c r="W35" s="774">
        <f t="shared" si="14"/>
        <v>100</v>
      </c>
      <c r="X35" s="1811"/>
      <c r="Y35" s="3220" t="s">
        <v>2553</v>
      </c>
      <c r="Z35" s="1812" t="str">
        <f t="shared" si="15"/>
        <v>市政基础设施</v>
      </c>
      <c r="AA35" s="1809">
        <f t="shared" si="3"/>
        <v>1</v>
      </c>
      <c r="AB35" s="1809">
        <f t="shared" si="4"/>
        <v>1</v>
      </c>
      <c r="AC35" s="1809">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20"/>
      <c r="Q36" s="1808" t="str">
        <f t="shared" si="11"/>
        <v>内部装修</v>
      </c>
      <c r="R36" s="773" t="s">
        <v>17</v>
      </c>
      <c r="S36" s="774">
        <f t="shared" si="12"/>
        <v>100</v>
      </c>
      <c r="T36" s="773" t="s">
        <v>17</v>
      </c>
      <c r="U36" s="774">
        <f t="shared" si="13"/>
        <v>100</v>
      </c>
      <c r="V36" s="773" t="s">
        <v>17</v>
      </c>
      <c r="W36" s="774">
        <f t="shared" si="14"/>
        <v>100</v>
      </c>
      <c r="X36" s="1811"/>
      <c r="Y36" s="3220"/>
      <c r="Z36" s="1812" t="str">
        <f t="shared" si="15"/>
        <v>内部装修</v>
      </c>
      <c r="AA36" s="1809">
        <f t="shared" si="3"/>
        <v>1</v>
      </c>
      <c r="AB36" s="1809">
        <f t="shared" si="4"/>
        <v>1</v>
      </c>
      <c r="AC36" s="1809">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20"/>
      <c r="Q37" s="1808" t="str">
        <f t="shared" si="11"/>
        <v>内部装修状况</v>
      </c>
      <c r="R37" s="773" t="s">
        <v>17</v>
      </c>
      <c r="S37" s="774">
        <f t="shared" si="12"/>
        <v>100</v>
      </c>
      <c r="T37" s="773" t="s">
        <v>17</v>
      </c>
      <c r="U37" s="774">
        <f t="shared" si="13"/>
        <v>100</v>
      </c>
      <c r="V37" s="773" t="s">
        <v>17</v>
      </c>
      <c r="W37" s="774">
        <f t="shared" si="14"/>
        <v>100</v>
      </c>
      <c r="X37" s="1811"/>
      <c r="Y37" s="3220"/>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20"/>
      <c r="Q38" s="775">
        <f t="shared" si="11"/>
        <v>111</v>
      </c>
      <c r="R38" s="776" t="s">
        <v>17</v>
      </c>
      <c r="S38" s="777">
        <f t="shared" si="12"/>
        <v>100</v>
      </c>
      <c r="T38" s="776" t="s">
        <v>17</v>
      </c>
      <c r="U38" s="777">
        <f t="shared" si="13"/>
        <v>100</v>
      </c>
      <c r="V38" s="776" t="s">
        <v>17</v>
      </c>
      <c r="W38" s="777">
        <f t="shared" si="14"/>
        <v>100</v>
      </c>
      <c r="X38" s="778"/>
      <c r="Y38" s="3220"/>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20"/>
      <c r="Q39" s="1808">
        <f t="shared" si="11"/>
        <v>111</v>
      </c>
      <c r="R39" s="773" t="s">
        <v>17</v>
      </c>
      <c r="S39" s="774">
        <f t="shared" si="12"/>
        <v>100</v>
      </c>
      <c r="T39" s="773" t="s">
        <v>17</v>
      </c>
      <c r="U39" s="774">
        <f t="shared" si="13"/>
        <v>100</v>
      </c>
      <c r="V39" s="773" t="s">
        <v>17</v>
      </c>
      <c r="W39" s="774">
        <f t="shared" si="14"/>
        <v>100</v>
      </c>
      <c r="X39" s="1811"/>
      <c r="Y39" s="3220"/>
      <c r="Z39" s="1812">
        <f t="shared" si="15"/>
        <v>111</v>
      </c>
      <c r="AA39" s="1809">
        <f t="shared" si="3"/>
        <v>1</v>
      </c>
      <c r="AB39" s="1809">
        <f t="shared" si="4"/>
        <v>1</v>
      </c>
      <c r="AC39" s="1809">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56"/>
      <c r="Q40" s="1808">
        <f t="shared" si="11"/>
        <v>111</v>
      </c>
      <c r="R40" s="773" t="s">
        <v>17</v>
      </c>
      <c r="S40" s="774">
        <f t="shared" si="12"/>
        <v>100</v>
      </c>
      <c r="T40" s="773" t="s">
        <v>17</v>
      </c>
      <c r="U40" s="774">
        <f t="shared" si="13"/>
        <v>100</v>
      </c>
      <c r="V40" s="773" t="s">
        <v>17</v>
      </c>
      <c r="W40" s="774">
        <f t="shared" si="14"/>
        <v>100</v>
      </c>
      <c r="X40" s="1811"/>
      <c r="Y40" s="3256"/>
      <c r="Z40" s="1812">
        <f t="shared" si="15"/>
        <v>111</v>
      </c>
      <c r="AA40" s="1809">
        <f t="shared" si="3"/>
        <v>1</v>
      </c>
      <c r="AB40" s="1809">
        <f t="shared" si="4"/>
        <v>1</v>
      </c>
      <c r="AC40" s="1809">
        <f t="shared" si="5"/>
        <v>1</v>
      </c>
    </row>
    <row r="41" spans="1:29" ht="15">
      <c r="A41" s="479" t="s">
        <v>2565</v>
      </c>
      <c r="B41" s="480"/>
      <c r="C41" s="1406" t="s">
        <v>1</v>
      </c>
      <c r="D41" s="1407"/>
      <c r="E41" s="1408"/>
      <c r="F41" s="1409"/>
      <c r="G41" s="1410"/>
      <c r="H41" s="1411"/>
      <c r="I41" s="1408"/>
      <c r="J41" s="1411"/>
      <c r="K41" s="782"/>
      <c r="L41" s="1142"/>
      <c r="M41" s="1143"/>
      <c r="N41" s="1130"/>
      <c r="O41" s="1143"/>
      <c r="P41" s="3215" t="str">
        <f>A41</f>
        <v>成交单价（元/平方米）</v>
      </c>
      <c r="Q41" s="3215"/>
      <c r="R41" s="3252">
        <f>E41</f>
        <v>0</v>
      </c>
      <c r="S41" s="3252"/>
      <c r="T41" s="3252">
        <f>G41</f>
        <v>0</v>
      </c>
      <c r="U41" s="3252"/>
      <c r="V41" s="3252">
        <f>I41</f>
        <v>0</v>
      </c>
      <c r="W41" s="3252"/>
      <c r="X41" s="758"/>
      <c r="Y41" s="780"/>
      <c r="Z41" s="758"/>
      <c r="AA41" s="758"/>
      <c r="AB41" s="758"/>
      <c r="AC41" s="758"/>
    </row>
    <row r="42" spans="1:29" ht="15.75" thickBot="1">
      <c r="A42" s="486" t="s">
        <v>2657</v>
      </c>
      <c r="B42" s="487"/>
      <c r="C42" s="1412" t="e">
        <f>R43</f>
        <v>#DIV/0!</v>
      </c>
      <c r="D42" s="1413"/>
      <c r="E42" s="1414" t="e">
        <f>R42</f>
        <v>#DIV/0!</v>
      </c>
      <c r="F42" s="1414"/>
      <c r="G42" s="1412" t="e">
        <f>T42</f>
        <v>#DIV/0!</v>
      </c>
      <c r="H42" s="1413"/>
      <c r="I42" s="1414" t="e">
        <f>V42</f>
        <v>#DIV/0!</v>
      </c>
      <c r="J42" s="1413"/>
      <c r="K42" s="783"/>
      <c r="L42" s="1142"/>
      <c r="M42" s="1143"/>
      <c r="N42" s="1130"/>
      <c r="O42" s="1143"/>
      <c r="P42" s="3215" t="str">
        <f>A42</f>
        <v>比较价值（元/平方米）</v>
      </c>
      <c r="Q42" s="3215"/>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8"/>
      <c r="Y42" s="758"/>
      <c r="Z42" s="758"/>
      <c r="AA42" s="758"/>
      <c r="AB42" s="758"/>
      <c r="AC42" s="758"/>
    </row>
    <row r="43" spans="1:29" ht="15.75" thickBot="1">
      <c r="A43" s="492" t="s">
        <v>2658</v>
      </c>
      <c r="B43" s="493"/>
      <c r="C43" s="1416" t="e">
        <f>R43</f>
        <v>#DIV/0!</v>
      </c>
      <c r="D43" s="1416"/>
      <c r="E43" s="1416"/>
      <c r="F43" s="1416"/>
      <c r="G43" s="1416"/>
      <c r="H43" s="1416"/>
      <c r="I43" s="1416"/>
      <c r="J43" s="1416"/>
      <c r="K43" s="784"/>
      <c r="L43" s="1142"/>
      <c r="M43" s="1143"/>
      <c r="N43" s="1143"/>
      <c r="O43" s="1143"/>
      <c r="P43" s="3209" t="str">
        <f>A43</f>
        <v>估价对象XX用房的比较价值（楼面单价，元/平方米）</v>
      </c>
      <c r="Q43" s="3210"/>
      <c r="R43" s="3251" t="e">
        <f>IF(F1="售价",ROUND(AVERAGE(R42:V42),0),ROUND(AVERAGE(R42:V42),1))</f>
        <v>#DIV/0!</v>
      </c>
      <c r="S43" s="3251"/>
      <c r="T43" s="3251"/>
      <c r="U43" s="3251"/>
      <c r="V43" s="3251"/>
      <c r="W43" s="3251"/>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2662</v>
      </c>
      <c r="B51" s="758"/>
      <c r="C51" s="763"/>
      <c r="D51" s="763"/>
      <c r="E51" s="763"/>
      <c r="F51" s="764"/>
      <c r="G51" s="764"/>
      <c r="H51" s="763"/>
      <c r="I51" s="763"/>
      <c r="J51" s="763"/>
      <c r="K51" s="1159"/>
      <c r="L51" s="1160"/>
      <c r="M51" s="1158"/>
      <c r="N51" s="1158"/>
      <c r="O51" s="1158"/>
      <c r="P51" s="503"/>
      <c r="Q51" s="504"/>
    </row>
    <row r="52" spans="1:17" s="508" customFormat="1" ht="15">
      <c r="A52" s="505" t="s">
        <v>2536</v>
      </c>
      <c r="B52" s="506"/>
      <c r="C52" s="1572" t="str">
        <f>YEAR(C7)&amp;"-"&amp;MONTH(C7)</f>
        <v>2019-6</v>
      </c>
      <c r="D52" s="1573">
        <f>EDATE(C52,-1)</f>
        <v>43586</v>
      </c>
      <c r="E52" s="1573">
        <f t="shared" ref="E52:O52" si="16">EDATE(D52,-1)</f>
        <v>43556</v>
      </c>
      <c r="F52" s="1573">
        <f t="shared" si="16"/>
        <v>43525</v>
      </c>
      <c r="G52" s="1573">
        <f t="shared" si="16"/>
        <v>43497</v>
      </c>
      <c r="H52" s="1573">
        <f t="shared" si="16"/>
        <v>43466</v>
      </c>
      <c r="I52" s="1573">
        <f t="shared" si="16"/>
        <v>43435</v>
      </c>
      <c r="J52" s="1573">
        <f t="shared" si="16"/>
        <v>43405</v>
      </c>
      <c r="K52" s="1573">
        <f t="shared" si="16"/>
        <v>43374</v>
      </c>
      <c r="L52" s="1573">
        <f t="shared" si="16"/>
        <v>43344</v>
      </c>
      <c r="M52" s="1573">
        <f t="shared" si="16"/>
        <v>43313</v>
      </c>
      <c r="N52" s="1573">
        <f t="shared" si="16"/>
        <v>43282</v>
      </c>
      <c r="O52" s="1573">
        <f t="shared" si="16"/>
        <v>43252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2576</v>
      </c>
      <c r="B57" s="528" t="s">
        <v>2542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8"/>
      <c r="B87" s="569"/>
      <c r="C87" s="570"/>
      <c r="D87" s="570"/>
      <c r="E87" s="570"/>
      <c r="F87" s="570"/>
      <c r="G87" s="591"/>
      <c r="H87" s="591"/>
      <c r="I87" s="591"/>
      <c r="J87" s="591"/>
      <c r="K87" s="591"/>
      <c r="L87" s="591"/>
      <c r="M87" s="592"/>
      <c r="N87" s="1152"/>
      <c r="O87" s="1152"/>
      <c r="P87" s="45"/>
      <c r="Q87" s="504"/>
    </row>
    <row r="88" spans="1:17">
      <c r="A88" s="527" t="s">
        <v>2551</v>
      </c>
      <c r="B88" s="528" t="s">
        <v>2600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2695</v>
      </c>
      <c r="B1" s="1617"/>
      <c r="C1" s="1618" t="s">
        <v>2518</v>
      </c>
      <c r="D1" s="1619"/>
      <c r="E1" s="1620"/>
      <c r="F1" s="2576"/>
      <c r="G1" s="1621" t="s">
        <v>2631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7" t="e">
        <f ca="1">IF(C2="——",IF(B37="元/平方米",ROUND(C39*D3/10000,0),ROUND(F3*C39/10000,0)),IF(B37="元/平方米",ROUND(C39*D3/10000,0),ROUND(F3*C39/10000,0))-D2)</f>
        <v>#DIV/0!</v>
      </c>
      <c r="C2" s="2578"/>
      <c r="D2" s="1123" t="e">
        <f ca="1">SUMIF(INDIRECT("'"&amp;F2&amp;"'"&amp;"!A:A"),"承租人权益价值",INDIRECT("'"&amp;F2&amp;"'"&amp;"!c:c"))</f>
        <v>#REF!</v>
      </c>
      <c r="E2" s="2579" t="s">
        <v>2319</v>
      </c>
      <c r="F2" s="2580"/>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2632</v>
      </c>
      <c r="D3" s="399">
        <f>SUMIF('数据-汇总表'!$C19:$C33,D1,'数据-汇总表'!$E19:$E33)</f>
        <v>0</v>
      </c>
      <c r="E3" s="400" t="s">
        <v>2696</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2633</v>
      </c>
      <c r="B4" s="402"/>
      <c r="C4" s="3212" t="s">
        <v>2634</v>
      </c>
      <c r="D4" s="3225"/>
      <c r="E4" s="3226" t="s">
        <v>2635</v>
      </c>
      <c r="F4" s="3227"/>
      <c r="G4" s="3212" t="s">
        <v>2636</v>
      </c>
      <c r="H4" s="3225"/>
      <c r="I4" s="3212" t="s">
        <v>2637</v>
      </c>
      <c r="J4" s="3225"/>
      <c r="K4" s="610" t="s">
        <v>2638</v>
      </c>
      <c r="L4" s="1129"/>
      <c r="M4" s="1130"/>
      <c r="N4" s="1130"/>
      <c r="O4" s="1130"/>
      <c r="P4" s="3228" t="s">
        <v>2639</v>
      </c>
      <c r="Q4" s="3229"/>
      <c r="R4" s="3234" t="s">
        <v>2635</v>
      </c>
      <c r="S4" s="3235"/>
      <c r="T4" s="3234" t="s">
        <v>2636</v>
      </c>
      <c r="U4" s="3235"/>
      <c r="V4" s="3221" t="s">
        <v>2637</v>
      </c>
      <c r="W4" s="3221"/>
      <c r="X4" s="1811"/>
      <c r="Y4" s="3234" t="s">
        <v>2639</v>
      </c>
      <c r="Z4" s="3235"/>
      <c r="AA4" s="3222" t="s">
        <v>2635</v>
      </c>
      <c r="AB4" s="3223" t="s">
        <v>2636</v>
      </c>
      <c r="AC4" s="3222" t="s">
        <v>2637</v>
      </c>
    </row>
    <row r="5" spans="1:29" ht="15">
      <c r="A5" s="404"/>
      <c r="B5" s="405"/>
      <c r="C5" s="3242" t="s">
        <v>2530</v>
      </c>
      <c r="D5" s="3243"/>
      <c r="E5" s="3249" t="s">
        <v>2531</v>
      </c>
      <c r="F5" s="3250"/>
      <c r="G5" s="3242" t="s">
        <v>2532</v>
      </c>
      <c r="H5" s="3243"/>
      <c r="I5" s="3242" t="s">
        <v>2533</v>
      </c>
      <c r="J5" s="3243"/>
      <c r="K5" s="610"/>
      <c r="L5" s="1129"/>
      <c r="M5" s="1130"/>
      <c r="N5" s="1130"/>
      <c r="O5" s="1130"/>
      <c r="P5" s="3230"/>
      <c r="Q5" s="3231"/>
      <c r="R5" s="3236"/>
      <c r="S5" s="3237"/>
      <c r="T5" s="3236"/>
      <c r="U5" s="3237"/>
      <c r="V5" s="3221"/>
      <c r="W5" s="3221"/>
      <c r="X5" s="1811"/>
      <c r="Y5" s="3236"/>
      <c r="Z5" s="3237"/>
      <c r="AA5" s="3223"/>
      <c r="AB5" s="3223"/>
      <c r="AC5" s="3223"/>
    </row>
    <row r="6" spans="1:29" ht="15.75" thickBot="1">
      <c r="A6" s="406"/>
      <c r="B6" s="407"/>
      <c r="C6" s="3240" t="s">
        <v>2534</v>
      </c>
      <c r="D6" s="3241"/>
      <c r="E6" s="3247" t="s">
        <v>2534</v>
      </c>
      <c r="F6" s="3248"/>
      <c r="G6" s="3240" t="s">
        <v>2534</v>
      </c>
      <c r="H6" s="3241"/>
      <c r="I6" s="3240" t="s">
        <v>2534</v>
      </c>
      <c r="J6" s="3241"/>
      <c r="K6" s="610" t="s">
        <v>2535</v>
      </c>
      <c r="L6" s="1129"/>
      <c r="M6" s="1130"/>
      <c r="N6" s="1130"/>
      <c r="O6" s="1130"/>
      <c r="P6" s="3232"/>
      <c r="Q6" s="3233"/>
      <c r="R6" s="3236"/>
      <c r="S6" s="3237"/>
      <c r="T6" s="3238"/>
      <c r="U6" s="3239"/>
      <c r="V6" s="3221"/>
      <c r="W6" s="3221"/>
      <c r="X6" s="1811"/>
      <c r="Y6" s="3238"/>
      <c r="Z6" s="3239"/>
      <c r="AA6" s="3224"/>
      <c r="AB6" s="3224"/>
      <c r="AC6" s="3224"/>
    </row>
    <row r="7" spans="1:29" s="117" customFormat="1" ht="15.75" thickBot="1">
      <c r="A7" s="408" t="s">
        <v>2536</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44" t="s">
        <v>2537</v>
      </c>
      <c r="Q7" s="3246"/>
      <c r="R7" s="769" t="s">
        <v>17</v>
      </c>
      <c r="S7" s="770">
        <f t="shared" ref="S7:S14" si="0">F7</f>
        <v>0</v>
      </c>
      <c r="T7" s="769" t="s">
        <v>17</v>
      </c>
      <c r="U7" s="770">
        <f t="shared" ref="U7:U14" si="1">H7</f>
        <v>0</v>
      </c>
      <c r="V7" s="769" t="s">
        <v>17</v>
      </c>
      <c r="W7" s="770">
        <f t="shared" ref="W7:W14" si="2">J7</f>
        <v>0</v>
      </c>
      <c r="X7" s="771"/>
      <c r="Y7" s="3244" t="s">
        <v>2537</v>
      </c>
      <c r="Z7" s="3245"/>
      <c r="AA7" s="772" t="e">
        <f>D7/F7</f>
        <v>#DIV/0!</v>
      </c>
      <c r="AB7" s="772" t="e">
        <f>D7/H7</f>
        <v>#DIV/0!</v>
      </c>
      <c r="AC7" s="772"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44" t="s">
        <v>2540</v>
      </c>
      <c r="Q8" s="3245"/>
      <c r="R8" s="769" t="s">
        <v>17</v>
      </c>
      <c r="S8" s="770">
        <f t="shared" si="0"/>
        <v>0</v>
      </c>
      <c r="T8" s="769" t="s">
        <v>17</v>
      </c>
      <c r="U8" s="770">
        <f t="shared" si="1"/>
        <v>0</v>
      </c>
      <c r="V8" s="769" t="s">
        <v>17</v>
      </c>
      <c r="W8" s="770">
        <f t="shared" si="2"/>
        <v>0</v>
      </c>
      <c r="X8" s="771"/>
      <c r="Y8" s="3244" t="s">
        <v>2540</v>
      </c>
      <c r="Z8" s="3245"/>
      <c r="AA8" s="772" t="e">
        <f t="shared" ref="AA8:AA36" si="3">D8/F8</f>
        <v>#DIV/0!</v>
      </c>
      <c r="AB8" s="772" t="e">
        <f t="shared" ref="AB8:AB36" si="4">D8/H8</f>
        <v>#DIV/0!</v>
      </c>
      <c r="AC8" s="772"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15" t="s">
        <v>2543</v>
      </c>
      <c r="Q9" s="1793" t="str">
        <f t="shared" ref="Q9:Q14" si="6">B9</f>
        <v>用途</v>
      </c>
      <c r="R9" s="769" t="s">
        <v>17</v>
      </c>
      <c r="S9" s="770">
        <f t="shared" si="0"/>
        <v>100</v>
      </c>
      <c r="T9" s="769" t="s">
        <v>17</v>
      </c>
      <c r="U9" s="770">
        <f t="shared" si="1"/>
        <v>100</v>
      </c>
      <c r="V9" s="769" t="s">
        <v>17</v>
      </c>
      <c r="W9" s="770">
        <f t="shared" si="2"/>
        <v>100</v>
      </c>
      <c r="X9" s="771"/>
      <c r="Y9" s="3043" t="s">
        <v>2544</v>
      </c>
      <c r="Z9" s="55" t="str">
        <f t="shared" ref="Z9:Z14" si="7">Q9</f>
        <v>用途</v>
      </c>
      <c r="AA9" s="772">
        <f t="shared" si="3"/>
        <v>1</v>
      </c>
      <c r="AB9" s="772">
        <f t="shared" si="4"/>
        <v>1</v>
      </c>
      <c r="AC9" s="772">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15"/>
      <c r="Q10" s="1793" t="str">
        <f t="shared" si="6"/>
        <v>土地使用年限（年）</v>
      </c>
      <c r="R10" s="769" t="s">
        <v>17</v>
      </c>
      <c r="S10" s="770">
        <f t="shared" si="0"/>
        <v>100</v>
      </c>
      <c r="T10" s="769" t="s">
        <v>17</v>
      </c>
      <c r="U10" s="770">
        <f t="shared" si="1"/>
        <v>100</v>
      </c>
      <c r="V10" s="769" t="s">
        <v>17</v>
      </c>
      <c r="W10" s="770">
        <f t="shared" si="2"/>
        <v>100</v>
      </c>
      <c r="X10" s="771"/>
      <c r="Y10" s="3043"/>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15"/>
      <c r="Q11" s="1793">
        <f t="shared" si="6"/>
        <v>111</v>
      </c>
      <c r="R11" s="769" t="s">
        <v>17</v>
      </c>
      <c r="S11" s="770">
        <f t="shared" si="0"/>
        <v>100</v>
      </c>
      <c r="T11" s="769" t="s">
        <v>17</v>
      </c>
      <c r="U11" s="770">
        <f t="shared" si="1"/>
        <v>100</v>
      </c>
      <c r="V11" s="769" t="s">
        <v>17</v>
      </c>
      <c r="W11" s="770">
        <f t="shared" si="2"/>
        <v>100</v>
      </c>
      <c r="X11" s="771"/>
      <c r="Y11" s="3043"/>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15"/>
      <c r="Q12" s="1793">
        <f t="shared" si="6"/>
        <v>111</v>
      </c>
      <c r="R12" s="769" t="s">
        <v>17</v>
      </c>
      <c r="S12" s="770">
        <f t="shared" si="0"/>
        <v>100</v>
      </c>
      <c r="T12" s="769" t="s">
        <v>17</v>
      </c>
      <c r="U12" s="770">
        <f t="shared" si="1"/>
        <v>100</v>
      </c>
      <c r="V12" s="769" t="s">
        <v>17</v>
      </c>
      <c r="W12" s="770">
        <f t="shared" si="2"/>
        <v>100</v>
      </c>
      <c r="X12" s="771"/>
      <c r="Y12" s="3043"/>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15"/>
      <c r="Q13" s="1793">
        <f t="shared" si="6"/>
        <v>111</v>
      </c>
      <c r="R13" s="769" t="s">
        <v>17</v>
      </c>
      <c r="S13" s="770">
        <f t="shared" si="0"/>
        <v>100</v>
      </c>
      <c r="T13" s="769" t="s">
        <v>17</v>
      </c>
      <c r="U13" s="770">
        <f t="shared" si="1"/>
        <v>100</v>
      </c>
      <c r="V13" s="769" t="s">
        <v>17</v>
      </c>
      <c r="W13" s="770">
        <f t="shared" si="2"/>
        <v>100</v>
      </c>
      <c r="X13" s="771"/>
      <c r="Y13" s="3043"/>
      <c r="Z13" s="55">
        <f t="shared" si="7"/>
        <v>111</v>
      </c>
      <c r="AA13" s="772">
        <f t="shared" si="3"/>
        <v>1</v>
      </c>
      <c r="AB13" s="772">
        <f t="shared" si="4"/>
        <v>1</v>
      </c>
      <c r="AC13" s="772">
        <f t="shared" si="5"/>
        <v>1</v>
      </c>
    </row>
    <row r="14" spans="1:29" ht="15">
      <c r="A14" s="401" t="s">
        <v>2547</v>
      </c>
      <c r="B14" s="629" t="s">
        <v>2697</v>
      </c>
      <c r="C14" s="2685" t="str">
        <f>IF(B1="工业",估价对象房地状况!G4,估价对象房地状况!C6)</f>
        <v>估价对象邻近昆磨高速，公共交通线路较少，路网密集度一般，停车便捷程度较好，综合评价交通便捷度一般。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17" t="s">
        <v>2548</v>
      </c>
      <c r="Q14" s="1808" t="str">
        <f t="shared" si="6"/>
        <v>交通便捷度</v>
      </c>
      <c r="R14" s="773" t="s">
        <v>17</v>
      </c>
      <c r="S14" s="774">
        <f t="shared" si="0"/>
        <v>100</v>
      </c>
      <c r="T14" s="773" t="s">
        <v>17</v>
      </c>
      <c r="U14" s="774">
        <f t="shared" si="1"/>
        <v>100</v>
      </c>
      <c r="V14" s="773" t="s">
        <v>17</v>
      </c>
      <c r="W14" s="774">
        <f t="shared" si="2"/>
        <v>100</v>
      </c>
      <c r="X14" s="1811"/>
      <c r="Y14" s="3217" t="s">
        <v>2548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18"/>
      <c r="Q15" s="1808"/>
      <c r="R15" s="773"/>
      <c r="S15" s="774"/>
      <c r="T15" s="773"/>
      <c r="U15" s="774"/>
      <c r="V15" s="773"/>
      <c r="W15" s="774"/>
      <c r="X15" s="1811"/>
      <c r="Y15" s="3218"/>
      <c r="Z15" s="1812"/>
      <c r="AA15" s="1809">
        <v>1</v>
      </c>
      <c r="AB15" s="1809">
        <v>1</v>
      </c>
      <c r="AC15" s="1809">
        <v>1</v>
      </c>
    </row>
    <row r="16" spans="1:29" ht="42.75">
      <c r="A16" s="404"/>
      <c r="B16" s="631" t="s">
        <v>2676</v>
      </c>
      <c r="C16" s="2599" t="str">
        <f>IF(B1="工业",估价对象房地状况!G5,估价对象房地状况!C7)</f>
        <v>估价对象所在区域公共配套设施齐备情况较差。</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18"/>
      <c r="Q16" s="1808" t="str">
        <f>B16</f>
        <v>公共配套设施</v>
      </c>
      <c r="R16" s="773" t="s">
        <v>17</v>
      </c>
      <c r="S16" s="774">
        <f>F16</f>
        <v>100</v>
      </c>
      <c r="T16" s="773" t="s">
        <v>17</v>
      </c>
      <c r="U16" s="774">
        <f>H16</f>
        <v>100</v>
      </c>
      <c r="V16" s="773" t="s">
        <v>17</v>
      </c>
      <c r="W16" s="774">
        <f>J16</f>
        <v>100</v>
      </c>
      <c r="X16" s="1811"/>
      <c r="Y16" s="3218"/>
      <c r="Z16" s="1812" t="str">
        <f>Q16</f>
        <v>公共配套设施</v>
      </c>
      <c r="AA16" s="1809">
        <f t="shared" si="3"/>
        <v>1</v>
      </c>
      <c r="AB16" s="1809">
        <f t="shared" si="4"/>
        <v>1</v>
      </c>
      <c r="AC16" s="1809">
        <f t="shared" si="5"/>
        <v>1</v>
      </c>
    </row>
    <row r="17" spans="1:29" ht="15">
      <c r="A17" s="404"/>
      <c r="B17" s="632"/>
      <c r="C17" s="2600"/>
      <c r="D17" s="448"/>
      <c r="E17" s="447"/>
      <c r="F17" s="449"/>
      <c r="G17" s="447"/>
      <c r="H17" s="448"/>
      <c r="I17" s="447"/>
      <c r="J17" s="448"/>
      <c r="K17" s="615"/>
      <c r="L17" s="1139"/>
      <c r="M17" s="1130"/>
      <c r="N17" s="1130"/>
      <c r="O17" s="1130"/>
      <c r="P17" s="3218"/>
      <c r="Q17" s="1808"/>
      <c r="R17" s="773"/>
      <c r="S17" s="774"/>
      <c r="T17" s="773"/>
      <c r="U17" s="774"/>
      <c r="V17" s="773"/>
      <c r="W17" s="774"/>
      <c r="X17" s="1811"/>
      <c r="Y17" s="3218"/>
      <c r="Z17" s="1812"/>
      <c r="AA17" s="1809">
        <v>1</v>
      </c>
      <c r="AB17" s="1809">
        <v>1</v>
      </c>
      <c r="AC17" s="1809">
        <v>1</v>
      </c>
    </row>
    <row r="18" spans="1:29" ht="42.75">
      <c r="A18" s="404"/>
      <c r="B18" s="633" t="s">
        <v>2677</v>
      </c>
      <c r="C18" s="2599"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18"/>
      <c r="Q18" s="1808" t="str">
        <f>B18</f>
        <v>基础设施水平</v>
      </c>
      <c r="R18" s="773" t="s">
        <v>17</v>
      </c>
      <c r="S18" s="774">
        <f>F18</f>
        <v>100</v>
      </c>
      <c r="T18" s="773" t="s">
        <v>17</v>
      </c>
      <c r="U18" s="774">
        <f>H18</f>
        <v>100</v>
      </c>
      <c r="V18" s="773" t="s">
        <v>17</v>
      </c>
      <c r="W18" s="774">
        <f>J18</f>
        <v>100</v>
      </c>
      <c r="X18" s="1811"/>
      <c r="Y18" s="3218"/>
      <c r="Z18" s="1812" t="str">
        <f>Q18</f>
        <v>基础设施水平</v>
      </c>
      <c r="AA18" s="1809">
        <f t="shared" ref="AA18" si="8">D18/F18</f>
        <v>1</v>
      </c>
      <c r="AB18" s="1809">
        <f t="shared" ref="AB18" si="9">D18/H18</f>
        <v>1</v>
      </c>
      <c r="AC18" s="1809">
        <f t="shared" ref="AC18" si="10">D18/J18</f>
        <v>1</v>
      </c>
    </row>
    <row r="19" spans="1:29" ht="15">
      <c r="A19" s="404"/>
      <c r="B19" s="633"/>
      <c r="C19" s="2600"/>
      <c r="D19" s="450"/>
      <c r="E19" s="2600"/>
      <c r="F19" s="453"/>
      <c r="G19" s="2600"/>
      <c r="H19" s="448"/>
      <c r="I19" s="447"/>
      <c r="J19" s="448"/>
      <c r="K19" s="1382"/>
      <c r="L19" s="1139"/>
      <c r="M19" s="1130"/>
      <c r="N19" s="1130"/>
      <c r="O19" s="1130"/>
      <c r="P19" s="3218"/>
      <c r="Q19" s="1808"/>
      <c r="R19" s="773"/>
      <c r="S19" s="774"/>
      <c r="T19" s="773"/>
      <c r="U19" s="774"/>
      <c r="V19" s="773"/>
      <c r="W19" s="774"/>
      <c r="X19" s="1811"/>
      <c r="Y19" s="3218"/>
      <c r="Z19" s="1812"/>
      <c r="AA19" s="1809">
        <v>1</v>
      </c>
      <c r="AB19" s="1809">
        <v>1</v>
      </c>
      <c r="AC19" s="1809">
        <v>1</v>
      </c>
    </row>
    <row r="20" spans="1:29" ht="57">
      <c r="A20" s="404"/>
      <c r="B20" s="631" t="s">
        <v>2698</v>
      </c>
      <c r="C20" s="2599" t="str">
        <f>IF(B1="工业",估价对象房地状况!G7,估价对象房地状况!C9)</f>
        <v>估价对象所在区域无公园等自然环境设施，自然环境较差；所在区域无博物馆等人文设施，人文设施较差，综合评价自然及人文环境状况较差。</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18"/>
      <c r="Q20" s="1808" t="str">
        <f>B20</f>
        <v>自然及人文环境</v>
      </c>
      <c r="R20" s="773" t="s">
        <v>17</v>
      </c>
      <c r="S20" s="774">
        <f>F20</f>
        <v>100</v>
      </c>
      <c r="T20" s="773" t="s">
        <v>17</v>
      </c>
      <c r="U20" s="774">
        <f>H20</f>
        <v>100</v>
      </c>
      <c r="V20" s="773" t="s">
        <v>17</v>
      </c>
      <c r="W20" s="774">
        <f>J20</f>
        <v>100</v>
      </c>
      <c r="X20" s="1811"/>
      <c r="Y20" s="3218"/>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18"/>
      <c r="Q21" s="1808"/>
      <c r="R21" s="773"/>
      <c r="S21" s="774"/>
      <c r="T21" s="773"/>
      <c r="U21" s="774"/>
      <c r="V21" s="773"/>
      <c r="W21" s="774"/>
      <c r="X21" s="1811"/>
      <c r="Y21" s="3218"/>
      <c r="Z21" s="1812"/>
      <c r="AA21" s="1809">
        <v>1</v>
      </c>
      <c r="AB21" s="1809">
        <v>1</v>
      </c>
      <c r="AC21" s="1809">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18"/>
      <c r="Q22" s="1808" t="str">
        <f>B22</f>
        <v>楼层</v>
      </c>
      <c r="R22" s="773" t="s">
        <v>17</v>
      </c>
      <c r="S22" s="774">
        <f>F22</f>
        <v>100</v>
      </c>
      <c r="T22" s="773" t="s">
        <v>17</v>
      </c>
      <c r="U22" s="774">
        <f>H22</f>
        <v>100</v>
      </c>
      <c r="V22" s="773" t="s">
        <v>17</v>
      </c>
      <c r="W22" s="774">
        <f>J22</f>
        <v>100</v>
      </c>
      <c r="X22" s="1811"/>
      <c r="Y22" s="3218"/>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18"/>
      <c r="Q23" s="1808">
        <f>B23</f>
        <v>111</v>
      </c>
      <c r="R23" s="773" t="s">
        <v>17</v>
      </c>
      <c r="S23" s="774">
        <f>F23</f>
        <v>100</v>
      </c>
      <c r="T23" s="773" t="s">
        <v>17</v>
      </c>
      <c r="U23" s="774">
        <f>H23</f>
        <v>100</v>
      </c>
      <c r="V23" s="773" t="s">
        <v>17</v>
      </c>
      <c r="W23" s="774">
        <f>J23</f>
        <v>100</v>
      </c>
      <c r="X23" s="1811"/>
      <c r="Y23" s="3218"/>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18"/>
      <c r="Q24" s="1808">
        <f t="shared" ref="Q24:Q36" si="11">B24</f>
        <v>111</v>
      </c>
      <c r="R24" s="773" t="s">
        <v>17</v>
      </c>
      <c r="S24" s="774">
        <f>F24</f>
        <v>100</v>
      </c>
      <c r="T24" s="773" t="s">
        <v>17</v>
      </c>
      <c r="U24" s="774">
        <f>H24</f>
        <v>100</v>
      </c>
      <c r="V24" s="773" t="s">
        <v>17</v>
      </c>
      <c r="W24" s="774">
        <f>J24</f>
        <v>100</v>
      </c>
      <c r="X24" s="1811"/>
      <c r="Y24" s="3218"/>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18"/>
      <c r="Q25" s="1793">
        <f t="shared" si="11"/>
        <v>111</v>
      </c>
      <c r="R25" s="769" t="s">
        <v>17</v>
      </c>
      <c r="S25" s="770">
        <f>F25</f>
        <v>100</v>
      </c>
      <c r="T25" s="769" t="s">
        <v>17</v>
      </c>
      <c r="U25" s="770">
        <f>H25</f>
        <v>100</v>
      </c>
      <c r="V25" s="769" t="s">
        <v>17</v>
      </c>
      <c r="W25" s="770">
        <f>J25</f>
        <v>100</v>
      </c>
      <c r="X25" s="771"/>
      <c r="Y25" s="3218"/>
      <c r="Z25" s="55">
        <f>Q25</f>
        <v>111</v>
      </c>
      <c r="AA25" s="1809">
        <f>D25/F25</f>
        <v>1</v>
      </c>
      <c r="AB25" s="1809">
        <f>D25/H25</f>
        <v>1</v>
      </c>
      <c r="AC25" s="1809">
        <f>D25/J25</f>
        <v>1</v>
      </c>
    </row>
    <row r="26" spans="1:29" ht="28.5">
      <c r="A26" s="652" t="s">
        <v>2551</v>
      </c>
      <c r="B26" s="70" t="s">
        <v>2700</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19" t="s">
        <v>2553</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0" t="s">
        <v>2553</v>
      </c>
      <c r="Z26" s="1812" t="str">
        <f t="shared" ref="Z26:Z36" si="15">Q26</f>
        <v>配套类型</v>
      </c>
      <c r="AA26" s="1809">
        <f t="shared" si="3"/>
        <v>1</v>
      </c>
      <c r="AB26" s="1809">
        <f t="shared" si="4"/>
        <v>1</v>
      </c>
      <c r="AC26" s="1809">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20"/>
      <c r="Q27" s="775" t="str">
        <f t="shared" si="11"/>
        <v>项目停车位配比</v>
      </c>
      <c r="R27" s="776" t="s">
        <v>17</v>
      </c>
      <c r="S27" s="777">
        <f t="shared" si="12"/>
        <v>100</v>
      </c>
      <c r="T27" s="776" t="s">
        <v>17</v>
      </c>
      <c r="U27" s="777">
        <f t="shared" si="13"/>
        <v>100</v>
      </c>
      <c r="V27" s="776" t="s">
        <v>17</v>
      </c>
      <c r="W27" s="777">
        <f t="shared" si="14"/>
        <v>100</v>
      </c>
      <c r="X27" s="778"/>
      <c r="Y27" s="3220"/>
      <c r="Z27" s="779" t="str">
        <f t="shared" si="15"/>
        <v>项目停车位配比</v>
      </c>
      <c r="AA27" s="1809">
        <f t="shared" si="3"/>
        <v>1</v>
      </c>
      <c r="AB27" s="1809">
        <f t="shared" si="4"/>
        <v>1</v>
      </c>
      <c r="AC27" s="1809">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20"/>
      <c r="Q28" s="1808" t="str">
        <f t="shared" si="11"/>
        <v>公共部分装修</v>
      </c>
      <c r="R28" s="773" t="s">
        <v>17</v>
      </c>
      <c r="S28" s="774">
        <f t="shared" si="12"/>
        <v>100</v>
      </c>
      <c r="T28" s="773" t="s">
        <v>17</v>
      </c>
      <c r="U28" s="774">
        <f t="shared" si="13"/>
        <v>100</v>
      </c>
      <c r="V28" s="773" t="s">
        <v>17</v>
      </c>
      <c r="W28" s="774">
        <f t="shared" si="14"/>
        <v>100</v>
      </c>
      <c r="X28" s="1811"/>
      <c r="Y28" s="3220"/>
      <c r="Z28" s="1812" t="str">
        <f t="shared" si="15"/>
        <v>公共部分装修</v>
      </c>
      <c r="AA28" s="1809">
        <f t="shared" si="3"/>
        <v>1</v>
      </c>
      <c r="AB28" s="1809">
        <f t="shared" si="4"/>
        <v>1</v>
      </c>
      <c r="AC28" s="1809">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20"/>
      <c r="Q29" s="1808" t="str">
        <f t="shared" si="11"/>
        <v>成新率</v>
      </c>
      <c r="R29" s="773" t="s">
        <v>17</v>
      </c>
      <c r="S29" s="774" t="e">
        <f t="shared" si="12"/>
        <v>#N/A</v>
      </c>
      <c r="T29" s="773" t="s">
        <v>17</v>
      </c>
      <c r="U29" s="774" t="e">
        <f t="shared" si="13"/>
        <v>#N/A</v>
      </c>
      <c r="V29" s="773" t="s">
        <v>17</v>
      </c>
      <c r="W29" s="774" t="e">
        <f t="shared" si="14"/>
        <v>#N/A</v>
      </c>
      <c r="X29" s="1811"/>
      <c r="Y29" s="3220"/>
      <c r="Z29" s="1812" t="str">
        <f t="shared" si="15"/>
        <v>成新率</v>
      </c>
      <c r="AA29" s="1809" t="e">
        <f t="shared" si="3"/>
        <v>#N/A</v>
      </c>
      <c r="AB29" s="1809" t="e">
        <f t="shared" si="4"/>
        <v>#N/A</v>
      </c>
      <c r="AC29" s="1809"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20"/>
      <c r="Q30" s="1808" t="str">
        <f t="shared" si="11"/>
        <v>物业等级</v>
      </c>
      <c r="R30" s="773" t="s">
        <v>17</v>
      </c>
      <c r="S30" s="774">
        <f t="shared" si="12"/>
        <v>100</v>
      </c>
      <c r="T30" s="773" t="s">
        <v>17</v>
      </c>
      <c r="U30" s="774">
        <f t="shared" si="13"/>
        <v>100</v>
      </c>
      <c r="V30" s="773" t="s">
        <v>17</v>
      </c>
      <c r="W30" s="774">
        <f t="shared" si="14"/>
        <v>100</v>
      </c>
      <c r="X30" s="1811"/>
      <c r="Y30" s="3220"/>
      <c r="Z30" s="1812" t="str">
        <f t="shared" si="15"/>
        <v>物业等级</v>
      </c>
      <c r="AA30" s="1809">
        <f t="shared" si="3"/>
        <v>1</v>
      </c>
      <c r="AB30" s="1809">
        <f t="shared" si="4"/>
        <v>1</v>
      </c>
      <c r="AC30" s="1809">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20"/>
      <c r="Q31" s="1793" t="str">
        <f t="shared" si="11"/>
        <v>停车位面积</v>
      </c>
      <c r="R31" s="769" t="s">
        <v>17</v>
      </c>
      <c r="S31" s="770" t="e">
        <f t="shared" si="12"/>
        <v>#N/A</v>
      </c>
      <c r="T31" s="769" t="s">
        <v>17</v>
      </c>
      <c r="U31" s="770" t="e">
        <f t="shared" si="13"/>
        <v>#N/A</v>
      </c>
      <c r="V31" s="769" t="s">
        <v>17</v>
      </c>
      <c r="W31" s="770" t="e">
        <f t="shared" si="14"/>
        <v>#N/A</v>
      </c>
      <c r="X31" s="771"/>
      <c r="Y31" s="3220"/>
      <c r="Z31" s="55" t="str">
        <f t="shared" si="15"/>
        <v>停车位面积</v>
      </c>
      <c r="AA31" s="772" t="e">
        <f t="shared" si="3"/>
        <v>#N/A</v>
      </c>
      <c r="AB31" s="772" t="e">
        <f t="shared" si="4"/>
        <v>#N/A</v>
      </c>
      <c r="AC31" s="772"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20" t="s">
        <v>2553</v>
      </c>
      <c r="Q32" s="1808" t="str">
        <f t="shared" si="11"/>
        <v>车位类型</v>
      </c>
      <c r="R32" s="773" t="s">
        <v>17</v>
      </c>
      <c r="S32" s="774">
        <f t="shared" si="12"/>
        <v>100</v>
      </c>
      <c r="T32" s="773" t="s">
        <v>17</v>
      </c>
      <c r="U32" s="774">
        <f t="shared" si="13"/>
        <v>100</v>
      </c>
      <c r="V32" s="773" t="s">
        <v>17</v>
      </c>
      <c r="W32" s="774">
        <f t="shared" si="14"/>
        <v>100</v>
      </c>
      <c r="X32" s="1811"/>
      <c r="Y32" s="3220" t="s">
        <v>2553</v>
      </c>
      <c r="Z32" s="1812" t="str">
        <f t="shared" si="15"/>
        <v>车位类型</v>
      </c>
      <c r="AA32" s="1809">
        <f t="shared" si="3"/>
        <v>1</v>
      </c>
      <c r="AB32" s="1809">
        <f t="shared" si="4"/>
        <v>1</v>
      </c>
      <c r="AC32" s="1809">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20"/>
      <c r="Q33" s="1808" t="str">
        <f t="shared" si="11"/>
        <v>是否直接入户</v>
      </c>
      <c r="R33" s="773" t="s">
        <v>17</v>
      </c>
      <c r="S33" s="774">
        <f t="shared" si="12"/>
        <v>100</v>
      </c>
      <c r="T33" s="773" t="s">
        <v>17</v>
      </c>
      <c r="U33" s="774">
        <f t="shared" si="13"/>
        <v>100</v>
      </c>
      <c r="V33" s="773" t="s">
        <v>17</v>
      </c>
      <c r="W33" s="774">
        <f t="shared" si="14"/>
        <v>100</v>
      </c>
      <c r="X33" s="1811"/>
      <c r="Y33" s="3220"/>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20"/>
      <c r="Q34" s="1808">
        <f t="shared" si="11"/>
        <v>111</v>
      </c>
      <c r="R34" s="773" t="s">
        <v>17</v>
      </c>
      <c r="S34" s="774">
        <f t="shared" si="12"/>
        <v>100</v>
      </c>
      <c r="T34" s="773" t="s">
        <v>17</v>
      </c>
      <c r="U34" s="774">
        <f t="shared" si="13"/>
        <v>100</v>
      </c>
      <c r="V34" s="773" t="s">
        <v>17</v>
      </c>
      <c r="W34" s="774">
        <f t="shared" si="14"/>
        <v>100</v>
      </c>
      <c r="X34" s="1811"/>
      <c r="Y34" s="3220"/>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20"/>
      <c r="Q35" s="775">
        <f t="shared" si="11"/>
        <v>111</v>
      </c>
      <c r="R35" s="776" t="s">
        <v>17</v>
      </c>
      <c r="S35" s="777">
        <f t="shared" si="12"/>
        <v>100</v>
      </c>
      <c r="T35" s="776" t="s">
        <v>17</v>
      </c>
      <c r="U35" s="777">
        <f t="shared" si="13"/>
        <v>100</v>
      </c>
      <c r="V35" s="776" t="s">
        <v>17</v>
      </c>
      <c r="W35" s="777">
        <f t="shared" si="14"/>
        <v>100</v>
      </c>
      <c r="X35" s="778"/>
      <c r="Y35" s="3220"/>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20"/>
      <c r="Q36" s="1808">
        <f t="shared" si="11"/>
        <v>111</v>
      </c>
      <c r="R36" s="773" t="s">
        <v>17</v>
      </c>
      <c r="S36" s="774">
        <f t="shared" si="12"/>
        <v>100</v>
      </c>
      <c r="T36" s="773" t="s">
        <v>17</v>
      </c>
      <c r="U36" s="774">
        <f t="shared" si="13"/>
        <v>100</v>
      </c>
      <c r="V36" s="773" t="s">
        <v>17</v>
      </c>
      <c r="W36" s="774">
        <f t="shared" si="14"/>
        <v>100</v>
      </c>
      <c r="X36" s="1811"/>
      <c r="Y36" s="3220"/>
      <c r="Z36" s="1812">
        <f t="shared" si="15"/>
        <v>111</v>
      </c>
      <c r="AA36" s="1809">
        <f t="shared" si="3"/>
        <v>1</v>
      </c>
      <c r="AB36" s="1809">
        <f t="shared" si="4"/>
        <v>1</v>
      </c>
      <c r="AC36" s="1809">
        <f t="shared" si="5"/>
        <v>1</v>
      </c>
    </row>
    <row r="37" spans="1:29" ht="15">
      <c r="A37" s="479" t="s">
        <v>2708</v>
      </c>
      <c r="B37" s="2687" t="s">
        <v>2709</v>
      </c>
      <c r="C37" s="1406" t="s">
        <v>1</v>
      </c>
      <c r="D37" s="1407"/>
      <c r="E37" s="1408"/>
      <c r="F37" s="1409"/>
      <c r="G37" s="1410"/>
      <c r="H37" s="1411"/>
      <c r="I37" s="1408"/>
      <c r="J37" s="1411"/>
      <c r="K37" s="619"/>
      <c r="L37" s="1142"/>
      <c r="M37" s="1143"/>
      <c r="N37" s="1130"/>
      <c r="O37" s="1143"/>
      <c r="P37" s="3215" t="str">
        <f>A37</f>
        <v>成交单价</v>
      </c>
      <c r="Q37" s="3215"/>
      <c r="R37" s="3252">
        <f>E37</f>
        <v>0</v>
      </c>
      <c r="S37" s="3252"/>
      <c r="T37" s="3252">
        <f>G37</f>
        <v>0</v>
      </c>
      <c r="U37" s="3252"/>
      <c r="V37" s="3252">
        <f>I37</f>
        <v>0</v>
      </c>
      <c r="W37" s="3252"/>
      <c r="X37" s="758"/>
      <c r="Y37" s="780"/>
      <c r="Z37" s="758"/>
      <c r="AA37" s="758"/>
      <c r="AB37" s="758"/>
      <c r="AC37" s="758"/>
    </row>
    <row r="38" spans="1:29" ht="15.75" thickBot="1">
      <c r="A38" s="486" t="s">
        <v>2710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15" t="str">
        <f>A38</f>
        <v>比较价值（元/平方米）</v>
      </c>
      <c r="Q38" s="3215"/>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8"/>
      <c r="Y38" s="758"/>
      <c r="Z38" s="758"/>
      <c r="AA38" s="758"/>
      <c r="AB38" s="758"/>
      <c r="AC38" s="758"/>
    </row>
    <row r="39" spans="1:29" ht="15.75" thickBot="1">
      <c r="A39" s="492" t="s">
        <v>2711</v>
      </c>
      <c r="B39" s="493"/>
      <c r="C39" s="1416" t="e">
        <f>R39</f>
        <v>#DIV/0!</v>
      </c>
      <c r="D39" s="1416"/>
      <c r="E39" s="1416"/>
      <c r="F39" s="1416"/>
      <c r="G39" s="1416"/>
      <c r="H39" s="1416"/>
      <c r="I39" s="1416"/>
      <c r="J39" s="1416"/>
      <c r="K39" s="621"/>
      <c r="L39" s="1142"/>
      <c r="M39" s="1143"/>
      <c r="N39" s="1143"/>
      <c r="O39" s="1143"/>
      <c r="P39" s="3209" t="str">
        <f>A39</f>
        <v>估价对象XX用房的比较价值（楼面单价，元/平方米）</v>
      </c>
      <c r="Q39" s="3210"/>
      <c r="R39" s="3251" t="e">
        <f>IF(F1="售价",ROUND(AVERAGE(R38:V38),0),ROUND(AVERAGE(R38:V38),1))</f>
        <v>#DIV/0!</v>
      </c>
      <c r="S39" s="3251"/>
      <c r="T39" s="3251"/>
      <c r="U39" s="3251"/>
      <c r="V39" s="3251"/>
      <c r="W39" s="3251"/>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2716</v>
      </c>
      <c r="B48" s="506"/>
      <c r="C48" s="1572" t="str">
        <f>YEAR(C7)&amp;"-"&amp;MONTH(C7)</f>
        <v>2019-6</v>
      </c>
      <c r="D48" s="1573">
        <f>EDATE(C48,-1)</f>
        <v>43586</v>
      </c>
      <c r="E48" s="1573">
        <f t="shared" ref="E48:O48" si="16">EDATE(D48,-1)</f>
        <v>43556</v>
      </c>
      <c r="F48" s="1573">
        <f t="shared" si="16"/>
        <v>43525</v>
      </c>
      <c r="G48" s="1573">
        <f t="shared" si="16"/>
        <v>43497</v>
      </c>
      <c r="H48" s="1573">
        <f t="shared" si="16"/>
        <v>43466</v>
      </c>
      <c r="I48" s="1573">
        <f t="shared" si="16"/>
        <v>43435</v>
      </c>
      <c r="J48" s="1573">
        <f t="shared" si="16"/>
        <v>43405</v>
      </c>
      <c r="K48" s="1573">
        <f t="shared" si="16"/>
        <v>43374</v>
      </c>
      <c r="L48" s="1573">
        <f t="shared" si="16"/>
        <v>43344</v>
      </c>
      <c r="M48" s="1573">
        <f t="shared" si="16"/>
        <v>43313</v>
      </c>
      <c r="N48" s="1573">
        <f t="shared" si="16"/>
        <v>43282</v>
      </c>
      <c r="O48" s="1573">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2538</v>
      </c>
      <c r="B51" s="510"/>
      <c r="C51" s="522" t="s">
        <v>2640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2576</v>
      </c>
      <c r="B53" s="528" t="s">
        <v>2542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2591</v>
      </c>
      <c r="C65" s="578" t="s">
        <v>2585</v>
      </c>
      <c r="D65" s="578" t="s">
        <v>2586</v>
      </c>
      <c r="E65" s="578" t="s">
        <v>2587</v>
      </c>
      <c r="F65" s="578" t="s">
        <v>2588</v>
      </c>
      <c r="G65" s="578" t="s">
        <v>2589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2677</v>
      </c>
      <c r="C67" s="660" t="s">
        <v>2663</v>
      </c>
      <c r="D67" s="660" t="s">
        <v>2664</v>
      </c>
      <c r="E67" s="660" t="s">
        <v>2665</v>
      </c>
      <c r="F67" s="660" t="s">
        <v>2666</v>
      </c>
      <c r="G67" s="660" t="s">
        <v>2667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2597</v>
      </c>
      <c r="C69" s="578" t="s">
        <v>2585</v>
      </c>
      <c r="D69" s="578" t="s">
        <v>2586</v>
      </c>
      <c r="E69" s="578" t="s">
        <v>2587</v>
      </c>
      <c r="F69" s="578" t="s">
        <v>2588</v>
      </c>
      <c r="G69" s="578" t="s">
        <v>2589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2551</v>
      </c>
      <c r="B79" s="528" t="s">
        <v>2718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2719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2695</v>
      </c>
      <c r="B1" s="1617"/>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IF(C2="——",ROUND(C37*D3/10000,0),ROUND(C37*D3/10000,0)-D2)</f>
        <v>#DIV/0!</v>
      </c>
      <c r="C2" s="2578"/>
      <c r="D2" s="1123" t="e">
        <f ca="1">SUMIF(INDIRECT("'"&amp;F2&amp;"'"&amp;"!A:A"),"承租人权益价值",INDIRECT("'"&amp;F2&amp;"'"&amp;"!c:c"))</f>
        <v>#REF!</v>
      </c>
      <c r="E2" s="2579" t="s">
        <v>2319</v>
      </c>
      <c r="F2" s="2580"/>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2632</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12" t="s">
        <v>2634</v>
      </c>
      <c r="D4" s="3225"/>
      <c r="E4" s="3226" t="s">
        <v>2635</v>
      </c>
      <c r="F4" s="3227"/>
      <c r="G4" s="3212" t="s">
        <v>2636</v>
      </c>
      <c r="H4" s="3225"/>
      <c r="I4" s="3212" t="s">
        <v>2637</v>
      </c>
      <c r="J4" s="3225"/>
      <c r="K4" s="610" t="s">
        <v>2638</v>
      </c>
      <c r="L4" s="1129"/>
      <c r="M4" s="1130"/>
      <c r="N4" s="1130"/>
      <c r="O4" s="1130"/>
      <c r="P4" s="3228" t="s">
        <v>2639</v>
      </c>
      <c r="Q4" s="3229"/>
      <c r="R4" s="3234" t="s">
        <v>2635</v>
      </c>
      <c r="S4" s="3235"/>
      <c r="T4" s="3234" t="s">
        <v>2636</v>
      </c>
      <c r="U4" s="3235"/>
      <c r="V4" s="3221" t="s">
        <v>2637</v>
      </c>
      <c r="W4" s="3221"/>
      <c r="X4" s="1811"/>
      <c r="Y4" s="3234" t="s">
        <v>2639</v>
      </c>
      <c r="Z4" s="3235"/>
      <c r="AA4" s="3222" t="s">
        <v>2635</v>
      </c>
      <c r="AB4" s="3223" t="s">
        <v>2636</v>
      </c>
      <c r="AC4" s="3222" t="s">
        <v>2637</v>
      </c>
    </row>
    <row r="5" spans="1:29" ht="15">
      <c r="A5" s="404"/>
      <c r="B5" s="405"/>
      <c r="C5" s="3242" t="s">
        <v>2530</v>
      </c>
      <c r="D5" s="3243"/>
      <c r="E5" s="3249" t="s">
        <v>2531</v>
      </c>
      <c r="F5" s="3250"/>
      <c r="G5" s="3242" t="s">
        <v>2532</v>
      </c>
      <c r="H5" s="3243"/>
      <c r="I5" s="3242" t="s">
        <v>2533</v>
      </c>
      <c r="J5" s="3243"/>
      <c r="K5" s="610"/>
      <c r="L5" s="1129"/>
      <c r="M5" s="1130"/>
      <c r="N5" s="1130"/>
      <c r="O5" s="1130"/>
      <c r="P5" s="3230"/>
      <c r="Q5" s="3231"/>
      <c r="R5" s="3236"/>
      <c r="S5" s="3237"/>
      <c r="T5" s="3236"/>
      <c r="U5" s="3237"/>
      <c r="V5" s="3221"/>
      <c r="W5" s="3221"/>
      <c r="X5" s="1811"/>
      <c r="Y5" s="3236"/>
      <c r="Z5" s="3237"/>
      <c r="AA5" s="3223"/>
      <c r="AB5" s="3223"/>
      <c r="AC5" s="3223"/>
    </row>
    <row r="6" spans="1:29" ht="15.75" thickBot="1">
      <c r="A6" s="406"/>
      <c r="B6" s="407"/>
      <c r="C6" s="3240" t="s">
        <v>2534</v>
      </c>
      <c r="D6" s="3241"/>
      <c r="E6" s="3247" t="s">
        <v>2534</v>
      </c>
      <c r="F6" s="3248"/>
      <c r="G6" s="3240" t="s">
        <v>2534</v>
      </c>
      <c r="H6" s="3241"/>
      <c r="I6" s="3240" t="s">
        <v>2534</v>
      </c>
      <c r="J6" s="3241"/>
      <c r="K6" s="610" t="s">
        <v>2535</v>
      </c>
      <c r="L6" s="1129"/>
      <c r="M6" s="1130"/>
      <c r="N6" s="1130"/>
      <c r="O6" s="1130"/>
      <c r="P6" s="3232"/>
      <c r="Q6" s="3233"/>
      <c r="R6" s="3236"/>
      <c r="S6" s="3237"/>
      <c r="T6" s="3238"/>
      <c r="U6" s="3239"/>
      <c r="V6" s="3221"/>
      <c r="W6" s="3221"/>
      <c r="X6" s="1811"/>
      <c r="Y6" s="3238"/>
      <c r="Z6" s="3239"/>
      <c r="AA6" s="3224"/>
      <c r="AB6" s="3224"/>
      <c r="AC6" s="3224"/>
    </row>
    <row r="7" spans="1:29" s="117" customFormat="1" ht="15.75" thickBot="1">
      <c r="A7" s="408" t="s">
        <v>2536</v>
      </c>
      <c r="B7" s="409"/>
      <c r="C7" s="410">
        <f>'数据-取费表'!B2</f>
        <v>43621</v>
      </c>
      <c r="D7" s="411">
        <v>100</v>
      </c>
      <c r="E7" s="412"/>
      <c r="F7" s="413">
        <f>SUMIF(46:46,YEAR(E7)&amp;"-"&amp;MONTH(E7),47:47)</f>
        <v>0</v>
      </c>
      <c r="G7" s="2688"/>
      <c r="H7" s="411">
        <f>SUMIF(46:46,YEAR(G7)&amp;"-"&amp;MONTH(G7),47:47)</f>
        <v>0</v>
      </c>
      <c r="I7" s="412"/>
      <c r="J7" s="411">
        <f>SUMIF(46:46,YEAR(I7)&amp;"-"&amp;MONTH(I7),47:47)</f>
        <v>0</v>
      </c>
      <c r="K7" s="611"/>
      <c r="L7" s="1131"/>
      <c r="M7" s="1132"/>
      <c r="N7" s="1132"/>
      <c r="O7" s="1132"/>
      <c r="P7" s="3244" t="s">
        <v>2537</v>
      </c>
      <c r="Q7" s="3246"/>
      <c r="R7" s="769" t="s">
        <v>17</v>
      </c>
      <c r="S7" s="770">
        <f t="shared" ref="S7:S14" si="0">F7</f>
        <v>0</v>
      </c>
      <c r="T7" s="769" t="s">
        <v>17</v>
      </c>
      <c r="U7" s="770">
        <f t="shared" ref="U7:U14" si="1">H7</f>
        <v>0</v>
      </c>
      <c r="V7" s="769" t="s">
        <v>17</v>
      </c>
      <c r="W7" s="770">
        <f t="shared" ref="W7:W14" si="2">J7</f>
        <v>0</v>
      </c>
      <c r="X7" s="771"/>
      <c r="Y7" s="3244" t="s">
        <v>2537</v>
      </c>
      <c r="Z7" s="3245"/>
      <c r="AA7" s="772" t="e">
        <f>D7/F7</f>
        <v>#DIV/0!</v>
      </c>
      <c r="AB7" s="772" t="e">
        <f>D7/H7</f>
        <v>#DIV/0!</v>
      </c>
      <c r="AC7" s="772"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44" t="s">
        <v>2540</v>
      </c>
      <c r="Q8" s="3245"/>
      <c r="R8" s="769" t="s">
        <v>17</v>
      </c>
      <c r="S8" s="770">
        <f t="shared" si="0"/>
        <v>0</v>
      </c>
      <c r="T8" s="769" t="s">
        <v>17</v>
      </c>
      <c r="U8" s="770">
        <f t="shared" si="1"/>
        <v>0</v>
      </c>
      <c r="V8" s="769" t="s">
        <v>17</v>
      </c>
      <c r="W8" s="770">
        <f t="shared" si="2"/>
        <v>0</v>
      </c>
      <c r="X8" s="771"/>
      <c r="Y8" s="3244" t="s">
        <v>2540</v>
      </c>
      <c r="Z8" s="3245"/>
      <c r="AA8" s="772" t="e">
        <f t="shared" ref="AA8:AA34" si="3">D8/F8</f>
        <v>#DIV/0!</v>
      </c>
      <c r="AB8" s="772" t="e">
        <f t="shared" ref="AB8:AB34" si="4">D8/H8</f>
        <v>#DIV/0!</v>
      </c>
      <c r="AC8" s="772"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15" t="s">
        <v>2543</v>
      </c>
      <c r="Q9" s="1793" t="str">
        <f t="shared" ref="Q9:Q14" si="6">B9</f>
        <v>用途</v>
      </c>
      <c r="R9" s="769" t="s">
        <v>17</v>
      </c>
      <c r="S9" s="770">
        <f t="shared" si="0"/>
        <v>100</v>
      </c>
      <c r="T9" s="769" t="s">
        <v>17</v>
      </c>
      <c r="U9" s="770">
        <f t="shared" si="1"/>
        <v>100</v>
      </c>
      <c r="V9" s="769" t="s">
        <v>17</v>
      </c>
      <c r="W9" s="770">
        <f t="shared" si="2"/>
        <v>100</v>
      </c>
      <c r="X9" s="771"/>
      <c r="Y9" s="3043" t="s">
        <v>2544</v>
      </c>
      <c r="Z9" s="55" t="str">
        <f t="shared" ref="Z9:Z14" si="7">Q9</f>
        <v>用途</v>
      </c>
      <c r="AA9" s="772">
        <f t="shared" si="3"/>
        <v>1</v>
      </c>
      <c r="AB9" s="772">
        <f t="shared" si="4"/>
        <v>1</v>
      </c>
      <c r="AC9" s="772">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15"/>
      <c r="Q10" s="1793" t="str">
        <f t="shared" si="6"/>
        <v>土地使用年限（年）</v>
      </c>
      <c r="R10" s="769" t="s">
        <v>17</v>
      </c>
      <c r="S10" s="770">
        <f t="shared" si="0"/>
        <v>100</v>
      </c>
      <c r="T10" s="769" t="s">
        <v>17</v>
      </c>
      <c r="U10" s="770">
        <f t="shared" si="1"/>
        <v>100</v>
      </c>
      <c r="V10" s="769" t="s">
        <v>17</v>
      </c>
      <c r="W10" s="770">
        <f t="shared" si="2"/>
        <v>100</v>
      </c>
      <c r="X10" s="771"/>
      <c r="Y10" s="3043"/>
      <c r="Z10" s="55" t="str">
        <f t="shared" si="7"/>
        <v>土地使用年限（年）</v>
      </c>
      <c r="AA10" s="772">
        <f t="shared" si="3"/>
        <v>1</v>
      </c>
      <c r="AB10" s="772">
        <f t="shared" si="4"/>
        <v>1</v>
      </c>
      <c r="AC10" s="772">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15"/>
      <c r="Q11" s="1793">
        <f t="shared" si="6"/>
        <v>111</v>
      </c>
      <c r="R11" s="769" t="s">
        <v>17</v>
      </c>
      <c r="S11" s="770">
        <f t="shared" si="0"/>
        <v>100</v>
      </c>
      <c r="T11" s="769" t="s">
        <v>17</v>
      </c>
      <c r="U11" s="770">
        <f t="shared" si="1"/>
        <v>100</v>
      </c>
      <c r="V11" s="769" t="s">
        <v>17</v>
      </c>
      <c r="W11" s="770">
        <f t="shared" si="2"/>
        <v>100</v>
      </c>
      <c r="X11" s="771"/>
      <c r="Y11" s="3043"/>
      <c r="Z11" s="55">
        <f t="shared" si="7"/>
        <v>111</v>
      </c>
      <c r="AA11" s="772">
        <f t="shared" si="3"/>
        <v>1</v>
      </c>
      <c r="AB11" s="772">
        <f t="shared" si="4"/>
        <v>1</v>
      </c>
      <c r="AC11" s="772">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15"/>
      <c r="Q12" s="1793">
        <f t="shared" si="6"/>
        <v>111</v>
      </c>
      <c r="R12" s="769" t="s">
        <v>17</v>
      </c>
      <c r="S12" s="770">
        <f t="shared" si="0"/>
        <v>100</v>
      </c>
      <c r="T12" s="769" t="s">
        <v>17</v>
      </c>
      <c r="U12" s="770">
        <f t="shared" si="1"/>
        <v>100</v>
      </c>
      <c r="V12" s="769" t="s">
        <v>17</v>
      </c>
      <c r="W12" s="770">
        <f t="shared" si="2"/>
        <v>100</v>
      </c>
      <c r="X12" s="771"/>
      <c r="Y12" s="3043"/>
      <c r="Z12" s="55">
        <f t="shared" si="7"/>
        <v>111</v>
      </c>
      <c r="AA12" s="772">
        <f>D12/F12</f>
        <v>1</v>
      </c>
      <c r="AB12" s="772">
        <f>D12/H12</f>
        <v>1</v>
      </c>
      <c r="AC12" s="772">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43"/>
      <c r="Z13" s="55">
        <f t="shared" si="7"/>
        <v>111</v>
      </c>
      <c r="AA13" s="772">
        <f t="shared" si="3"/>
        <v>1</v>
      </c>
      <c r="AB13" s="772">
        <f t="shared" si="4"/>
        <v>1</v>
      </c>
      <c r="AC13" s="772">
        <f t="shared" si="5"/>
        <v>1</v>
      </c>
    </row>
    <row r="14" spans="1:29" ht="15">
      <c r="A14" s="440" t="s">
        <v>2547</v>
      </c>
      <c r="B14" s="69" t="s">
        <v>2697</v>
      </c>
      <c r="C14" s="2685" t="str">
        <f>IF(B1="工业",估价对象房地状况!G4,估价对象房地状况!C6)</f>
        <v>估价对象邻近昆磨高速，公共交通线路较少，路网密集度一般，停车便捷程度较好，综合评价交通便捷度一般。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17" t="s">
        <v>2548</v>
      </c>
      <c r="Q14" s="1808" t="str">
        <f t="shared" si="6"/>
        <v>交通便捷度</v>
      </c>
      <c r="R14" s="773" t="s">
        <v>17</v>
      </c>
      <c r="S14" s="774">
        <f t="shared" si="0"/>
        <v>100</v>
      </c>
      <c r="T14" s="773" t="s">
        <v>17</v>
      </c>
      <c r="U14" s="774">
        <f t="shared" si="1"/>
        <v>100</v>
      </c>
      <c r="V14" s="773" t="s">
        <v>17</v>
      </c>
      <c r="W14" s="774">
        <f t="shared" si="2"/>
        <v>100</v>
      </c>
      <c r="X14" s="1811"/>
      <c r="Y14" s="3217" t="s">
        <v>2548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18"/>
      <c r="Q15" s="1808"/>
      <c r="R15" s="773"/>
      <c r="S15" s="774"/>
      <c r="T15" s="773"/>
      <c r="U15" s="774"/>
      <c r="V15" s="773"/>
      <c r="W15" s="774"/>
      <c r="X15" s="1811"/>
      <c r="Y15" s="3218"/>
      <c r="Z15" s="1812"/>
      <c r="AA15" s="1809">
        <v>1</v>
      </c>
      <c r="AB15" s="1809">
        <v>1</v>
      </c>
      <c r="AC15" s="1809">
        <v>1</v>
      </c>
    </row>
    <row r="16" spans="1:29" ht="42.75">
      <c r="A16" s="428"/>
      <c r="B16" s="451" t="s">
        <v>2676</v>
      </c>
      <c r="C16" s="2599" t="str">
        <f>IF(B1="工业",估价对象房地状况!G5,估价对象房地状况!C7)</f>
        <v>估价对象所在区域公共配套设施齐备情况较差。</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18"/>
      <c r="Q16" s="1808" t="str">
        <f>B16</f>
        <v>公共配套设施</v>
      </c>
      <c r="R16" s="773" t="s">
        <v>17</v>
      </c>
      <c r="S16" s="774">
        <f>F16</f>
        <v>100</v>
      </c>
      <c r="T16" s="773" t="s">
        <v>17</v>
      </c>
      <c r="U16" s="774">
        <f>H16</f>
        <v>100</v>
      </c>
      <c r="V16" s="773" t="s">
        <v>17</v>
      </c>
      <c r="W16" s="774">
        <f>J16</f>
        <v>100</v>
      </c>
      <c r="X16" s="1811"/>
      <c r="Y16" s="3218"/>
      <c r="Z16" s="1812" t="str">
        <f>Q16</f>
        <v>公共配套设施</v>
      </c>
      <c r="AA16" s="1809">
        <f t="shared" si="3"/>
        <v>1</v>
      </c>
      <c r="AB16" s="1809">
        <f t="shared" si="4"/>
        <v>1</v>
      </c>
      <c r="AC16" s="1809">
        <f t="shared" si="5"/>
        <v>1</v>
      </c>
    </row>
    <row r="17" spans="1:29" ht="15">
      <c r="A17" s="428"/>
      <c r="B17" s="456"/>
      <c r="C17" s="2600"/>
      <c r="D17" s="448"/>
      <c r="E17" s="447"/>
      <c r="F17" s="449"/>
      <c r="G17" s="447"/>
      <c r="H17" s="448"/>
      <c r="I17" s="447"/>
      <c r="J17" s="448"/>
      <c r="K17" s="615"/>
      <c r="L17" s="1139"/>
      <c r="M17" s="1130"/>
      <c r="N17" s="1130"/>
      <c r="O17" s="1138"/>
      <c r="P17" s="3218"/>
      <c r="Q17" s="1808"/>
      <c r="R17" s="773"/>
      <c r="S17" s="774"/>
      <c r="T17" s="773"/>
      <c r="U17" s="774"/>
      <c r="V17" s="773"/>
      <c r="W17" s="774"/>
      <c r="X17" s="1811"/>
      <c r="Y17" s="3218"/>
      <c r="Z17" s="1812"/>
      <c r="AA17" s="1809">
        <v>1</v>
      </c>
      <c r="AB17" s="1809">
        <v>1</v>
      </c>
      <c r="AC17" s="1809">
        <v>1</v>
      </c>
    </row>
    <row r="18" spans="1:29" ht="42.75">
      <c r="A18" s="428"/>
      <c r="B18" s="1383" t="s">
        <v>2677</v>
      </c>
      <c r="C18" s="2599"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18"/>
      <c r="Q18" s="1808" t="str">
        <f>B18</f>
        <v>基础设施水平</v>
      </c>
      <c r="R18" s="773" t="s">
        <v>17</v>
      </c>
      <c r="S18" s="774">
        <f>F18</f>
        <v>100</v>
      </c>
      <c r="T18" s="773" t="s">
        <v>17</v>
      </c>
      <c r="U18" s="774">
        <f>H18</f>
        <v>100</v>
      </c>
      <c r="V18" s="773" t="s">
        <v>17</v>
      </c>
      <c r="W18" s="774">
        <f>J18</f>
        <v>100</v>
      </c>
      <c r="X18" s="1811"/>
      <c r="Y18" s="3218"/>
      <c r="Z18" s="1812" t="str">
        <f>Q18</f>
        <v>基础设施水平</v>
      </c>
      <c r="AA18" s="1809">
        <f t="shared" ref="AA18" si="8">D18/F18</f>
        <v>1</v>
      </c>
      <c r="AB18" s="1809">
        <f t="shared" ref="AB18" si="9">D18/H18</f>
        <v>1</v>
      </c>
      <c r="AC18" s="1809">
        <f t="shared" ref="AC18" si="10">D18/J18</f>
        <v>1</v>
      </c>
    </row>
    <row r="19" spans="1:29" ht="15">
      <c r="A19" s="428"/>
      <c r="B19" s="1383"/>
      <c r="C19" s="2600"/>
      <c r="D19" s="450"/>
      <c r="E19" s="2600"/>
      <c r="F19" s="453"/>
      <c r="G19" s="2600"/>
      <c r="H19" s="448"/>
      <c r="I19" s="447"/>
      <c r="J19" s="448"/>
      <c r="K19" s="1382"/>
      <c r="L19" s="1139"/>
      <c r="M19" s="1130"/>
      <c r="N19" s="1130"/>
      <c r="O19" s="1138"/>
      <c r="P19" s="3218"/>
      <c r="Q19" s="1808"/>
      <c r="R19" s="773"/>
      <c r="S19" s="774"/>
      <c r="T19" s="773"/>
      <c r="U19" s="774"/>
      <c r="V19" s="773"/>
      <c r="W19" s="774"/>
      <c r="X19" s="1811"/>
      <c r="Y19" s="3218"/>
      <c r="Z19" s="1812"/>
      <c r="AA19" s="1809">
        <v>1</v>
      </c>
      <c r="AB19" s="1809">
        <v>1</v>
      </c>
      <c r="AC19" s="1809">
        <v>1</v>
      </c>
    </row>
    <row r="20" spans="1:29" ht="57">
      <c r="A20" s="428"/>
      <c r="B20" s="451" t="s">
        <v>2698</v>
      </c>
      <c r="C20" s="2599" t="str">
        <f>IF(B1="工业",估价对象房地状况!G7,估价对象房地状况!C9)</f>
        <v>估价对象所在区域无公园等自然环境设施，自然环境较差；所在区域无博物馆等人文设施，人文设施较差，综合评价自然及人文环境状况较差。</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18"/>
      <c r="Q20" s="1808" t="str">
        <f>B20</f>
        <v>自然及人文环境</v>
      </c>
      <c r="R20" s="773" t="s">
        <v>17</v>
      </c>
      <c r="S20" s="774">
        <f>F20</f>
        <v>100</v>
      </c>
      <c r="T20" s="773" t="s">
        <v>17</v>
      </c>
      <c r="U20" s="774">
        <f>H20</f>
        <v>100</v>
      </c>
      <c r="V20" s="773" t="s">
        <v>17</v>
      </c>
      <c r="W20" s="774">
        <f>J20</f>
        <v>100</v>
      </c>
      <c r="X20" s="1811"/>
      <c r="Y20" s="3218"/>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18"/>
      <c r="Q21" s="1808"/>
      <c r="R21" s="773"/>
      <c r="S21" s="774"/>
      <c r="T21" s="773"/>
      <c r="U21" s="774"/>
      <c r="V21" s="773"/>
      <c r="W21" s="774"/>
      <c r="X21" s="1811"/>
      <c r="Y21" s="3218"/>
      <c r="Z21" s="1812"/>
      <c r="AA21" s="1809">
        <v>1</v>
      </c>
      <c r="AB21" s="1809">
        <v>1</v>
      </c>
      <c r="AC21" s="1809">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18"/>
      <c r="Q22" s="1808" t="str">
        <f>B22</f>
        <v>楼层</v>
      </c>
      <c r="R22" s="773" t="s">
        <v>17</v>
      </c>
      <c r="S22" s="774">
        <f>F22</f>
        <v>100</v>
      </c>
      <c r="T22" s="773" t="s">
        <v>17</v>
      </c>
      <c r="U22" s="774">
        <f>H22</f>
        <v>100</v>
      </c>
      <c r="V22" s="773" t="s">
        <v>17</v>
      </c>
      <c r="W22" s="774">
        <f>J22</f>
        <v>100</v>
      </c>
      <c r="X22" s="1811"/>
      <c r="Y22" s="3218"/>
      <c r="Z22" s="1812" t="str">
        <f>Q22</f>
        <v>楼层</v>
      </c>
      <c r="AA22" s="1809">
        <f t="shared" si="3"/>
        <v>1</v>
      </c>
      <c r="AB22" s="1809">
        <f t="shared" si="4"/>
        <v>1</v>
      </c>
      <c r="AC22" s="1809">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18"/>
      <c r="Q23" s="1808">
        <f>B23</f>
        <v>111</v>
      </c>
      <c r="R23" s="773" t="s">
        <v>17</v>
      </c>
      <c r="S23" s="774">
        <f>F23</f>
        <v>100</v>
      </c>
      <c r="T23" s="773" t="s">
        <v>17</v>
      </c>
      <c r="U23" s="774">
        <f>H23</f>
        <v>100</v>
      </c>
      <c r="V23" s="773" t="s">
        <v>17</v>
      </c>
      <c r="W23" s="774">
        <f>J23</f>
        <v>100</v>
      </c>
      <c r="X23" s="1811"/>
      <c r="Y23" s="3218"/>
      <c r="Z23" s="1812">
        <f>Q23</f>
        <v>111</v>
      </c>
      <c r="AA23" s="1809">
        <f t="shared" si="3"/>
        <v>1</v>
      </c>
      <c r="AB23" s="1809">
        <f t="shared" si="4"/>
        <v>1</v>
      </c>
      <c r="AC23" s="1809">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18"/>
      <c r="Q24" s="1808">
        <f t="shared" ref="Q24:Q34" si="11">B24</f>
        <v>111</v>
      </c>
      <c r="R24" s="773" t="s">
        <v>17</v>
      </c>
      <c r="S24" s="774">
        <f>F24</f>
        <v>100</v>
      </c>
      <c r="T24" s="773" t="s">
        <v>17</v>
      </c>
      <c r="U24" s="774">
        <f>H24</f>
        <v>100</v>
      </c>
      <c r="V24" s="773" t="s">
        <v>17</v>
      </c>
      <c r="W24" s="774">
        <f>J24</f>
        <v>100</v>
      </c>
      <c r="X24" s="1811"/>
      <c r="Y24" s="3218"/>
      <c r="Z24" s="1812">
        <f>Q24</f>
        <v>111</v>
      </c>
      <c r="AA24" s="1809">
        <f t="shared" si="3"/>
        <v>1</v>
      </c>
      <c r="AB24" s="1809">
        <f t="shared" si="4"/>
        <v>1</v>
      </c>
      <c r="AC24" s="1809">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1"/>
      <c r="M25" s="1132"/>
      <c r="N25" s="1132"/>
      <c r="O25" s="1133"/>
      <c r="P25" s="3218"/>
      <c r="Q25" s="1793">
        <f t="shared" si="11"/>
        <v>111</v>
      </c>
      <c r="R25" s="769" t="s">
        <v>17</v>
      </c>
      <c r="S25" s="770">
        <f>F25</f>
        <v>100</v>
      </c>
      <c r="T25" s="769" t="s">
        <v>17</v>
      </c>
      <c r="U25" s="770">
        <f>H25</f>
        <v>100</v>
      </c>
      <c r="V25" s="769" t="s">
        <v>17</v>
      </c>
      <c r="W25" s="770">
        <f>J25</f>
        <v>100</v>
      </c>
      <c r="X25" s="771"/>
      <c r="Y25" s="3218"/>
      <c r="Z25" s="55">
        <f>Q25</f>
        <v>111</v>
      </c>
      <c r="AA25" s="1809">
        <f>D25/F25</f>
        <v>1</v>
      </c>
      <c r="AB25" s="1809">
        <f>D25/H25</f>
        <v>1</v>
      </c>
      <c r="AC25" s="1809">
        <f>D25/J25</f>
        <v>1</v>
      </c>
    </row>
    <row r="26" spans="1:29" ht="28.5">
      <c r="A26" s="466" t="s">
        <v>2551</v>
      </c>
      <c r="B26" s="71" t="s">
        <v>2702</v>
      </c>
      <c r="C26" s="2671"/>
      <c r="D26" s="467">
        <v>100</v>
      </c>
      <c r="E26" s="2671"/>
      <c r="F26" s="667">
        <f>SUMIF(77:77,E26,78:78)-SUMIF(77:77,C26,78:78)+100</f>
        <v>100</v>
      </c>
      <c r="G26" s="2671"/>
      <c r="H26" s="467">
        <f>SUMIF(77:77,G26,78:78)-SUMIF(77:77,C26,78:78)+100</f>
        <v>100</v>
      </c>
      <c r="I26" s="2671"/>
      <c r="J26" s="467">
        <f>SUMIF(77:77,I26,78:78)-SUMIF(77:77,C26,78:78)+100</f>
        <v>100</v>
      </c>
      <c r="K26" s="612"/>
      <c r="L26" s="1139"/>
      <c r="M26" s="1130"/>
      <c r="N26" s="1130"/>
      <c r="O26" s="1138"/>
      <c r="P26" s="3219" t="s">
        <v>2553</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0" t="s">
        <v>2553</v>
      </c>
      <c r="Z26" s="1812" t="str">
        <f t="shared" ref="Z26:Z34" si="15">Q26</f>
        <v>公共部分装修</v>
      </c>
      <c r="AA26" s="1809">
        <f t="shared" si="3"/>
        <v>1</v>
      </c>
      <c r="AB26" s="1809">
        <f t="shared" si="4"/>
        <v>1</v>
      </c>
      <c r="AC26" s="1809">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20"/>
      <c r="Q27" s="775" t="str">
        <f t="shared" si="11"/>
        <v>成新率</v>
      </c>
      <c r="R27" s="776" t="s">
        <v>17</v>
      </c>
      <c r="S27" s="777" t="e">
        <f t="shared" si="12"/>
        <v>#N/A</v>
      </c>
      <c r="T27" s="776" t="s">
        <v>17</v>
      </c>
      <c r="U27" s="777" t="e">
        <f t="shared" si="13"/>
        <v>#N/A</v>
      </c>
      <c r="V27" s="776" t="s">
        <v>17</v>
      </c>
      <c r="W27" s="777" t="e">
        <f t="shared" si="14"/>
        <v>#N/A</v>
      </c>
      <c r="X27" s="778"/>
      <c r="Y27" s="3220"/>
      <c r="Z27" s="779" t="str">
        <f t="shared" si="15"/>
        <v>成新率</v>
      </c>
      <c r="AA27" s="1809" t="e">
        <f t="shared" si="3"/>
        <v>#N/A</v>
      </c>
      <c r="AB27" s="1809" t="e">
        <f t="shared" si="4"/>
        <v>#N/A</v>
      </c>
      <c r="AC27" s="1809"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20"/>
      <c r="Q28" s="1808" t="str">
        <f t="shared" si="11"/>
        <v>物业等级</v>
      </c>
      <c r="R28" s="773" t="s">
        <v>17</v>
      </c>
      <c r="S28" s="774">
        <f t="shared" si="12"/>
        <v>100</v>
      </c>
      <c r="T28" s="773" t="s">
        <v>17</v>
      </c>
      <c r="U28" s="774">
        <f t="shared" si="13"/>
        <v>100</v>
      </c>
      <c r="V28" s="773" t="s">
        <v>17</v>
      </c>
      <c r="W28" s="774">
        <f t="shared" si="14"/>
        <v>100</v>
      </c>
      <c r="X28" s="1811"/>
      <c r="Y28" s="3220"/>
      <c r="Z28" s="1812" t="str">
        <f t="shared" si="15"/>
        <v>物业等级</v>
      </c>
      <c r="AA28" s="1809">
        <f t="shared" si="3"/>
        <v>1</v>
      </c>
      <c r="AB28" s="1809">
        <f t="shared" si="4"/>
        <v>1</v>
      </c>
      <c r="AC28" s="1809">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20"/>
      <c r="Q29" s="1808" t="str">
        <f t="shared" si="11"/>
        <v>有无电梯</v>
      </c>
      <c r="R29" s="773" t="s">
        <v>17</v>
      </c>
      <c r="S29" s="774">
        <f t="shared" si="12"/>
        <v>100</v>
      </c>
      <c r="T29" s="773" t="s">
        <v>17</v>
      </c>
      <c r="U29" s="774">
        <f t="shared" si="13"/>
        <v>100</v>
      </c>
      <c r="V29" s="773" t="s">
        <v>17</v>
      </c>
      <c r="W29" s="774">
        <f t="shared" si="14"/>
        <v>100</v>
      </c>
      <c r="X29" s="1811"/>
      <c r="Y29" s="3220"/>
      <c r="Z29" s="1812" t="str">
        <f t="shared" si="15"/>
        <v>有无电梯</v>
      </c>
      <c r="AA29" s="1809">
        <f t="shared" si="3"/>
        <v>1</v>
      </c>
      <c r="AB29" s="1809">
        <f t="shared" si="4"/>
        <v>1</v>
      </c>
      <c r="AC29" s="1809">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20"/>
      <c r="Q30" s="1808" t="str">
        <f t="shared" si="11"/>
        <v>建筑面积</v>
      </c>
      <c r="R30" s="773" t="s">
        <v>17</v>
      </c>
      <c r="S30" s="774" t="e">
        <f t="shared" si="12"/>
        <v>#N/A</v>
      </c>
      <c r="T30" s="773" t="s">
        <v>17</v>
      </c>
      <c r="U30" s="774" t="e">
        <f t="shared" si="13"/>
        <v>#N/A</v>
      </c>
      <c r="V30" s="773" t="s">
        <v>17</v>
      </c>
      <c r="W30" s="774" t="e">
        <f t="shared" si="14"/>
        <v>#N/A</v>
      </c>
      <c r="X30" s="1811"/>
      <c r="Y30" s="3220"/>
      <c r="Z30" s="1812" t="str">
        <f t="shared" si="15"/>
        <v>建筑面积</v>
      </c>
      <c r="AA30" s="1809" t="e">
        <f t="shared" si="3"/>
        <v>#N/A</v>
      </c>
      <c r="AB30" s="1809" t="e">
        <f t="shared" si="4"/>
        <v>#N/A</v>
      </c>
      <c r="AC30" s="1809"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20"/>
      <c r="Q31" s="1793" t="str">
        <f t="shared" si="11"/>
        <v>是否封闭</v>
      </c>
      <c r="R31" s="769" t="s">
        <v>17</v>
      </c>
      <c r="S31" s="770">
        <f t="shared" si="12"/>
        <v>100</v>
      </c>
      <c r="T31" s="769" t="s">
        <v>17</v>
      </c>
      <c r="U31" s="770">
        <f t="shared" si="13"/>
        <v>100</v>
      </c>
      <c r="V31" s="769" t="s">
        <v>17</v>
      </c>
      <c r="W31" s="770">
        <f t="shared" si="14"/>
        <v>100</v>
      </c>
      <c r="X31" s="771"/>
      <c r="Y31" s="3220"/>
      <c r="Z31" s="55" t="str">
        <f t="shared" si="15"/>
        <v>是否封闭</v>
      </c>
      <c r="AA31" s="772">
        <f t="shared" si="3"/>
        <v>1</v>
      </c>
      <c r="AB31" s="772">
        <f t="shared" si="4"/>
        <v>1</v>
      </c>
      <c r="AC31" s="772">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20" t="s">
        <v>2553</v>
      </c>
      <c r="Q32" s="1808">
        <f t="shared" si="11"/>
        <v>111</v>
      </c>
      <c r="R32" s="773" t="s">
        <v>17</v>
      </c>
      <c r="S32" s="774">
        <f t="shared" si="12"/>
        <v>100</v>
      </c>
      <c r="T32" s="773" t="s">
        <v>17</v>
      </c>
      <c r="U32" s="774">
        <f t="shared" si="13"/>
        <v>100</v>
      </c>
      <c r="V32" s="773" t="s">
        <v>17</v>
      </c>
      <c r="W32" s="774">
        <f t="shared" si="14"/>
        <v>100</v>
      </c>
      <c r="X32" s="1811"/>
      <c r="Y32" s="3220" t="s">
        <v>2553</v>
      </c>
      <c r="Z32" s="1812">
        <f t="shared" si="15"/>
        <v>111</v>
      </c>
      <c r="AA32" s="1809">
        <f t="shared" si="3"/>
        <v>1</v>
      </c>
      <c r="AB32" s="1809">
        <f t="shared" si="4"/>
        <v>1</v>
      </c>
      <c r="AC32" s="1809">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20"/>
      <c r="Q33" s="1808">
        <f t="shared" si="11"/>
        <v>111</v>
      </c>
      <c r="R33" s="773" t="s">
        <v>17</v>
      </c>
      <c r="S33" s="774">
        <f t="shared" si="12"/>
        <v>100</v>
      </c>
      <c r="T33" s="773" t="s">
        <v>17</v>
      </c>
      <c r="U33" s="774">
        <f t="shared" si="13"/>
        <v>100</v>
      </c>
      <c r="V33" s="773" t="s">
        <v>17</v>
      </c>
      <c r="W33" s="774">
        <f t="shared" si="14"/>
        <v>100</v>
      </c>
      <c r="X33" s="1811"/>
      <c r="Y33" s="3220"/>
      <c r="Z33" s="1812">
        <f t="shared" si="15"/>
        <v>111</v>
      </c>
      <c r="AA33" s="1809">
        <f t="shared" si="3"/>
        <v>1</v>
      </c>
      <c r="AB33" s="1809">
        <f t="shared" si="4"/>
        <v>1</v>
      </c>
      <c r="AC33" s="1809">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9"/>
      <c r="M34" s="1130"/>
      <c r="N34" s="1130"/>
      <c r="O34" s="1138"/>
      <c r="P34" s="3220"/>
      <c r="Q34" s="1808">
        <f t="shared" si="11"/>
        <v>111</v>
      </c>
      <c r="R34" s="773" t="s">
        <v>17</v>
      </c>
      <c r="S34" s="774">
        <f t="shared" si="12"/>
        <v>100</v>
      </c>
      <c r="T34" s="773" t="s">
        <v>17</v>
      </c>
      <c r="U34" s="774">
        <f t="shared" si="13"/>
        <v>100</v>
      </c>
      <c r="V34" s="773" t="s">
        <v>17</v>
      </c>
      <c r="W34" s="774">
        <f t="shared" si="14"/>
        <v>100</v>
      </c>
      <c r="X34" s="1811"/>
      <c r="Y34" s="3220"/>
      <c r="Z34" s="1812">
        <f t="shared" si="15"/>
        <v>111</v>
      </c>
      <c r="AA34" s="1809">
        <f t="shared" si="3"/>
        <v>1</v>
      </c>
      <c r="AB34" s="1809">
        <f t="shared" si="4"/>
        <v>1</v>
      </c>
      <c r="AC34" s="1809">
        <f t="shared" si="5"/>
        <v>1</v>
      </c>
    </row>
    <row r="35" spans="1:29" ht="15">
      <c r="A35" s="479" t="s">
        <v>2565</v>
      </c>
      <c r="B35" s="480"/>
      <c r="C35" s="1406" t="s">
        <v>1</v>
      </c>
      <c r="D35" s="1407"/>
      <c r="E35" s="1408"/>
      <c r="F35" s="1409"/>
      <c r="G35" s="1410"/>
      <c r="H35" s="1411"/>
      <c r="I35" s="1408"/>
      <c r="J35" s="1411"/>
      <c r="K35" s="782"/>
      <c r="L35" s="1142"/>
      <c r="M35" s="1143"/>
      <c r="N35" s="1130"/>
      <c r="O35" s="1143"/>
      <c r="P35" s="3215" t="str">
        <f>A35</f>
        <v>成交单价（元/平方米）</v>
      </c>
      <c r="Q35" s="3215"/>
      <c r="R35" s="3252">
        <f>E35</f>
        <v>0</v>
      </c>
      <c r="S35" s="3252"/>
      <c r="T35" s="3252">
        <f>G35</f>
        <v>0</v>
      </c>
      <c r="U35" s="3252"/>
      <c r="V35" s="3252">
        <f>I35</f>
        <v>0</v>
      </c>
      <c r="W35" s="3252"/>
      <c r="X35" s="758"/>
      <c r="Y35" s="780"/>
      <c r="Z35" s="758"/>
      <c r="AA35" s="758"/>
      <c r="AB35" s="758"/>
      <c r="AC35" s="758"/>
    </row>
    <row r="36" spans="1:29" ht="15.75" thickBot="1">
      <c r="A36" s="486" t="s">
        <v>2657</v>
      </c>
      <c r="B36" s="487"/>
      <c r="C36" s="1412" t="e">
        <f>R37</f>
        <v>#DIV/0!</v>
      </c>
      <c r="D36" s="1413"/>
      <c r="E36" s="1414" t="e">
        <f>R36</f>
        <v>#DIV/0!</v>
      </c>
      <c r="F36" s="1414"/>
      <c r="G36" s="1412" t="e">
        <f>T36</f>
        <v>#DIV/0!</v>
      </c>
      <c r="H36" s="1413"/>
      <c r="I36" s="1414" t="e">
        <f>V36</f>
        <v>#DIV/0!</v>
      </c>
      <c r="J36" s="1413"/>
      <c r="K36" s="783"/>
      <c r="L36" s="1142"/>
      <c r="M36" s="1143"/>
      <c r="N36" s="1130"/>
      <c r="O36" s="1143"/>
      <c r="P36" s="3215" t="str">
        <f>A36</f>
        <v>比较价值（元/平方米）</v>
      </c>
      <c r="Q36" s="3215"/>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8"/>
      <c r="Y36" s="758"/>
      <c r="Z36" s="758"/>
      <c r="AA36" s="758"/>
      <c r="AB36" s="758"/>
      <c r="AC36" s="758"/>
    </row>
    <row r="37" spans="1:29" ht="15.75" thickBot="1">
      <c r="A37" s="492" t="s">
        <v>2658</v>
      </c>
      <c r="B37" s="493"/>
      <c r="C37" s="1416" t="e">
        <f>R37</f>
        <v>#DIV/0!</v>
      </c>
      <c r="D37" s="1416"/>
      <c r="E37" s="1416"/>
      <c r="F37" s="1416"/>
      <c r="G37" s="1416"/>
      <c r="H37" s="1416"/>
      <c r="I37" s="1416"/>
      <c r="J37" s="1416"/>
      <c r="K37" s="784"/>
      <c r="L37" s="1142"/>
      <c r="M37" s="1143"/>
      <c r="N37" s="1143"/>
      <c r="O37" s="1143"/>
      <c r="P37" s="3209" t="str">
        <f>A37</f>
        <v>估价对象XX用房的比较价值（楼面单价，元/平方米）</v>
      </c>
      <c r="Q37" s="3210"/>
      <c r="R37" s="3251" t="e">
        <f>IF(F1="售价",ROUND(AVERAGE(R36:V36),0),ROUND(AVERAGE(R36:V36),1))</f>
        <v>#DIV/0!</v>
      </c>
      <c r="S37" s="3251"/>
      <c r="T37" s="3251"/>
      <c r="U37" s="3251"/>
      <c r="V37" s="3251"/>
      <c r="W37" s="3251"/>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2662</v>
      </c>
      <c r="B45" s="758"/>
      <c r="C45" s="763"/>
      <c r="D45" s="763"/>
      <c r="E45" s="763"/>
      <c r="F45" s="764"/>
      <c r="G45" s="764"/>
      <c r="H45" s="763"/>
      <c r="I45" s="763"/>
      <c r="J45" s="763"/>
      <c r="K45" s="765"/>
      <c r="L45" s="766"/>
      <c r="M45" s="763"/>
      <c r="N45" s="763"/>
      <c r="O45" s="763"/>
      <c r="P45" s="503"/>
      <c r="Q45" s="504"/>
    </row>
    <row r="46" spans="1:29" s="508" customFormat="1" ht="15">
      <c r="A46" s="505" t="s">
        <v>2536</v>
      </c>
      <c r="B46" s="506"/>
      <c r="C46" s="1572" t="str">
        <f>YEAR(C7)&amp;"-"&amp;MONTH(C7)</f>
        <v>2019-6</v>
      </c>
      <c r="D46" s="1573">
        <f>EDATE(C46,-1)</f>
        <v>43586</v>
      </c>
      <c r="E46" s="1573">
        <f t="shared" ref="E46:O46" si="16">EDATE(D46,-1)</f>
        <v>43556</v>
      </c>
      <c r="F46" s="1573">
        <f t="shared" si="16"/>
        <v>43525</v>
      </c>
      <c r="G46" s="1573">
        <f t="shared" si="16"/>
        <v>43497</v>
      </c>
      <c r="H46" s="1573">
        <f t="shared" si="16"/>
        <v>43466</v>
      </c>
      <c r="I46" s="1573">
        <f t="shared" si="16"/>
        <v>43435</v>
      </c>
      <c r="J46" s="1573">
        <f t="shared" si="16"/>
        <v>43405</v>
      </c>
      <c r="K46" s="1573">
        <f t="shared" si="16"/>
        <v>43374</v>
      </c>
      <c r="L46" s="1573">
        <f t="shared" si="16"/>
        <v>43344</v>
      </c>
      <c r="M46" s="1573">
        <f t="shared" si="16"/>
        <v>43313</v>
      </c>
      <c r="N46" s="1573">
        <f t="shared" si="16"/>
        <v>43282</v>
      </c>
      <c r="O46" s="1573">
        <f t="shared" si="16"/>
        <v>43252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2576</v>
      </c>
      <c r="B51" s="528" t="s">
        <v>2542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2551</v>
      </c>
      <c r="B77" s="528" t="s">
        <v>2604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2729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2734</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12" t="s">
        <v>2634</v>
      </c>
      <c r="D4" s="3225"/>
      <c r="E4" s="3226" t="s">
        <v>2635</v>
      </c>
      <c r="F4" s="3227"/>
      <c r="G4" s="3212" t="s">
        <v>2636</v>
      </c>
      <c r="H4" s="3225"/>
      <c r="I4" s="3212" t="s">
        <v>2637</v>
      </c>
      <c r="J4" s="3225"/>
      <c r="K4" s="610" t="s">
        <v>2638</v>
      </c>
      <c r="L4" s="1129"/>
      <c r="M4" s="1130"/>
      <c r="N4" s="1130"/>
      <c r="O4" s="1130"/>
      <c r="P4" s="3228" t="s">
        <v>2639</v>
      </c>
      <c r="Q4" s="3229"/>
      <c r="R4" s="3234" t="s">
        <v>2635</v>
      </c>
      <c r="S4" s="3235"/>
      <c r="T4" s="3234" t="s">
        <v>2636</v>
      </c>
      <c r="U4" s="3235"/>
      <c r="V4" s="3221" t="s">
        <v>2637</v>
      </c>
      <c r="W4" s="3221"/>
      <c r="X4" s="1811"/>
      <c r="Y4" s="3234" t="s">
        <v>2639</v>
      </c>
      <c r="Z4" s="3235"/>
      <c r="AA4" s="3222" t="s">
        <v>2635</v>
      </c>
      <c r="AB4" s="3223" t="s">
        <v>2636</v>
      </c>
      <c r="AC4" s="3222" t="s">
        <v>2637</v>
      </c>
    </row>
    <row r="5" spans="1:29" ht="15">
      <c r="A5" s="404"/>
      <c r="B5" s="405"/>
      <c r="C5" s="3242" t="s">
        <v>2530</v>
      </c>
      <c r="D5" s="3243"/>
      <c r="E5" s="3249" t="s">
        <v>2531</v>
      </c>
      <c r="F5" s="3250"/>
      <c r="G5" s="3242" t="s">
        <v>2532</v>
      </c>
      <c r="H5" s="3243"/>
      <c r="I5" s="3242" t="s">
        <v>2533</v>
      </c>
      <c r="J5" s="3243"/>
      <c r="K5" s="610"/>
      <c r="L5" s="1129"/>
      <c r="M5" s="1130"/>
      <c r="N5" s="1130"/>
      <c r="O5" s="1130"/>
      <c r="P5" s="3230"/>
      <c r="Q5" s="3231"/>
      <c r="R5" s="3236"/>
      <c r="S5" s="3237"/>
      <c r="T5" s="3236"/>
      <c r="U5" s="3237"/>
      <c r="V5" s="3221"/>
      <c r="W5" s="3221"/>
      <c r="X5" s="1811"/>
      <c r="Y5" s="3236"/>
      <c r="Z5" s="3237"/>
      <c r="AA5" s="3223"/>
      <c r="AB5" s="3223"/>
      <c r="AC5" s="3223"/>
    </row>
    <row r="6" spans="1:29" ht="15.75" thickBot="1">
      <c r="A6" s="406"/>
      <c r="B6" s="407"/>
      <c r="C6" s="3303" t="s">
        <v>2785</v>
      </c>
      <c r="D6" s="3304"/>
      <c r="E6" s="3305" t="s">
        <v>2785</v>
      </c>
      <c r="F6" s="3306"/>
      <c r="G6" s="3303" t="s">
        <v>2785</v>
      </c>
      <c r="H6" s="3304"/>
      <c r="I6" s="3303" t="s">
        <v>2785</v>
      </c>
      <c r="J6" s="3304"/>
      <c r="K6" s="610" t="s">
        <v>2535</v>
      </c>
      <c r="L6" s="1129"/>
      <c r="M6" s="1130"/>
      <c r="N6" s="1130"/>
      <c r="O6" s="1130"/>
      <c r="P6" s="3232"/>
      <c r="Q6" s="3233"/>
      <c r="R6" s="3236"/>
      <c r="S6" s="3237"/>
      <c r="T6" s="3238"/>
      <c r="U6" s="3239"/>
      <c r="V6" s="3221"/>
      <c r="W6" s="3221"/>
      <c r="X6" s="1811"/>
      <c r="Y6" s="3238"/>
      <c r="Z6" s="3239"/>
      <c r="AA6" s="3224"/>
      <c r="AB6" s="3224"/>
      <c r="AC6" s="3224"/>
    </row>
    <row r="7" spans="1:29" s="117" customFormat="1" ht="15.75" thickBot="1">
      <c r="A7" s="408" t="s">
        <v>2536</v>
      </c>
      <c r="B7" s="409"/>
      <c r="C7" s="410">
        <f>'数据-取费表'!B2</f>
        <v>43621</v>
      </c>
      <c r="D7" s="411">
        <v>100</v>
      </c>
      <c r="E7" s="412"/>
      <c r="F7" s="413">
        <f>SUMIF(65:65,YEAR(E7)&amp;"-"&amp;INT((MONTH(E7)+2)/3),66:66)</f>
        <v>0</v>
      </c>
      <c r="G7" s="2688"/>
      <c r="H7" s="411">
        <f>SUMIF(65:65,YEAR(G7)&amp;"-"&amp;INT((MONTH(G7)+2)/3),66:66)</f>
        <v>0</v>
      </c>
      <c r="I7" s="2688"/>
      <c r="J7" s="411">
        <f>SUMIF(65:65,YEAR(I7)&amp;"-"&amp;INT((MONTH(I7)+2)/3),66:66)</f>
        <v>0</v>
      </c>
      <c r="K7" s="611"/>
      <c r="L7" s="1131"/>
      <c r="M7" s="1132"/>
      <c r="N7" s="1132"/>
      <c r="O7" s="1132"/>
      <c r="P7" s="3244" t="s">
        <v>2537</v>
      </c>
      <c r="Q7" s="3246"/>
      <c r="R7" s="769" t="s">
        <v>17</v>
      </c>
      <c r="S7" s="770">
        <f t="shared" ref="S7:S15" si="0">F7</f>
        <v>0</v>
      </c>
      <c r="T7" s="769" t="s">
        <v>17</v>
      </c>
      <c r="U7" s="770">
        <f t="shared" ref="U7:U15" si="1">H7</f>
        <v>0</v>
      </c>
      <c r="V7" s="769" t="s">
        <v>17</v>
      </c>
      <c r="W7" s="770">
        <f t="shared" ref="W7:W15" si="2">J7</f>
        <v>0</v>
      </c>
      <c r="X7" s="771"/>
      <c r="Y7" s="3244" t="s">
        <v>2537</v>
      </c>
      <c r="Z7" s="3245"/>
      <c r="AA7" s="772" t="e">
        <f>D7/F7</f>
        <v>#DIV/0!</v>
      </c>
      <c r="AB7" s="772" t="e">
        <f>D7/H7</f>
        <v>#DIV/0!</v>
      </c>
      <c r="AC7" s="772"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44" t="s">
        <v>2540</v>
      </c>
      <c r="Q8" s="3245"/>
      <c r="R8" s="769" t="s">
        <v>17</v>
      </c>
      <c r="S8" s="770">
        <f t="shared" si="0"/>
        <v>0</v>
      </c>
      <c r="T8" s="769" t="s">
        <v>17</v>
      </c>
      <c r="U8" s="770">
        <f t="shared" si="1"/>
        <v>0</v>
      </c>
      <c r="V8" s="769" t="s">
        <v>17</v>
      </c>
      <c r="W8" s="770">
        <f t="shared" si="2"/>
        <v>0</v>
      </c>
      <c r="X8" s="771"/>
      <c r="Y8" s="3244" t="s">
        <v>2540</v>
      </c>
      <c r="Z8" s="3245"/>
      <c r="AA8" s="772" t="e">
        <f t="shared" ref="AA8:AA40" si="3">D8/F8</f>
        <v>#DIV/0!</v>
      </c>
      <c r="AB8" s="772" t="e">
        <f t="shared" ref="AB8:AB40" si="4">D8/H8</f>
        <v>#DIV/0!</v>
      </c>
      <c r="AC8" s="772" t="e">
        <f t="shared" ref="AC8:AC40" si="5">D8/J8</f>
        <v>#DIV/0!</v>
      </c>
    </row>
    <row r="9" spans="1:29" s="117" customFormat="1">
      <c r="A9" s="415" t="s">
        <v>2541</v>
      </c>
      <c r="B9" s="71" t="s">
        <v>2542</v>
      </c>
      <c r="C9" s="2691"/>
      <c r="D9" s="135">
        <v>100</v>
      </c>
      <c r="E9" s="2691"/>
      <c r="F9" s="135">
        <f>SUMIF(70:70,E9,71:71)-SUMIF(70:70,C9,71:71)+100</f>
        <v>100</v>
      </c>
      <c r="G9" s="2691"/>
      <c r="H9" s="135">
        <f>SUMIF(70:70,G9,71:71)-SUMIF(70:70,C9,71:71)+100</f>
        <v>100</v>
      </c>
      <c r="I9" s="2691"/>
      <c r="J9" s="135">
        <f>SUMIF(70:70,I9,71:71)-SUMIF(70:70,C9,71:71)+100</f>
        <v>100</v>
      </c>
      <c r="K9" s="611"/>
      <c r="L9" s="1131"/>
      <c r="M9" s="1132"/>
      <c r="N9" s="1132"/>
      <c r="O9" s="1133"/>
      <c r="P9" s="3215" t="s">
        <v>2543</v>
      </c>
      <c r="Q9" s="1793" t="str">
        <f t="shared" ref="Q9:Q15" si="6">B9</f>
        <v>用途</v>
      </c>
      <c r="R9" s="769" t="s">
        <v>17</v>
      </c>
      <c r="S9" s="770">
        <f t="shared" si="0"/>
        <v>100</v>
      </c>
      <c r="T9" s="769" t="s">
        <v>17</v>
      </c>
      <c r="U9" s="770">
        <f t="shared" si="1"/>
        <v>100</v>
      </c>
      <c r="V9" s="769" t="s">
        <v>17</v>
      </c>
      <c r="W9" s="770">
        <f t="shared" si="2"/>
        <v>100</v>
      </c>
      <c r="X9" s="771"/>
      <c r="Y9" s="3043" t="s">
        <v>2544</v>
      </c>
      <c r="Z9" s="55" t="str">
        <f t="shared" ref="Z9:Z15" si="7">Q9</f>
        <v>用途</v>
      </c>
      <c r="AA9" s="772">
        <f t="shared" si="3"/>
        <v>1</v>
      </c>
      <c r="AB9" s="772">
        <f t="shared" si="4"/>
        <v>1</v>
      </c>
      <c r="AC9" s="772">
        <f t="shared" si="5"/>
        <v>1</v>
      </c>
    </row>
    <row r="10" spans="1:29" s="427" customFormat="1" ht="27">
      <c r="A10" s="421"/>
      <c r="B10" s="422" t="s">
        <v>2545</v>
      </c>
      <c r="C10" s="432"/>
      <c r="D10" s="136">
        <v>100</v>
      </c>
      <c r="E10" s="432"/>
      <c r="F10" s="136">
        <f>ROUND(100/'数据-取费表'!G16,0)</f>
        <v>100</v>
      </c>
      <c r="G10" s="432"/>
      <c r="H10" s="136">
        <f>ROUND(100/'数据-取费表'!G16,0)</f>
        <v>100</v>
      </c>
      <c r="I10" s="432"/>
      <c r="J10" s="136">
        <f>ROUND(100/'数据-取费表'!G16,0)</f>
        <v>100</v>
      </c>
      <c r="K10" s="672"/>
      <c r="L10" s="1134"/>
      <c r="M10" s="1135"/>
      <c r="N10" s="1135"/>
      <c r="O10" s="1136"/>
      <c r="P10" s="3215"/>
      <c r="Q10" s="1793" t="str">
        <f t="shared" si="6"/>
        <v>土地使用年限（年）</v>
      </c>
      <c r="R10" s="769" t="s">
        <v>17</v>
      </c>
      <c r="S10" s="770">
        <f t="shared" si="0"/>
        <v>100</v>
      </c>
      <c r="T10" s="769" t="s">
        <v>17</v>
      </c>
      <c r="U10" s="770">
        <f t="shared" si="1"/>
        <v>100</v>
      </c>
      <c r="V10" s="769" t="s">
        <v>17</v>
      </c>
      <c r="W10" s="770">
        <f t="shared" si="2"/>
        <v>100</v>
      </c>
      <c r="X10" s="771"/>
      <c r="Y10" s="3043"/>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15"/>
      <c r="Q11" s="1793" t="str">
        <f t="shared" si="6"/>
        <v>容积率</v>
      </c>
      <c r="R11" s="769" t="s">
        <v>17</v>
      </c>
      <c r="S11" s="770" t="e">
        <f t="shared" si="0"/>
        <v>#N/A</v>
      </c>
      <c r="T11" s="769" t="s">
        <v>17</v>
      </c>
      <c r="U11" s="770" t="e">
        <f t="shared" si="1"/>
        <v>#N/A</v>
      </c>
      <c r="V11" s="769" t="s">
        <v>17</v>
      </c>
      <c r="W11" s="770" t="e">
        <f t="shared" si="2"/>
        <v>#N/A</v>
      </c>
      <c r="X11" s="771"/>
      <c r="Y11" s="3043"/>
      <c r="Z11" s="55" t="str">
        <f t="shared" si="7"/>
        <v>容积率</v>
      </c>
      <c r="AA11" s="772" t="e">
        <f t="shared" si="3"/>
        <v>#N/A</v>
      </c>
      <c r="AB11" s="772" t="e">
        <f t="shared" si="4"/>
        <v>#N/A</v>
      </c>
      <c r="AC11" s="772"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15"/>
      <c r="Q12" s="1793">
        <f t="shared" si="6"/>
        <v>111</v>
      </c>
      <c r="R12" s="769" t="s">
        <v>17</v>
      </c>
      <c r="S12" s="770">
        <f t="shared" si="0"/>
        <v>100</v>
      </c>
      <c r="T12" s="769" t="s">
        <v>17</v>
      </c>
      <c r="U12" s="770">
        <f t="shared" si="1"/>
        <v>100</v>
      </c>
      <c r="V12" s="769" t="s">
        <v>17</v>
      </c>
      <c r="W12" s="770">
        <f t="shared" si="2"/>
        <v>100</v>
      </c>
      <c r="X12" s="771"/>
      <c r="Y12" s="3043"/>
      <c r="Z12" s="55">
        <f t="shared" si="7"/>
        <v>111</v>
      </c>
      <c r="AA12" s="772">
        <f>D12/F12</f>
        <v>1</v>
      </c>
      <c r="AB12" s="772">
        <f>D12/H12</f>
        <v>1</v>
      </c>
      <c r="AC12" s="772">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43"/>
      <c r="Z13" s="55">
        <f t="shared" si="7"/>
        <v>111</v>
      </c>
      <c r="AA13" s="772">
        <f t="shared" si="3"/>
        <v>1</v>
      </c>
      <c r="AB13" s="772">
        <f t="shared" si="4"/>
        <v>1</v>
      </c>
      <c r="AC13" s="772">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15"/>
      <c r="Q14" s="1793">
        <f t="shared" si="6"/>
        <v>111</v>
      </c>
      <c r="R14" s="769" t="s">
        <v>17</v>
      </c>
      <c r="S14" s="770">
        <f t="shared" si="0"/>
        <v>100</v>
      </c>
      <c r="T14" s="769" t="s">
        <v>17</v>
      </c>
      <c r="U14" s="770">
        <f t="shared" si="1"/>
        <v>100</v>
      </c>
      <c r="V14" s="769" t="s">
        <v>17</v>
      </c>
      <c r="W14" s="770">
        <f t="shared" si="2"/>
        <v>100</v>
      </c>
      <c r="X14" s="771"/>
      <c r="Y14" s="3043"/>
      <c r="Z14" s="55">
        <f t="shared" si="7"/>
        <v>111</v>
      </c>
      <c r="AA14" s="772">
        <f t="shared" si="3"/>
        <v>1</v>
      </c>
      <c r="AB14" s="772">
        <f t="shared" si="4"/>
        <v>1</v>
      </c>
      <c r="AC14" s="772">
        <f t="shared" si="5"/>
        <v>1</v>
      </c>
    </row>
    <row r="15" spans="1:29" ht="57">
      <c r="A15" s="440" t="s">
        <v>2547</v>
      </c>
      <c r="B15" s="629" t="s">
        <v>2786</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17" t="s">
        <v>2548</v>
      </c>
      <c r="Q15" s="1808" t="str">
        <f t="shared" si="6"/>
        <v>产业集聚程度</v>
      </c>
      <c r="R15" s="773" t="s">
        <v>17</v>
      </c>
      <c r="S15" s="774">
        <f t="shared" si="0"/>
        <v>100</v>
      </c>
      <c r="T15" s="773" t="s">
        <v>17</v>
      </c>
      <c r="U15" s="774">
        <f t="shared" si="1"/>
        <v>100</v>
      </c>
      <c r="V15" s="773" t="s">
        <v>17</v>
      </c>
      <c r="W15" s="774">
        <f t="shared" si="2"/>
        <v>100</v>
      </c>
      <c r="X15" s="1811"/>
      <c r="Y15" s="3217" t="s">
        <v>2548</v>
      </c>
      <c r="Z15" s="1812" t="str">
        <f t="shared" si="7"/>
        <v>产业集聚程度</v>
      </c>
      <c r="AA15" s="1809">
        <f t="shared" si="3"/>
        <v>1</v>
      </c>
      <c r="AB15" s="1809">
        <f t="shared" si="4"/>
        <v>1</v>
      </c>
      <c r="AC15" s="1809">
        <f t="shared" si="5"/>
        <v>1</v>
      </c>
    </row>
    <row r="16" spans="1:29" ht="15">
      <c r="A16" s="428"/>
      <c r="B16" s="630"/>
      <c r="C16" s="447"/>
      <c r="D16" s="448"/>
      <c r="E16" s="2603"/>
      <c r="F16" s="448"/>
      <c r="G16" s="2603"/>
      <c r="H16" s="450"/>
      <c r="I16" s="2603"/>
      <c r="J16" s="448"/>
      <c r="K16" s="672"/>
      <c r="L16" s="1139"/>
      <c r="M16" s="1130"/>
      <c r="N16" s="1130"/>
      <c r="O16" s="1138"/>
      <c r="P16" s="3218"/>
      <c r="Q16" s="1808"/>
      <c r="R16" s="773"/>
      <c r="S16" s="774"/>
      <c r="T16" s="773"/>
      <c r="U16" s="774"/>
      <c r="V16" s="773"/>
      <c r="W16" s="774"/>
      <c r="X16" s="1811"/>
      <c r="Y16" s="3218"/>
      <c r="Z16" s="1812"/>
      <c r="AA16" s="1809">
        <v>1</v>
      </c>
      <c r="AB16" s="1809">
        <v>1</v>
      </c>
      <c r="AC16" s="1809">
        <v>1</v>
      </c>
    </row>
    <row r="17" spans="1:29" ht="85.5">
      <c r="A17" s="428"/>
      <c r="B17" s="631" t="s">
        <v>2697</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18"/>
      <c r="Q17" s="1808" t="str">
        <f>B17</f>
        <v>交通便捷度</v>
      </c>
      <c r="R17" s="773" t="s">
        <v>17</v>
      </c>
      <c r="S17" s="774">
        <f>F17</f>
        <v>100</v>
      </c>
      <c r="T17" s="773" t="s">
        <v>17</v>
      </c>
      <c r="U17" s="774">
        <f>H17</f>
        <v>100</v>
      </c>
      <c r="V17" s="773" t="s">
        <v>17</v>
      </c>
      <c r="W17" s="774">
        <f>J17</f>
        <v>100</v>
      </c>
      <c r="X17" s="1811"/>
      <c r="Y17" s="3218"/>
      <c r="Z17" s="1812" t="str">
        <f>Q17</f>
        <v>交通便捷度</v>
      </c>
      <c r="AA17" s="1809">
        <f t="shared" si="3"/>
        <v>1</v>
      </c>
      <c r="AB17" s="1809">
        <f t="shared" si="4"/>
        <v>1</v>
      </c>
      <c r="AC17" s="1809">
        <f t="shared" si="5"/>
        <v>1</v>
      </c>
    </row>
    <row r="18" spans="1:29" ht="15">
      <c r="A18" s="428"/>
      <c r="B18" s="632"/>
      <c r="C18" s="447"/>
      <c r="D18" s="448"/>
      <c r="E18" s="2597"/>
      <c r="F18" s="448"/>
      <c r="G18" s="2597"/>
      <c r="H18" s="448"/>
      <c r="I18" s="2596"/>
      <c r="J18" s="448"/>
      <c r="K18" s="672"/>
      <c r="L18" s="1139"/>
      <c r="M18" s="1130"/>
      <c r="N18" s="1130"/>
      <c r="O18" s="1138"/>
      <c r="P18" s="3218"/>
      <c r="Q18" s="1808"/>
      <c r="R18" s="773"/>
      <c r="S18" s="774"/>
      <c r="T18" s="773"/>
      <c r="U18" s="774"/>
      <c r="V18" s="773"/>
      <c r="W18" s="774"/>
      <c r="X18" s="1811"/>
      <c r="Y18" s="3218"/>
      <c r="Z18" s="1812"/>
      <c r="AA18" s="1809">
        <v>1</v>
      </c>
      <c r="AB18" s="1809">
        <v>1</v>
      </c>
      <c r="AC18" s="1809">
        <v>1</v>
      </c>
    </row>
    <row r="19" spans="1:29" ht="15">
      <c r="A19" s="428"/>
      <c r="B19" s="631" t="s">
        <v>2736</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18"/>
      <c r="Q19" s="1808" t="str">
        <f t="shared" ref="Q19:Q33" si="8">B19</f>
        <v>区域土地利用方向</v>
      </c>
      <c r="R19" s="773" t="s">
        <v>17</v>
      </c>
      <c r="S19" s="774">
        <f>F19</f>
        <v>100</v>
      </c>
      <c r="T19" s="773" t="s">
        <v>17</v>
      </c>
      <c r="U19" s="774">
        <f>H19</f>
        <v>100</v>
      </c>
      <c r="V19" s="773" t="s">
        <v>17</v>
      </c>
      <c r="W19" s="774">
        <f>J19</f>
        <v>100</v>
      </c>
      <c r="X19" s="1811"/>
      <c r="Y19" s="3218"/>
      <c r="Z19" s="1812" t="str">
        <f>Q19</f>
        <v>区域土地利用方向</v>
      </c>
      <c r="AA19" s="1809">
        <f t="shared" si="3"/>
        <v>1</v>
      </c>
      <c r="AB19" s="1809">
        <f t="shared" si="4"/>
        <v>1</v>
      </c>
      <c r="AC19" s="1809">
        <f t="shared" si="5"/>
        <v>1</v>
      </c>
    </row>
    <row r="20" spans="1:29" ht="15">
      <c r="A20" s="404"/>
      <c r="B20" s="632"/>
      <c r="C20" s="447"/>
      <c r="D20" s="448"/>
      <c r="E20" s="2597"/>
      <c r="F20" s="448"/>
      <c r="G20" s="2597"/>
      <c r="H20" s="448"/>
      <c r="I20" s="2597"/>
      <c r="J20" s="448"/>
      <c r="K20" s="811"/>
      <c r="L20" s="1139"/>
      <c r="M20" s="1130"/>
      <c r="N20" s="1130"/>
      <c r="O20" s="1138"/>
      <c r="P20" s="3218"/>
      <c r="Q20" s="1808"/>
      <c r="R20" s="773"/>
      <c r="S20" s="774"/>
      <c r="T20" s="773"/>
      <c r="U20" s="774"/>
      <c r="V20" s="773"/>
      <c r="W20" s="774"/>
      <c r="X20" s="1811"/>
      <c r="Y20" s="3218"/>
      <c r="Z20" s="1812"/>
      <c r="AA20" s="1809"/>
      <c r="AB20" s="1809"/>
      <c r="AC20" s="1809"/>
    </row>
    <row r="21" spans="1:29" ht="71.25">
      <c r="A21" s="404"/>
      <c r="B21" s="631" t="s">
        <v>2787</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18"/>
      <c r="Q21" s="1808" t="str">
        <f t="shared" si="8"/>
        <v>环境状况</v>
      </c>
      <c r="R21" s="773" t="s">
        <v>17</v>
      </c>
      <c r="S21" s="774">
        <f>F21</f>
        <v>100</v>
      </c>
      <c r="T21" s="773" t="s">
        <v>17</v>
      </c>
      <c r="U21" s="774">
        <f>H21</f>
        <v>100</v>
      </c>
      <c r="V21" s="773" t="s">
        <v>17</v>
      </c>
      <c r="W21" s="774">
        <f>J21</f>
        <v>100</v>
      </c>
      <c r="X21" s="1811"/>
      <c r="Y21" s="3218"/>
      <c r="Z21" s="1812" t="str">
        <f>Q21</f>
        <v>环境状况</v>
      </c>
      <c r="AA21" s="1809">
        <f t="shared" si="3"/>
        <v>1</v>
      </c>
      <c r="AB21" s="1809">
        <f t="shared" si="4"/>
        <v>1</v>
      </c>
      <c r="AC21" s="1809">
        <f t="shared" si="5"/>
        <v>1</v>
      </c>
    </row>
    <row r="22" spans="1:29" ht="15">
      <c r="A22" s="404"/>
      <c r="B22" s="632"/>
      <c r="C22" s="447"/>
      <c r="D22" s="448"/>
      <c r="E22" s="2603"/>
      <c r="F22" s="448"/>
      <c r="G22" s="2603"/>
      <c r="H22" s="448"/>
      <c r="I22" s="447"/>
      <c r="J22" s="448"/>
      <c r="K22" s="672"/>
      <c r="L22" s="1139"/>
      <c r="M22" s="1130"/>
      <c r="N22" s="1130"/>
      <c r="O22" s="1138"/>
      <c r="P22" s="3218"/>
      <c r="Q22" s="1808"/>
      <c r="R22" s="773"/>
      <c r="S22" s="774"/>
      <c r="T22" s="773"/>
      <c r="U22" s="774"/>
      <c r="V22" s="773"/>
      <c r="W22" s="774"/>
      <c r="X22" s="1811"/>
      <c r="Y22" s="3218"/>
      <c r="Z22" s="1812"/>
      <c r="AA22" s="1809">
        <v>1</v>
      </c>
      <c r="AB22" s="1809">
        <v>1</v>
      </c>
      <c r="AC22" s="1809">
        <v>1</v>
      </c>
    </row>
    <row r="23" spans="1:29" s="117" customFormat="1" ht="42.75">
      <c r="A23" s="649"/>
      <c r="B23" s="633" t="s">
        <v>2642</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18"/>
      <c r="Q23" s="1793" t="str">
        <f t="shared" si="8"/>
        <v>公共配套设施</v>
      </c>
      <c r="R23" s="769" t="s">
        <v>17</v>
      </c>
      <c r="S23" s="770">
        <f>F23</f>
        <v>100</v>
      </c>
      <c r="T23" s="769" t="s">
        <v>17</v>
      </c>
      <c r="U23" s="770">
        <f>H23</f>
        <v>100</v>
      </c>
      <c r="V23" s="769" t="s">
        <v>17</v>
      </c>
      <c r="W23" s="770">
        <f>J23</f>
        <v>100</v>
      </c>
      <c r="X23" s="771"/>
      <c r="Y23" s="3218"/>
      <c r="Z23" s="55" t="str">
        <f>Q23</f>
        <v>公共配套设施</v>
      </c>
      <c r="AA23" s="1809">
        <f>D23/F23</f>
        <v>1</v>
      </c>
      <c r="AB23" s="1809">
        <f>D23/H23</f>
        <v>1</v>
      </c>
      <c r="AC23" s="1809">
        <f>D23/J23</f>
        <v>1</v>
      </c>
    </row>
    <row r="24" spans="1:29" s="117" customFormat="1" ht="15">
      <c r="A24" s="649"/>
      <c r="B24" s="632"/>
      <c r="C24" s="2692"/>
      <c r="D24" s="448"/>
      <c r="E24" s="2603"/>
      <c r="F24" s="448"/>
      <c r="G24" s="2603"/>
      <c r="H24" s="448"/>
      <c r="I24" s="447"/>
      <c r="J24" s="448"/>
      <c r="K24" s="672"/>
      <c r="L24" s="1131"/>
      <c r="M24" s="1132"/>
      <c r="N24" s="1132"/>
      <c r="O24" s="1133"/>
      <c r="P24" s="3218"/>
      <c r="Q24" s="1793"/>
      <c r="R24" s="769"/>
      <c r="S24" s="770"/>
      <c r="T24" s="769"/>
      <c r="U24" s="770"/>
      <c r="V24" s="769"/>
      <c r="W24" s="770"/>
      <c r="X24" s="771"/>
      <c r="Y24" s="3218"/>
      <c r="Z24" s="55"/>
      <c r="AA24" s="772">
        <v>1</v>
      </c>
      <c r="AB24" s="772">
        <v>1</v>
      </c>
      <c r="AC24" s="772">
        <v>1</v>
      </c>
    </row>
    <row r="25" spans="1:29" s="117" customFormat="1" ht="28.5">
      <c r="A25" s="649"/>
      <c r="B25" s="633" t="s">
        <v>2643</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18"/>
      <c r="Q25" s="1793" t="str">
        <f t="shared" ref="Q25" si="9">B25</f>
        <v>基础设施水平</v>
      </c>
      <c r="R25" s="769" t="s">
        <v>17</v>
      </c>
      <c r="S25" s="770">
        <f>F25</f>
        <v>100</v>
      </c>
      <c r="T25" s="769" t="s">
        <v>17</v>
      </c>
      <c r="U25" s="770">
        <f>H25</f>
        <v>100</v>
      </c>
      <c r="V25" s="769" t="s">
        <v>17</v>
      </c>
      <c r="W25" s="770">
        <f>J25</f>
        <v>100</v>
      </c>
      <c r="X25" s="771"/>
      <c r="Y25" s="3218"/>
      <c r="Z25" s="55" t="str">
        <f>Q25</f>
        <v>基础设施水平</v>
      </c>
      <c r="AA25" s="1809">
        <f>D25/F25</f>
        <v>1</v>
      </c>
      <c r="AB25" s="1809">
        <f>D25/H25</f>
        <v>1</v>
      </c>
      <c r="AC25" s="1809">
        <f>D25/J25</f>
        <v>1</v>
      </c>
    </row>
    <row r="26" spans="1:29" s="117" customFormat="1" ht="15">
      <c r="A26" s="649"/>
      <c r="B26" s="632"/>
      <c r="C26" s="2692"/>
      <c r="D26" s="448"/>
      <c r="E26" s="2693"/>
      <c r="F26" s="448"/>
      <c r="G26" s="2693"/>
      <c r="H26" s="448"/>
      <c r="I26" s="2693"/>
      <c r="J26" s="448"/>
      <c r="K26" s="672"/>
      <c r="L26" s="1131"/>
      <c r="M26" s="1132"/>
      <c r="N26" s="1132"/>
      <c r="O26" s="1133"/>
      <c r="P26" s="3218"/>
      <c r="Q26" s="1793"/>
      <c r="R26" s="769"/>
      <c r="S26" s="770"/>
      <c r="T26" s="769"/>
      <c r="U26" s="770"/>
      <c r="V26" s="769"/>
      <c r="W26" s="770"/>
      <c r="X26" s="771"/>
      <c r="Y26" s="3218"/>
      <c r="Z26" s="55"/>
      <c r="AA26" s="772">
        <v>1</v>
      </c>
      <c r="AB26" s="772">
        <v>1</v>
      </c>
      <c r="AC26" s="772">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18"/>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18"/>
      <c r="Z27" s="1812" t="str">
        <f t="shared" ref="Z27:Z40" si="13">Q27</f>
        <v>临街状况</v>
      </c>
      <c r="AA27" s="1809">
        <f t="shared" si="3"/>
        <v>1</v>
      </c>
      <c r="AB27" s="1809">
        <f t="shared" si="4"/>
        <v>1</v>
      </c>
      <c r="AC27" s="1809">
        <f t="shared" si="5"/>
        <v>1</v>
      </c>
    </row>
    <row r="28" spans="1:29" ht="27">
      <c r="A28" s="428"/>
      <c r="B28" s="633" t="s">
        <v>2679</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18"/>
      <c r="Q28" s="1808" t="str">
        <f t="shared" si="8"/>
        <v>毗邻道路的类型与等级</v>
      </c>
      <c r="R28" s="773" t="s">
        <v>17</v>
      </c>
      <c r="S28" s="774">
        <f t="shared" si="10"/>
        <v>100</v>
      </c>
      <c r="T28" s="773" t="s">
        <v>17</v>
      </c>
      <c r="U28" s="774">
        <f t="shared" si="11"/>
        <v>100</v>
      </c>
      <c r="V28" s="773" t="s">
        <v>17</v>
      </c>
      <c r="W28" s="774">
        <f t="shared" si="12"/>
        <v>100</v>
      </c>
      <c r="X28" s="1811"/>
      <c r="Y28" s="3218"/>
      <c r="Z28" s="1812" t="str">
        <f t="shared" si="13"/>
        <v>毗邻道路的类型与等级</v>
      </c>
      <c r="AA28" s="1809">
        <f t="shared" si="3"/>
        <v>1</v>
      </c>
      <c r="AB28" s="1809">
        <f t="shared" si="4"/>
        <v>1</v>
      </c>
      <c r="AC28" s="1809">
        <f t="shared" si="5"/>
        <v>1</v>
      </c>
    </row>
    <row r="29" spans="1:29" ht="15">
      <c r="A29" s="428"/>
      <c r="B29" s="632"/>
      <c r="C29" s="447"/>
      <c r="D29" s="448"/>
      <c r="E29" s="2603"/>
      <c r="F29" s="448"/>
      <c r="G29" s="2603"/>
      <c r="H29" s="448"/>
      <c r="I29" s="2603"/>
      <c r="J29" s="448"/>
      <c r="K29" s="613"/>
      <c r="L29" s="1139"/>
      <c r="M29" s="1130"/>
      <c r="N29" s="1130"/>
      <c r="O29" s="1138"/>
      <c r="P29" s="3218"/>
      <c r="Q29" s="1808"/>
      <c r="R29" s="773"/>
      <c r="S29" s="774"/>
      <c r="T29" s="773"/>
      <c r="U29" s="774"/>
      <c r="V29" s="773"/>
      <c r="W29" s="774"/>
      <c r="X29" s="1811"/>
      <c r="Y29" s="3218"/>
      <c r="Z29" s="1812"/>
      <c r="AA29" s="1809">
        <v>1</v>
      </c>
      <c r="AB29" s="1809">
        <v>1</v>
      </c>
      <c r="AC29" s="1809">
        <v>1</v>
      </c>
    </row>
    <row r="30" spans="1:29" ht="15">
      <c r="A30" s="428"/>
      <c r="B30" s="654" t="s">
        <v>2738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18"/>
      <c r="Q30" s="1808" t="str">
        <f t="shared" si="8"/>
        <v>土地级别</v>
      </c>
      <c r="R30" s="773" t="s">
        <v>17</v>
      </c>
      <c r="S30" s="774">
        <f t="shared" si="10"/>
        <v>100</v>
      </c>
      <c r="T30" s="773" t="s">
        <v>17</v>
      </c>
      <c r="U30" s="774">
        <f t="shared" si="11"/>
        <v>100</v>
      </c>
      <c r="V30" s="773" t="s">
        <v>17</v>
      </c>
      <c r="W30" s="774">
        <f t="shared" si="12"/>
        <v>100</v>
      </c>
      <c r="X30" s="1811"/>
      <c r="Y30" s="3218"/>
      <c r="Z30" s="1812" t="str">
        <f t="shared" si="13"/>
        <v>土地级别</v>
      </c>
      <c r="AA30" s="1809">
        <f t="shared" si="3"/>
        <v>1</v>
      </c>
      <c r="AB30" s="1809">
        <f t="shared" si="4"/>
        <v>1</v>
      </c>
      <c r="AC30" s="1809">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18"/>
      <c r="Q31" s="1808">
        <f t="shared" si="8"/>
        <v>111</v>
      </c>
      <c r="R31" s="773" t="s">
        <v>17</v>
      </c>
      <c r="S31" s="774">
        <f t="shared" si="10"/>
        <v>100</v>
      </c>
      <c r="T31" s="773" t="s">
        <v>17</v>
      </c>
      <c r="U31" s="774">
        <f t="shared" si="11"/>
        <v>100</v>
      </c>
      <c r="V31" s="773" t="s">
        <v>17</v>
      </c>
      <c r="W31" s="774">
        <f t="shared" si="12"/>
        <v>100</v>
      </c>
      <c r="X31" s="1811"/>
      <c r="Y31" s="3218"/>
      <c r="Z31" s="1812">
        <f t="shared" si="13"/>
        <v>111</v>
      </c>
      <c r="AA31" s="1809">
        <f t="shared" si="3"/>
        <v>1</v>
      </c>
      <c r="AB31" s="1809">
        <f t="shared" si="4"/>
        <v>1</v>
      </c>
      <c r="AC31" s="1809">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19" t="s">
        <v>2553</v>
      </c>
      <c r="Q32" s="1808">
        <f t="shared" si="8"/>
        <v>111</v>
      </c>
      <c r="R32" s="773" t="s">
        <v>17</v>
      </c>
      <c r="S32" s="774">
        <f t="shared" si="10"/>
        <v>100</v>
      </c>
      <c r="T32" s="773" t="s">
        <v>17</v>
      </c>
      <c r="U32" s="774">
        <f t="shared" si="11"/>
        <v>100</v>
      </c>
      <c r="V32" s="773" t="s">
        <v>17</v>
      </c>
      <c r="W32" s="774">
        <f t="shared" si="12"/>
        <v>100</v>
      </c>
      <c r="X32" s="1811"/>
      <c r="Y32" s="3220" t="s">
        <v>2553</v>
      </c>
      <c r="Z32" s="1812">
        <f t="shared" si="13"/>
        <v>111</v>
      </c>
      <c r="AA32" s="1809">
        <f t="shared" si="3"/>
        <v>1</v>
      </c>
      <c r="AB32" s="1809">
        <f t="shared" si="4"/>
        <v>1</v>
      </c>
      <c r="AC32" s="1809">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20"/>
      <c r="Q33" s="1808">
        <f t="shared" si="8"/>
        <v>111</v>
      </c>
      <c r="R33" s="776" t="s">
        <v>17</v>
      </c>
      <c r="S33" s="777">
        <f t="shared" si="10"/>
        <v>100</v>
      </c>
      <c r="T33" s="776" t="s">
        <v>17</v>
      </c>
      <c r="U33" s="777">
        <f t="shared" si="11"/>
        <v>100</v>
      </c>
      <c r="V33" s="776" t="s">
        <v>17</v>
      </c>
      <c r="W33" s="777">
        <f t="shared" si="12"/>
        <v>100</v>
      </c>
      <c r="X33" s="778"/>
      <c r="Y33" s="3220"/>
      <c r="Z33" s="779">
        <f t="shared" si="13"/>
        <v>111</v>
      </c>
      <c r="AA33" s="1809">
        <f t="shared" si="3"/>
        <v>1</v>
      </c>
      <c r="AB33" s="1809">
        <f t="shared" si="4"/>
        <v>1</v>
      </c>
      <c r="AC33" s="1809">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20"/>
      <c r="Q34" s="1808" t="str">
        <f>B34</f>
        <v>宗地面积</v>
      </c>
      <c r="R34" s="773" t="s">
        <v>17</v>
      </c>
      <c r="S34" s="774" t="e">
        <f t="shared" si="10"/>
        <v>#N/A</v>
      </c>
      <c r="T34" s="773" t="s">
        <v>17</v>
      </c>
      <c r="U34" s="774" t="e">
        <f t="shared" si="11"/>
        <v>#N/A</v>
      </c>
      <c r="V34" s="773" t="s">
        <v>17</v>
      </c>
      <c r="W34" s="774" t="e">
        <f t="shared" si="12"/>
        <v>#N/A</v>
      </c>
      <c r="X34" s="1811"/>
      <c r="Y34" s="3220"/>
      <c r="Z34" s="1812" t="str">
        <f t="shared" si="13"/>
        <v>宗地面积</v>
      </c>
      <c r="AA34" s="1809" t="e">
        <f t="shared" si="3"/>
        <v>#N/A</v>
      </c>
      <c r="AB34" s="1809" t="e">
        <f t="shared" si="4"/>
        <v>#N/A</v>
      </c>
      <c r="AC34" s="1809" t="e">
        <f t="shared" si="5"/>
        <v>#N/A</v>
      </c>
    </row>
    <row r="35" spans="1:29" ht="15">
      <c r="A35" s="472"/>
      <c r="B35" s="422" t="s">
        <v>2740</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9"/>
      <c r="M35" s="1130"/>
      <c r="N35" s="1130"/>
      <c r="O35" s="1138"/>
      <c r="P35" s="3220"/>
      <c r="Q35" s="1808" t="str">
        <f t="shared" ref="Q35:Q40" si="14">B35</f>
        <v>宗地形状</v>
      </c>
      <c r="R35" s="773" t="s">
        <v>17</v>
      </c>
      <c r="S35" s="774">
        <f t="shared" si="10"/>
        <v>100</v>
      </c>
      <c r="T35" s="773" t="s">
        <v>17</v>
      </c>
      <c r="U35" s="774">
        <f t="shared" si="11"/>
        <v>100</v>
      </c>
      <c r="V35" s="773" t="s">
        <v>17</v>
      </c>
      <c r="W35" s="774">
        <f t="shared" si="12"/>
        <v>100</v>
      </c>
      <c r="X35" s="1811"/>
      <c r="Y35" s="3220"/>
      <c r="Z35" s="1812" t="str">
        <f t="shared" si="13"/>
        <v>宗地形状</v>
      </c>
      <c r="AA35" s="1809">
        <f t="shared" si="3"/>
        <v>1</v>
      </c>
      <c r="AB35" s="1809">
        <f t="shared" si="4"/>
        <v>1</v>
      </c>
      <c r="AC35" s="1809">
        <f t="shared" si="5"/>
        <v>1</v>
      </c>
    </row>
    <row r="36" spans="1:29" s="117" customFormat="1" ht="15">
      <c r="A36" s="473"/>
      <c r="B36" s="422" t="s">
        <v>2742</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1"/>
      <c r="M36" s="1132"/>
      <c r="N36" s="1132"/>
      <c r="O36" s="1133"/>
      <c r="P36" s="3220"/>
      <c r="Q36" s="1808" t="str">
        <f t="shared" si="14"/>
        <v>宗地开发程度</v>
      </c>
      <c r="R36" s="769" t="s">
        <v>17</v>
      </c>
      <c r="S36" s="770">
        <f t="shared" si="10"/>
        <v>100</v>
      </c>
      <c r="T36" s="769" t="s">
        <v>17</v>
      </c>
      <c r="U36" s="770">
        <f t="shared" si="11"/>
        <v>100</v>
      </c>
      <c r="V36" s="769" t="s">
        <v>17</v>
      </c>
      <c r="W36" s="770">
        <f t="shared" si="12"/>
        <v>100</v>
      </c>
      <c r="X36" s="771"/>
      <c r="Y36" s="3220"/>
      <c r="Z36" s="55" t="str">
        <f t="shared" si="13"/>
        <v>宗地开发程度</v>
      </c>
      <c r="AA36" s="772">
        <f t="shared" si="3"/>
        <v>1</v>
      </c>
      <c r="AB36" s="772">
        <f t="shared" si="4"/>
        <v>1</v>
      </c>
      <c r="AC36" s="772">
        <f t="shared" si="5"/>
        <v>1</v>
      </c>
    </row>
    <row r="37" spans="1:29" ht="15">
      <c r="A37" s="472"/>
      <c r="B37" s="422" t="s">
        <v>2743</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9"/>
      <c r="M37" s="1130"/>
      <c r="N37" s="1130"/>
      <c r="O37" s="1138"/>
      <c r="P37" s="3220" t="s">
        <v>2553</v>
      </c>
      <c r="Q37" s="1808" t="str">
        <f t="shared" si="14"/>
        <v>工程地质条件</v>
      </c>
      <c r="R37" s="773" t="s">
        <v>17</v>
      </c>
      <c r="S37" s="774">
        <f t="shared" si="10"/>
        <v>100</v>
      </c>
      <c r="T37" s="773" t="s">
        <v>17</v>
      </c>
      <c r="U37" s="774">
        <f t="shared" si="11"/>
        <v>100</v>
      </c>
      <c r="V37" s="773" t="s">
        <v>17</v>
      </c>
      <c r="W37" s="774">
        <f t="shared" si="12"/>
        <v>100</v>
      </c>
      <c r="X37" s="1811"/>
      <c r="Y37" s="3220" t="s">
        <v>2553</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20"/>
      <c r="Q38" s="1808">
        <f t="shared" si="14"/>
        <v>111</v>
      </c>
      <c r="R38" s="773" t="s">
        <v>17</v>
      </c>
      <c r="S38" s="774">
        <f t="shared" si="10"/>
        <v>100</v>
      </c>
      <c r="T38" s="773" t="s">
        <v>17</v>
      </c>
      <c r="U38" s="774">
        <f t="shared" si="11"/>
        <v>100</v>
      </c>
      <c r="V38" s="773" t="s">
        <v>17</v>
      </c>
      <c r="W38" s="774">
        <f t="shared" si="12"/>
        <v>100</v>
      </c>
      <c r="X38" s="1811"/>
      <c r="Y38" s="3220"/>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20"/>
      <c r="Q39" s="1808">
        <f t="shared" si="14"/>
        <v>111</v>
      </c>
      <c r="R39" s="773" t="s">
        <v>17</v>
      </c>
      <c r="S39" s="774">
        <f t="shared" si="10"/>
        <v>100</v>
      </c>
      <c r="T39" s="773" t="s">
        <v>17</v>
      </c>
      <c r="U39" s="774">
        <f t="shared" si="11"/>
        <v>100</v>
      </c>
      <c r="V39" s="773" t="s">
        <v>17</v>
      </c>
      <c r="W39" s="774">
        <f t="shared" si="12"/>
        <v>100</v>
      </c>
      <c r="X39" s="1811"/>
      <c r="Y39" s="3220"/>
      <c r="Z39" s="1812">
        <f t="shared" si="13"/>
        <v>111</v>
      </c>
      <c r="AA39" s="1809">
        <f t="shared" si="3"/>
        <v>1</v>
      </c>
      <c r="AB39" s="1809">
        <f t="shared" si="4"/>
        <v>1</v>
      </c>
      <c r="AC39" s="1809">
        <f t="shared" si="5"/>
        <v>1</v>
      </c>
    </row>
    <row r="40" spans="1:29" s="471" customFormat="1" ht="15.75" thickBot="1">
      <c r="A40" s="468"/>
      <c r="B40" s="1386">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20"/>
      <c r="Q40" s="1808">
        <f t="shared" si="14"/>
        <v>111</v>
      </c>
      <c r="R40" s="776" t="s">
        <v>17</v>
      </c>
      <c r="S40" s="777">
        <f t="shared" si="10"/>
        <v>100</v>
      </c>
      <c r="T40" s="776" t="s">
        <v>17</v>
      </c>
      <c r="U40" s="777">
        <f t="shared" si="11"/>
        <v>100</v>
      </c>
      <c r="V40" s="776" t="s">
        <v>17</v>
      </c>
      <c r="W40" s="777">
        <f t="shared" si="12"/>
        <v>100</v>
      </c>
      <c r="X40" s="778"/>
      <c r="Y40" s="3220"/>
      <c r="Z40" s="779">
        <f t="shared" si="13"/>
        <v>111</v>
      </c>
      <c r="AA40" s="1809">
        <f t="shared" si="3"/>
        <v>1</v>
      </c>
      <c r="AB40" s="1809">
        <f t="shared" si="4"/>
        <v>1</v>
      </c>
      <c r="AC40" s="1809">
        <f t="shared" si="5"/>
        <v>1</v>
      </c>
    </row>
    <row r="41" spans="1:29" ht="15">
      <c r="A41" s="479" t="s">
        <v>2708</v>
      </c>
      <c r="B41" s="2696" t="s">
        <v>2788</v>
      </c>
      <c r="C41" s="682" t="s">
        <v>1</v>
      </c>
      <c r="D41" s="481"/>
      <c r="E41" s="482"/>
      <c r="F41" s="483"/>
      <c r="G41" s="484"/>
      <c r="H41" s="485"/>
      <c r="I41" s="482"/>
      <c r="J41" s="485"/>
      <c r="K41" s="782"/>
      <c r="L41" s="1142"/>
      <c r="M41" s="1130"/>
      <c r="N41" s="1130"/>
      <c r="O41" s="1143"/>
      <c r="P41" s="3215" t="str">
        <f>A41</f>
        <v>成交单价</v>
      </c>
      <c r="Q41" s="3215"/>
      <c r="R41" s="3221">
        <f>E41</f>
        <v>0</v>
      </c>
      <c r="S41" s="3221"/>
      <c r="T41" s="3221">
        <f>G41</f>
        <v>0</v>
      </c>
      <c r="U41" s="3221"/>
      <c r="V41" s="3221">
        <f>I41</f>
        <v>0</v>
      </c>
      <c r="W41" s="3221"/>
      <c r="X41" s="758"/>
      <c r="Y41" s="780"/>
      <c r="Z41" s="758"/>
      <c r="AA41" s="758"/>
      <c r="AB41" s="758"/>
      <c r="AC41" s="758"/>
    </row>
    <row r="42" spans="1:29" ht="15.75" thickBot="1">
      <c r="A42" s="486" t="s">
        <v>2657</v>
      </c>
      <c r="B42" s="683"/>
      <c r="C42" s="490" t="e">
        <f>R43</f>
        <v>#DIV/0!</v>
      </c>
      <c r="D42" s="489"/>
      <c r="E42" s="490" t="e">
        <f>R42</f>
        <v>#DIV/0!</v>
      </c>
      <c r="F42" s="491"/>
      <c r="G42" s="488" t="e">
        <f>T42</f>
        <v>#DIV/0!</v>
      </c>
      <c r="H42" s="489"/>
      <c r="I42" s="490" t="e">
        <f>V42</f>
        <v>#DIV/0!</v>
      </c>
      <c r="J42" s="489"/>
      <c r="K42" s="783"/>
      <c r="L42" s="1142"/>
      <c r="M42" s="1130"/>
      <c r="N42" s="1130"/>
      <c r="O42" s="1143"/>
      <c r="P42" s="3215" t="str">
        <f>A42</f>
        <v>比较价值（元/平方米）</v>
      </c>
      <c r="Q42" s="3215"/>
      <c r="R42" s="3208" t="e">
        <f>ROUND(PRODUCT(R41,AA7:AA40),0)</f>
        <v>#DIV/0!</v>
      </c>
      <c r="S42" s="3208"/>
      <c r="T42" s="3208" t="e">
        <f>ROUND(PRODUCT(T41,AB7:AB40),0)</f>
        <v>#DIV/0!</v>
      </c>
      <c r="U42" s="3208"/>
      <c r="V42" s="3208" t="e">
        <f>ROUND(PRODUCT(V41,AC7:AC40),0)</f>
        <v>#DIV/0!</v>
      </c>
      <c r="W42" s="3208"/>
      <c r="X42" s="758"/>
      <c r="Y42" s="758"/>
      <c r="Z42" s="758"/>
      <c r="AA42" s="758"/>
      <c r="AB42" s="758"/>
      <c r="AC42" s="758"/>
    </row>
    <row r="43" spans="1:29" ht="15.75" thickBot="1">
      <c r="A43" s="492" t="s">
        <v>2658</v>
      </c>
      <c r="B43" s="493"/>
      <c r="C43" s="494" t="e">
        <f>R43</f>
        <v>#DIV/0!</v>
      </c>
      <c r="D43" s="494"/>
      <c r="E43" s="494"/>
      <c r="F43" s="494"/>
      <c r="G43" s="494"/>
      <c r="H43" s="494"/>
      <c r="I43" s="494"/>
      <c r="J43" s="494"/>
      <c r="K43" s="784"/>
      <c r="L43" s="1142"/>
      <c r="M43" s="1130"/>
      <c r="N43" s="1130"/>
      <c r="O43" s="1143"/>
      <c r="P43" s="3209" t="str">
        <f>A43</f>
        <v>估价对象XX用房的比较价值（楼面单价，元/平方米）</v>
      </c>
      <c r="Q43" s="3210"/>
      <c r="R43" s="3211" t="e">
        <f>ROUND(AVERAGE(R42:V42),0)</f>
        <v>#DIV/0!</v>
      </c>
      <c r="S43" s="3211"/>
      <c r="T43" s="3211"/>
      <c r="U43" s="3211"/>
      <c r="V43" s="3211"/>
      <c r="W43" s="3211"/>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2746</v>
      </c>
      <c r="B50" s="685" t="s">
        <v>2747</v>
      </c>
      <c r="C50" s="2697" t="s">
        <v>2748</v>
      </c>
      <c r="D50" s="2698" t="s">
        <v>2749</v>
      </c>
      <c r="E50" s="686" t="s">
        <v>2750</v>
      </c>
      <c r="F50" s="687" t="s">
        <v>2751</v>
      </c>
      <c r="G50" s="3212" t="s">
        <v>2752</v>
      </c>
      <c r="H50" s="3213"/>
      <c r="I50" s="1812" t="s">
        <v>2789</v>
      </c>
      <c r="J50" s="1812" t="str">
        <f>项目基本情况!F35</f>
        <v>云南省昆明市</v>
      </c>
      <c r="K50" s="2700" t="s">
        <v>2754</v>
      </c>
      <c r="L50" s="1105"/>
      <c r="M50" s="1143"/>
      <c r="N50" s="1143"/>
      <c r="O50" s="1143"/>
    </row>
    <row r="51" spans="1:17" s="692" customFormat="1">
      <c r="A51" s="688" t="s">
        <v>2755</v>
      </c>
      <c r="B51" s="689" t="e">
        <f>C43</f>
        <v>#DIV/0!</v>
      </c>
      <c r="C51" s="690">
        <v>1</v>
      </c>
      <c r="D51" s="1162">
        <v>1</v>
      </c>
      <c r="E51" s="690">
        <f>'数据-汇总表'!E8+'数据-汇总表'!E9</f>
        <v>186488.71</v>
      </c>
      <c r="F51" s="691" t="e">
        <f t="shared" ref="F51:F60" si="15">ROUND(B51*E51/10000,0)</f>
        <v>#DIV/0!</v>
      </c>
      <c r="G51" s="3214"/>
      <c r="H51" s="3215"/>
      <c r="I51" s="941">
        <v>1</v>
      </c>
      <c r="J51" s="941">
        <v>1</v>
      </c>
      <c r="K51" s="1144"/>
      <c r="L51" s="940"/>
      <c r="M51" s="940"/>
      <c r="N51" s="940"/>
      <c r="O51" s="940"/>
    </row>
    <row r="52" spans="1:17" s="692" customFormat="1">
      <c r="A52" s="693" t="s">
        <v>2756</v>
      </c>
      <c r="B52" s="262" t="e">
        <f>ROUND($C$43*C52*D52,0)</f>
        <v>#DIV/0!</v>
      </c>
      <c r="C52" s="200">
        <f t="shared" ref="C52:C60" si="16">IF($C$50="北京市系数",I52,J52)</f>
        <v>0</v>
      </c>
      <c r="D52" s="1163">
        <v>0.25</v>
      </c>
      <c r="E52" s="694"/>
      <c r="F52" s="691" t="e">
        <f t="shared" si="15"/>
        <v>#DIV/0!</v>
      </c>
      <c r="G52" s="3216" t="s">
        <v>2757</v>
      </c>
      <c r="H52" s="1103">
        <f>项目基本情况!B37</f>
        <v>0</v>
      </c>
      <c r="I52" s="941">
        <f>SUMIF(修正!A45:A56,H52,修正!B45:B56)</f>
        <v>0</v>
      </c>
      <c r="J52" s="942"/>
      <c r="K52" s="1143"/>
      <c r="L52" s="940"/>
      <c r="M52" s="940"/>
      <c r="N52" s="940"/>
      <c r="O52" s="940"/>
    </row>
    <row r="53" spans="1:17" s="692" customFormat="1">
      <c r="A53" s="693" t="s">
        <v>2758</v>
      </c>
      <c r="B53" s="262" t="e">
        <f t="shared" ref="B53:B60" si="17">ROUND($C$43*C53*D53,0)</f>
        <v>#DIV/0!</v>
      </c>
      <c r="C53" s="200">
        <f t="shared" si="16"/>
        <v>0</v>
      </c>
      <c r="D53" s="1163">
        <v>0.25</v>
      </c>
      <c r="E53" s="694"/>
      <c r="F53" s="691" t="e">
        <f t="shared" si="15"/>
        <v>#DIV/0!</v>
      </c>
      <c r="G53" s="3216"/>
      <c r="H53" s="1103">
        <f>项目基本情况!B37</f>
        <v>0</v>
      </c>
      <c r="I53" s="941">
        <f>SUMIF(修正!A45:A56,H53,修正!C45:C56)</f>
        <v>0</v>
      </c>
      <c r="J53" s="942"/>
      <c r="K53" s="1144"/>
      <c r="L53" s="940"/>
      <c r="M53" s="940"/>
      <c r="N53" s="940"/>
      <c r="O53" s="940"/>
    </row>
    <row r="54" spans="1:17" s="692" customFormat="1">
      <c r="A54" s="693" t="s">
        <v>2759</v>
      </c>
      <c r="B54" s="262" t="e">
        <f t="shared" si="17"/>
        <v>#DIV/0!</v>
      </c>
      <c r="C54" s="200">
        <f t="shared" si="16"/>
        <v>0</v>
      </c>
      <c r="D54" s="1163">
        <v>0.25</v>
      </c>
      <c r="E54" s="694"/>
      <c r="F54" s="691" t="e">
        <f t="shared" si="15"/>
        <v>#DIV/0!</v>
      </c>
      <c r="G54" s="3216"/>
      <c r="H54" s="1103">
        <f>项目基本情况!B37</f>
        <v>0</v>
      </c>
      <c r="I54" s="941">
        <f>SUMIF(修正!A45:A56,H54,修正!D45:D56)</f>
        <v>0</v>
      </c>
      <c r="J54" s="942"/>
      <c r="K54" s="1143"/>
      <c r="L54" s="940"/>
      <c r="M54" s="940"/>
      <c r="N54" s="940"/>
      <c r="O54" s="940"/>
    </row>
    <row r="55" spans="1:17" s="692" customFormat="1">
      <c r="A55" s="693" t="s">
        <v>2760</v>
      </c>
      <c r="B55" s="262" t="e">
        <f t="shared" si="17"/>
        <v>#DIV/0!</v>
      </c>
      <c r="C55" s="200">
        <f t="shared" si="16"/>
        <v>0</v>
      </c>
      <c r="D55" s="1163">
        <v>0.25</v>
      </c>
      <c r="E55" s="694"/>
      <c r="F55" s="691" t="e">
        <f t="shared" si="15"/>
        <v>#DIV/0!</v>
      </c>
      <c r="G55" s="3216"/>
      <c r="H55" s="1103">
        <f>项目基本情况!B37</f>
        <v>0</v>
      </c>
      <c r="I55" s="941">
        <f>SUMIF(修正!A45:A56,H55,修正!E45:E56)</f>
        <v>0</v>
      </c>
      <c r="J55" s="942"/>
      <c r="K55" s="1144"/>
      <c r="L55" s="940"/>
      <c r="M55" s="940"/>
      <c r="N55" s="940"/>
      <c r="O55" s="940"/>
    </row>
    <row r="56" spans="1:17" s="692" customFormat="1">
      <c r="A56" s="693" t="s">
        <v>2761</v>
      </c>
      <c r="B56" s="262" t="e">
        <f t="shared" si="17"/>
        <v>#DIV/0!</v>
      </c>
      <c r="C56" s="200">
        <f t="shared" si="16"/>
        <v>0</v>
      </c>
      <c r="D56" s="1163">
        <v>0.25</v>
      </c>
      <c r="E56" s="261">
        <f>'数据-汇总表'!E11</f>
        <v>281.08000000000004</v>
      </c>
      <c r="F56" s="691" t="e">
        <f t="shared" si="15"/>
        <v>#DIV/0!</v>
      </c>
      <c r="G56" s="2701" t="s">
        <v>2762</v>
      </c>
      <c r="H56" s="1103">
        <f>项目基本情况!C37</f>
        <v>0</v>
      </c>
      <c r="I56" s="941">
        <f>SUMIF(修正!A45:A56,H56,修正!F45:F56)</f>
        <v>0</v>
      </c>
      <c r="J56" s="942"/>
      <c r="K56" s="1143"/>
      <c r="L56" s="940"/>
      <c r="M56" s="940"/>
      <c r="N56" s="940"/>
      <c r="O56" s="940"/>
    </row>
    <row r="57" spans="1:17" s="692" customFormat="1">
      <c r="A57" s="693" t="s">
        <v>2763</v>
      </c>
      <c r="B57" s="262" t="e">
        <f t="shared" si="17"/>
        <v>#DIV/0!</v>
      </c>
      <c r="C57" s="200">
        <f t="shared" si="16"/>
        <v>0</v>
      </c>
      <c r="D57" s="1163">
        <v>0.25</v>
      </c>
      <c r="E57" s="261">
        <f>'数据-汇总表'!E12</f>
        <v>0</v>
      </c>
      <c r="F57" s="691" t="e">
        <f t="shared" si="15"/>
        <v>#DIV/0!</v>
      </c>
      <c r="G57" s="1108" t="s">
        <v>2764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2765</v>
      </c>
      <c r="B58" s="262" t="e">
        <f t="shared" si="17"/>
        <v>#DIV/0!</v>
      </c>
      <c r="C58" s="200">
        <f t="shared" si="16"/>
        <v>0</v>
      </c>
      <c r="D58" s="1163">
        <v>0.25</v>
      </c>
      <c r="E58" s="261">
        <f>'数据-汇总表'!E13</f>
        <v>54445.270000000004</v>
      </c>
      <c r="F58" s="691" t="e">
        <f t="shared" si="15"/>
        <v>#DIV/0!</v>
      </c>
      <c r="G58" s="1108" t="s">
        <v>2766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2767</v>
      </c>
      <c r="B59" s="262" t="e">
        <f t="shared" si="17"/>
        <v>#DIV/0!</v>
      </c>
      <c r="C59" s="200">
        <f t="shared" si="16"/>
        <v>0</v>
      </c>
      <c r="D59" s="1163">
        <v>0.25</v>
      </c>
      <c r="E59" s="261">
        <f>'数据-汇总表'!E14</f>
        <v>0</v>
      </c>
      <c r="F59" s="691" t="e">
        <f t="shared" si="15"/>
        <v>#DIV/0!</v>
      </c>
      <c r="G59" s="2701" t="s">
        <v>2757</v>
      </c>
      <c r="H59" s="1103">
        <f>项目基本情况!B37</f>
        <v>0</v>
      </c>
      <c r="I59" s="941">
        <f>SUMIF(修正!A45:A56,H59,修正!H45:H56)</f>
        <v>0</v>
      </c>
      <c r="J59" s="942"/>
      <c r="K59" s="1144"/>
      <c r="L59" s="940"/>
      <c r="M59" s="940"/>
      <c r="N59" s="940"/>
      <c r="O59" s="940"/>
    </row>
    <row r="60" spans="1:17" s="692" customFormat="1" ht="15" thickBot="1">
      <c r="A60" s="693" t="s">
        <v>2768</v>
      </c>
      <c r="B60" s="262" t="e">
        <f t="shared" si="17"/>
        <v>#DIV/0!</v>
      </c>
      <c r="C60" s="200">
        <f t="shared" si="16"/>
        <v>0</v>
      </c>
      <c r="D60" s="1163">
        <v>0.25</v>
      </c>
      <c r="E60" s="261">
        <f>'数据-汇总表'!E15</f>
        <v>0</v>
      </c>
      <c r="F60" s="691" t="e">
        <f t="shared" si="15"/>
        <v>#DIV/0!</v>
      </c>
      <c r="G60" s="2702" t="s">
        <v>2762</v>
      </c>
      <c r="H60" s="1113">
        <f>项目基本情况!C37</f>
        <v>0</v>
      </c>
      <c r="I60" s="941">
        <f>SUMIF(修正!A45:A56,H60,修正!H45:H56)</f>
        <v>0</v>
      </c>
      <c r="J60" s="942"/>
      <c r="K60" s="1143"/>
      <c r="L60" s="940"/>
      <c r="M60" s="940"/>
      <c r="N60" s="940"/>
      <c r="O60" s="940"/>
    </row>
    <row r="61" spans="1:17" s="692" customFormat="1" ht="15" thickBot="1">
      <c r="A61" s="695" t="s">
        <v>2769</v>
      </c>
      <c r="B61" s="696" t="s">
        <v>28</v>
      </c>
      <c r="C61" s="696" t="s">
        <v>29</v>
      </c>
      <c r="D61" s="696" t="s">
        <v>1026</v>
      </c>
      <c r="E61" s="696">
        <f>IF(B41="楼面地价",SUM(E51:E60),'数据-汇总表'!D3)</f>
        <v>63995.17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2662</v>
      </c>
      <c r="B64" s="758"/>
      <c r="C64" s="763"/>
      <c r="D64" s="763"/>
      <c r="E64" s="763"/>
      <c r="F64" s="764"/>
      <c r="G64" s="764"/>
      <c r="H64" s="763"/>
      <c r="I64" s="763"/>
      <c r="J64" s="763"/>
      <c r="K64" s="765"/>
      <c r="L64" s="766"/>
      <c r="M64" s="763"/>
      <c r="N64" s="763"/>
      <c r="O64" s="1158"/>
      <c r="P64" s="503"/>
      <c r="Q64" s="504"/>
    </row>
    <row r="65" spans="1:17" s="508" customFormat="1" ht="15">
      <c r="A65" s="2703" t="s">
        <v>2770</v>
      </c>
      <c r="B65" s="1358"/>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08" t="s">
        <v>2790</v>
      </c>
      <c r="B66" s="332" t="str">
        <f>"北京市平均增长率"&amp;TEXT(基准地价修正!P24,"0.00%")</f>
        <v>北京市平均增长率1.40%</v>
      </c>
      <c r="C66" s="603">
        <v>100</v>
      </c>
      <c r="D66" s="595"/>
      <c r="E66" s="595"/>
      <c r="F66" s="595"/>
      <c r="G66" s="595"/>
      <c r="H66" s="595"/>
      <c r="I66" s="595"/>
      <c r="J66" s="595"/>
      <c r="K66" s="595"/>
      <c r="L66" s="595"/>
      <c r="M66" s="1566"/>
      <c r="N66" s="1566"/>
      <c r="O66" s="1567"/>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2576</v>
      </c>
      <c r="B70" s="528" t="s">
        <v>2542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2679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1" customWidth="1"/>
    <col min="33" max="36" width="9.375" style="2780" customWidth="1"/>
    <col min="37" max="38" width="9.375" style="2712" customWidth="1"/>
    <col min="39" max="16384" width="12" style="2712"/>
  </cols>
  <sheetData>
    <row r="1" spans="1:36" ht="28.5">
      <c r="A1" s="240" t="s">
        <v>2792</v>
      </c>
      <c r="B1" s="241"/>
      <c r="C1" s="245" t="s">
        <v>2793</v>
      </c>
      <c r="D1" s="388">
        <f>SUM(D29:D30,D33:D39)</f>
        <v>0</v>
      </c>
      <c r="E1" s="2709"/>
      <c r="F1" s="2709"/>
      <c r="G1" s="2709"/>
      <c r="H1" s="2709"/>
      <c r="I1" s="2709"/>
      <c r="J1" s="2709"/>
      <c r="K1" s="1369"/>
      <c r="L1" s="2710" t="s">
        <v>2794</v>
      </c>
      <c r="M1" s="1079">
        <f>SUMPRODUCT((区片价!B5:B9=I2)*(区片价!C3:F3=E2)*(区片价!C5:F9))</f>
        <v>0</v>
      </c>
      <c r="N1" s="1082">
        <f>SUMPRODUCT((因素修正幅度!B5:B9=I2)*(因素修正幅度!C3:F3=E2)*(因素修正幅度!C5:F9))</f>
        <v>0</v>
      </c>
      <c r="O1" s="2711"/>
      <c r="P1" s="2711"/>
      <c r="Q1" s="1369"/>
      <c r="R1" s="1600" t="s">
        <v>2795</v>
      </c>
      <c r="S1" s="1600" t="s">
        <v>2796</v>
      </c>
      <c r="T1" s="1600" t="s">
        <v>2797</v>
      </c>
      <c r="U1" s="1600" t="s">
        <v>2798</v>
      </c>
      <c r="V1" s="1600" t="s">
        <v>2799</v>
      </c>
      <c r="W1" s="1604"/>
      <c r="X1" s="1604"/>
      <c r="Y1" s="1604"/>
      <c r="Z1" s="1604"/>
      <c r="AA1" s="1604"/>
      <c r="AB1" s="1604"/>
      <c r="AC1" s="1605"/>
      <c r="AD1" s="1606"/>
      <c r="AE1" s="1606"/>
      <c r="AF1" s="1606"/>
      <c r="AG1" s="1606"/>
      <c r="AH1" s="1606"/>
      <c r="AI1" s="1606"/>
      <c r="AJ1" s="1607"/>
    </row>
    <row r="2" spans="1:36" ht="15.75">
      <c r="A2" s="245" t="s">
        <v>2800</v>
      </c>
      <c r="B2" s="248" t="e">
        <f>C26</f>
        <v>#DIV/0!</v>
      </c>
      <c r="C2" s="2713" t="s">
        <v>2801</v>
      </c>
      <c r="D2" s="2714" t="s">
        <v>2802</v>
      </c>
      <c r="E2" s="2715"/>
      <c r="F2" s="2714" t="s">
        <v>2803</v>
      </c>
      <c r="G2" s="2716">
        <f>IF(E2="商业",项目基本情况!B37,IF(E2="办公",项目基本情况!C37,IF(E2="住宅",项目基本情况!D37,项目基本情况!E37)))</f>
        <v>0</v>
      </c>
      <c r="H2" s="2714" t="s">
        <v>2804</v>
      </c>
      <c r="I2" s="2716">
        <f>IF(E2="商业",项目基本情况!B38,IF(E2="办公",项目基本情况!C38,IF(E2="住宅",项目基本情况!D38,项目基本情况!E38)))</f>
        <v>0</v>
      </c>
      <c r="J2" s="2717"/>
      <c r="K2" s="1369"/>
      <c r="L2" s="2718" t="s">
        <v>2805</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2806</v>
      </c>
      <c r="B3" s="248" t="e">
        <f>ROUND(B2*10000/D1,0)</f>
        <v>#DIV/0!</v>
      </c>
      <c r="C3" s="2713" t="s">
        <v>2807</v>
      </c>
      <c r="D3" s="2714" t="s">
        <v>2808</v>
      </c>
      <c r="E3" s="2719"/>
      <c r="F3" s="2720" t="s">
        <v>2809</v>
      </c>
      <c r="G3" s="915">
        <f>IF(F3="宗地容积率",'数据-汇总表'!I4,IF(F3="估价对象容积率",'数据-汇总表'!I6,'数据-汇总表'!I7))</f>
        <v>3.01</v>
      </c>
      <c r="H3" s="198" t="s">
        <v>2810</v>
      </c>
      <c r="I3" s="943"/>
      <c r="J3" s="2717" t="s">
        <v>2811</v>
      </c>
      <c r="K3" s="1369"/>
      <c r="L3" s="2718" t="s">
        <v>2812</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0"/>
      <c r="B4" s="3311"/>
      <c r="C4" s="3311"/>
      <c r="D4" s="3312"/>
      <c r="E4" s="3312"/>
      <c r="F4" s="3312"/>
      <c r="G4" s="3312"/>
      <c r="H4" s="3312"/>
      <c r="I4" s="3312"/>
      <c r="J4" s="3313"/>
      <c r="K4" s="1369"/>
      <c r="L4" s="2718" t="s">
        <v>2813</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0" customFormat="1" ht="15.75" thickBot="1">
      <c r="A5" s="2721" t="s">
        <v>807</v>
      </c>
      <c r="B5" s="2722" t="s">
        <v>2814</v>
      </c>
      <c r="C5" s="916" t="e">
        <f>ROUND(IF(E2="商业",C6*C7+C16,(IF(E2="住宅",C6*C12+C16,C6+C16))),0)</f>
        <v>#DIV/0!</v>
      </c>
      <c r="D5" s="1785" t="e">
        <f>ROUND(IF(F17="增加",C6+C16,C6-C16),0)</f>
        <v>#DIV/0!</v>
      </c>
      <c r="E5" s="1785"/>
      <c r="F5" s="2723"/>
      <c r="G5" s="2724"/>
      <c r="H5" s="2724"/>
      <c r="I5" s="2724"/>
      <c r="J5" s="2725"/>
      <c r="K5" s="2726"/>
      <c r="L5" s="2718" t="s">
        <v>2815</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7"/>
      <c r="AD5" s="2728"/>
      <c r="AE5" s="2728"/>
      <c r="AF5" s="2728"/>
      <c r="AG5" s="2728"/>
      <c r="AH5" s="2728"/>
      <c r="AI5" s="2728"/>
      <c r="AJ5" s="2729"/>
    </row>
    <row r="6" spans="1:36" ht="15.75" thickBot="1">
      <c r="A6" s="2731" t="s">
        <v>2816</v>
      </c>
      <c r="B6" s="2732" t="s">
        <v>2817</v>
      </c>
      <c r="C6" s="917">
        <f>SUMIF(L1:L12,G2,M1:M12)</f>
        <v>0</v>
      </c>
      <c r="D6" s="2733" t="s">
        <v>2818</v>
      </c>
      <c r="E6" s="2734"/>
      <c r="F6" s="2734"/>
      <c r="G6" s="2735"/>
      <c r="H6" s="2735"/>
      <c r="I6" s="2735"/>
      <c r="J6" s="2736"/>
      <c r="K6" s="1840"/>
      <c r="L6" s="2718" t="s">
        <v>2819</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7"/>
      <c r="AD6" s="2728"/>
      <c r="AE6" s="2728"/>
      <c r="AF6" s="2728"/>
      <c r="AG6" s="2728"/>
      <c r="AH6" s="2728"/>
      <c r="AI6" s="2728"/>
      <c r="AJ6" s="2729"/>
    </row>
    <row r="7" spans="1:36" ht="24">
      <c r="A7" s="3314" t="str">
        <f>IF(E2="商业",IF(C8="不临58条商业街","",2),"")</f>
        <v/>
      </c>
      <c r="B7" s="2737" t="s">
        <v>2820</v>
      </c>
      <c r="C7" s="918" t="e">
        <f>IF(C8="不临58条商业街",1,ROUND(1+(1.6*E8+1.2*E9+0.8*E10+0.4*E11)*C9,4))</f>
        <v>#DIV/0!</v>
      </c>
      <c r="D7" s="2738" t="s">
        <v>2821</v>
      </c>
      <c r="E7" s="944"/>
      <c r="F7" s="2739"/>
      <c r="G7" s="2740"/>
      <c r="H7" s="2740"/>
      <c r="I7" s="2740"/>
      <c r="J7" s="2741"/>
      <c r="K7" s="1840"/>
      <c r="L7" s="2718" t="s">
        <v>2822</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2823</v>
      </c>
      <c r="X7" s="1602">
        <f>G2</f>
        <v>0</v>
      </c>
      <c r="Y7" s="1602" t="s">
        <v>2824</v>
      </c>
      <c r="Z7" s="1603">
        <f>G3</f>
        <v>3.01</v>
      </c>
      <c r="AA7" s="1604"/>
      <c r="AB7" s="1604"/>
      <c r="AC7" s="1605"/>
      <c r="AD7" s="1606"/>
      <c r="AE7" s="1606"/>
      <c r="AF7" s="1606"/>
      <c r="AG7" s="1606"/>
      <c r="AH7" s="1606"/>
      <c r="AI7" s="1606"/>
      <c r="AJ7" s="1607"/>
    </row>
    <row r="8" spans="1:36" ht="15">
      <c r="A8" s="3315"/>
      <c r="B8" s="198" t="s">
        <v>2825</v>
      </c>
      <c r="C8" s="2742"/>
      <c r="D8" s="919" t="s">
        <v>139</v>
      </c>
      <c r="E8" s="920" t="e">
        <f>ROUND(C11/E7,4)</f>
        <v>#DIV/0!</v>
      </c>
      <c r="F8" s="2743" t="s">
        <v>2826</v>
      </c>
      <c r="G8" s="2744"/>
      <c r="H8" s="2744"/>
      <c r="I8" s="2744"/>
      <c r="J8" s="2745"/>
      <c r="K8" s="1369"/>
      <c r="L8" s="2718" t="s">
        <v>2827</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07" t="s">
        <v>2828</v>
      </c>
      <c r="X8" s="3308"/>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315"/>
      <c r="B9" s="198" t="s">
        <v>2841</v>
      </c>
      <c r="C9" s="921">
        <f>SUMIF(修正!C59:C119,C8,修正!E59:E119)</f>
        <v>0</v>
      </c>
      <c r="D9" s="200" t="s">
        <v>140</v>
      </c>
      <c r="E9" s="200" t="e">
        <f>ROUND(C11/E7,4)</f>
        <v>#DIV/0!</v>
      </c>
      <c r="F9" s="2743" t="s">
        <v>2842</v>
      </c>
      <c r="G9" s="2744"/>
      <c r="H9" s="2744"/>
      <c r="I9" s="2744"/>
      <c r="J9" s="2745"/>
      <c r="K9" s="1369"/>
      <c r="L9" s="2718" t="s">
        <v>2843</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09"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5"/>
      <c r="B10" s="198" t="s">
        <v>2846</v>
      </c>
      <c r="C10" s="200">
        <f>SUMIF(修正!C59:C119,C8,修正!F59:F119)</f>
        <v>0</v>
      </c>
      <c r="D10" s="200" t="s">
        <v>141</v>
      </c>
      <c r="E10" s="200" t="e">
        <f>ROUND(C11/E7,4)</f>
        <v>#DIV/0!</v>
      </c>
      <c r="F10" s="2743" t="s">
        <v>2847</v>
      </c>
      <c r="G10" s="2744"/>
      <c r="H10" s="2744"/>
      <c r="I10" s="2744"/>
      <c r="J10" s="2745"/>
      <c r="K10" s="1369"/>
      <c r="L10" s="2718" t="s">
        <v>2848</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0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5"/>
      <c r="B11" s="2746" t="s">
        <v>2849</v>
      </c>
      <c r="C11" s="922">
        <f>C10/4</f>
        <v>0</v>
      </c>
      <c r="D11" s="922" t="s">
        <v>142</v>
      </c>
      <c r="E11" s="922" t="e">
        <f>ROUND(C11/E7,4)</f>
        <v>#DIV/0!</v>
      </c>
      <c r="F11" s="2747" t="s">
        <v>2850</v>
      </c>
      <c r="G11" s="2748"/>
      <c r="H11" s="2748"/>
      <c r="I11" s="2748"/>
      <c r="J11" s="2749"/>
      <c r="K11" s="1369"/>
      <c r="L11" s="2718" t="s">
        <v>2851</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09" t="s">
        <v>2852</v>
      </c>
      <c r="X11" s="1612" t="s">
        <v>2853</v>
      </c>
      <c r="Y11" s="1613">
        <f>$G$3</f>
        <v>3.01</v>
      </c>
      <c r="Z11" s="1613">
        <f t="shared" ref="Z11:AJ11" si="3">$G$3</f>
        <v>3.01</v>
      </c>
      <c r="AA11" s="1613">
        <f t="shared" si="3"/>
        <v>3.01</v>
      </c>
      <c r="AB11" s="1613">
        <f t="shared" si="3"/>
        <v>3.01</v>
      </c>
      <c r="AC11" s="1613">
        <f t="shared" si="3"/>
        <v>3.01</v>
      </c>
      <c r="AD11" s="1613">
        <f t="shared" si="3"/>
        <v>3.01</v>
      </c>
      <c r="AE11" s="1613">
        <f t="shared" si="3"/>
        <v>3.01</v>
      </c>
      <c r="AF11" s="1613">
        <f t="shared" si="3"/>
        <v>3.01</v>
      </c>
      <c r="AG11" s="1613">
        <f t="shared" si="3"/>
        <v>3.01</v>
      </c>
      <c r="AH11" s="1613">
        <f t="shared" si="3"/>
        <v>3.01</v>
      </c>
      <c r="AI11" s="1613">
        <f t="shared" si="3"/>
        <v>3.01</v>
      </c>
      <c r="AJ11" s="1613">
        <f t="shared" si="3"/>
        <v>3.01</v>
      </c>
    </row>
    <row r="12" spans="1:36" ht="25.5" thickBot="1">
      <c r="A12" s="3314" t="s">
        <v>2854</v>
      </c>
      <c r="B12" s="2750" t="s">
        <v>2855</v>
      </c>
      <c r="C12" s="918">
        <f>ROUND(C15*D15*E15*F15*G15*H15*I15*J15,4)</f>
        <v>1</v>
      </c>
      <c r="D12" s="2751" t="s">
        <v>2856</v>
      </c>
      <c r="E12" s="2752"/>
      <c r="F12" s="2752"/>
      <c r="G12" s="2753"/>
      <c r="H12" s="2753"/>
      <c r="I12" s="2753"/>
      <c r="J12" s="2754"/>
      <c r="K12" s="1369"/>
      <c r="L12" s="2755" t="s">
        <v>2857</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09"/>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6"/>
      <c r="B13" s="2756" t="s">
        <v>2859</v>
      </c>
      <c r="C13" s="2757" t="s">
        <v>2860</v>
      </c>
      <c r="D13" s="1806" t="s">
        <v>2861</v>
      </c>
      <c r="E13" s="1806" t="s">
        <v>2862</v>
      </c>
      <c r="F13" s="30" t="s">
        <v>2863</v>
      </c>
      <c r="G13" s="2758" t="s">
        <v>2864</v>
      </c>
      <c r="H13" s="2758" t="s">
        <v>2864</v>
      </c>
      <c r="I13" s="2758" t="s">
        <v>2864</v>
      </c>
      <c r="J13" s="2759" t="s">
        <v>2864</v>
      </c>
      <c r="K13" s="1369"/>
      <c r="L13" s="1369"/>
      <c r="M13" s="1369"/>
      <c r="N13" s="1369"/>
      <c r="O13" s="1369"/>
      <c r="P13" s="1369"/>
      <c r="Q13" s="1369"/>
      <c r="R13" s="1600">
        <v>12</v>
      </c>
      <c r="S13" s="1601"/>
      <c r="T13" s="1600" t="e">
        <f t="shared" si="0"/>
        <v>#DIV/0!</v>
      </c>
      <c r="U13" s="1601"/>
      <c r="V13" s="1600" t="e">
        <f t="shared" si="1"/>
        <v>#DIV/0!</v>
      </c>
      <c r="W13" s="3309"/>
      <c r="X13" s="1614"/>
      <c r="Y13" s="1611">
        <f>(-0.163*(Y12^2)-0.59*Y12+7617)*(10^(-4))/Y11</f>
        <v>0.25305647840531564</v>
      </c>
      <c r="Z13" s="1611">
        <f t="shared" ref="Z13:AJ13" si="5">(-0.163*(Z12^2)-0.59*Z12+7617)*(10^(-4))/Z11</f>
        <v>0.25305647840531564</v>
      </c>
      <c r="AA13" s="1611">
        <f t="shared" si="5"/>
        <v>0.25305647840531564</v>
      </c>
      <c r="AB13" s="1611">
        <f t="shared" si="5"/>
        <v>0.25305647840531564</v>
      </c>
      <c r="AC13" s="1611">
        <f t="shared" si="5"/>
        <v>0.25305647840531564</v>
      </c>
      <c r="AD13" s="1611">
        <f t="shared" si="5"/>
        <v>0.25305647840531564</v>
      </c>
      <c r="AE13" s="1611">
        <f t="shared" si="5"/>
        <v>0.25305647840531564</v>
      </c>
      <c r="AF13" s="1611">
        <f t="shared" si="5"/>
        <v>0.25305647840531564</v>
      </c>
      <c r="AG13" s="1611">
        <f t="shared" si="5"/>
        <v>0.25305647840531564</v>
      </c>
      <c r="AH13" s="1611">
        <f t="shared" si="5"/>
        <v>0.25305647840531564</v>
      </c>
      <c r="AI13" s="1611">
        <f t="shared" si="5"/>
        <v>0.25305647840531564</v>
      </c>
      <c r="AJ13" s="1611">
        <f t="shared" si="5"/>
        <v>0.25305647840531564</v>
      </c>
    </row>
    <row r="14" spans="1:36" ht="15">
      <c r="A14" s="3316"/>
      <c r="B14" s="2760"/>
      <c r="C14" s="2761"/>
      <c r="D14" s="2762"/>
      <c r="E14" s="2762"/>
      <c r="F14" s="2763"/>
      <c r="G14" s="2764" t="s">
        <v>2865</v>
      </c>
      <c r="H14" s="2765"/>
      <c r="I14" s="2766"/>
      <c r="J14" s="2767"/>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17"/>
      <c r="B15" s="2768" t="s">
        <v>2866</v>
      </c>
      <c r="C15" s="229">
        <f>IF(C14="有",1.1,1)</f>
        <v>1</v>
      </c>
      <c r="D15" s="229">
        <f>IF(D14="有",1.1,1)</f>
        <v>1</v>
      </c>
      <c r="E15" s="229">
        <f>IF(E14="有",1.1,1)</f>
        <v>1</v>
      </c>
      <c r="F15" s="229">
        <f>IF(F14="500米范围内",1.2,IF(F14="500-1000米",1.1,1))</f>
        <v>1</v>
      </c>
      <c r="G15" s="945">
        <v>1</v>
      </c>
      <c r="H15" s="945">
        <v>1</v>
      </c>
      <c r="I15" s="945">
        <v>1</v>
      </c>
      <c r="J15" s="946">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14" t="s">
        <v>2871</v>
      </c>
      <c r="B16" s="2737" t="s">
        <v>2872</v>
      </c>
      <c r="C16" s="2927" t="e">
        <f>ROUND(IF(F17="与级别开发程度一致",0,(G17-E17)/C17),0)</f>
        <v>#DIV/0!</v>
      </c>
      <c r="D16" s="3328" t="s">
        <v>2876</v>
      </c>
      <c r="E16" s="3329"/>
      <c r="F16" s="3328" t="s">
        <v>2873</v>
      </c>
      <c r="G16" s="3329"/>
      <c r="H16" s="2771"/>
      <c r="I16" s="2771"/>
      <c r="J16" s="2931"/>
      <c r="K16" s="2771"/>
      <c r="L16" s="2771"/>
      <c r="M16" s="2771"/>
      <c r="N16" s="2771"/>
      <c r="O16" s="2772"/>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18"/>
      <c r="B17" s="2938" t="s">
        <v>2875</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75" thickBot="1">
      <c r="A18" s="2932" t="s">
        <v>808</v>
      </c>
      <c r="B18" s="2933" t="s">
        <v>2878</v>
      </c>
      <c r="C18" s="2934">
        <f>SUMIF(修正!C18:C39,E3,修正!E18:E39)</f>
        <v>0</v>
      </c>
      <c r="D18" s="2935"/>
      <c r="E18" s="2936"/>
      <c r="F18" s="2936"/>
      <c r="G18" s="2936"/>
      <c r="H18" s="2936"/>
      <c r="I18" s="2936"/>
      <c r="J18" s="2937"/>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7.75" thickBot="1">
      <c r="A19" s="2776" t="s">
        <v>809</v>
      </c>
      <c r="B19" s="2777" t="s">
        <v>2879</v>
      </c>
      <c r="C19" s="923" t="e">
        <f>ROUND(IF(H19="按公示增长率计算",SUMPRODUCT((地价!A3:A26=YEAR(G19)&amp;"-"&amp;ROUNDUP(MONTH(G19)/3,0))*(地价!X2:AB2=E2)*(地价!X3:AB26)),IF(H19="地价指数",M20/M19,(1+I19)^O19)),4)</f>
        <v>#DIV/0!</v>
      </c>
      <c r="D19" s="2781" t="s">
        <v>2880</v>
      </c>
      <c r="E19" s="924">
        <v>41640</v>
      </c>
      <c r="F19" s="2781" t="s">
        <v>2881</v>
      </c>
      <c r="G19" s="925">
        <f>'数据-取费表'!B2</f>
        <v>43621</v>
      </c>
      <c r="H19" s="2782" t="s">
        <v>2882</v>
      </c>
      <c r="I19" s="926" t="str">
        <f>IF(H19="季度增幅（自定义）",SUMIF(N21:N24,E2,O21:O24),"")</f>
        <v/>
      </c>
      <c r="J19" s="2779"/>
      <c r="K19" s="1376"/>
      <c r="L19" s="2783" t="s">
        <v>2883</v>
      </c>
      <c r="M19" s="1732">
        <f>ROUND(SUMIF(地价!B2:F2,E2,地价!B26:F26),0)</f>
        <v>0</v>
      </c>
      <c r="N19" s="2784" t="s">
        <v>2884</v>
      </c>
      <c r="O19" s="927">
        <f>ROUNDDOWN(DATEDIF(E19,G19,"M")/3,0)</f>
        <v>21</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7.75" thickBot="1">
      <c r="A20" s="2788" t="s">
        <v>810</v>
      </c>
      <c r="B20" s="2789" t="s">
        <v>2885</v>
      </c>
      <c r="C20" s="928" t="e">
        <f>ROUND(POWER(1+G20,J20-I20)*(POWER(1+G20,I20)-1)/(POWER(1+G20,J20)-1),4)</f>
        <v>#DIV/0!</v>
      </c>
      <c r="D20" s="2790" t="s">
        <v>2886</v>
      </c>
      <c r="E20" s="1766">
        <f ca="1">存贷款利率!D4/100</f>
        <v>4.3499999999999997E-2</v>
      </c>
      <c r="F20" s="2790" t="s">
        <v>2877</v>
      </c>
      <c r="G20" s="933">
        <f>SUMIF(M26:P26,E2,M28:P28)</f>
        <v>0</v>
      </c>
      <c r="H20" s="2790" t="s">
        <v>2887</v>
      </c>
      <c r="I20" s="934" t="e">
        <f>SUMIF('数据-取费表'!C6:C15,E2,'数据-取费表'!F6:F15)/COUNTIF('数据-取费表'!C6:C15,E2)</f>
        <v>#DIV/0!</v>
      </c>
      <c r="J20" s="935">
        <f>IF(E2="住宅",70,IF(E2="商业",40,50))</f>
        <v>50</v>
      </c>
      <c r="K20" s="1376"/>
      <c r="L20" s="2791" t="s">
        <v>2888</v>
      </c>
      <c r="M20" s="1733">
        <f>ROUND(SUMPRODUCT((地价!A4:A26=YEAR(G19)&amp;"-"&amp;ROUNDUP(MONTH(G19)/3,0))*(地价!B2:F2=E2)*(地价!B4:F26)),0)</f>
        <v>0</v>
      </c>
      <c r="N20" s="2792" t="s">
        <v>2889</v>
      </c>
      <c r="O20" s="2793" t="s">
        <v>2890</v>
      </c>
      <c r="P20" s="2794" t="s">
        <v>2891</v>
      </c>
      <c r="R20" s="1375"/>
      <c r="S20" s="1375"/>
      <c r="T20" s="1370"/>
      <c r="U20" s="1370"/>
      <c r="V20" s="1370"/>
      <c r="W20" s="1369"/>
      <c r="X20" s="1369"/>
      <c r="Y20" s="1369"/>
      <c r="Z20" s="1376"/>
      <c r="AA20" s="1377"/>
      <c r="AB20" s="1377"/>
      <c r="AC20" s="1377"/>
      <c r="AD20" s="1377"/>
      <c r="AE20" s="1377"/>
      <c r="AF20" s="1377"/>
    </row>
    <row r="21" spans="1:37" s="2730" customFormat="1" ht="15">
      <c r="A21" s="2795" t="s">
        <v>811</v>
      </c>
      <c r="B21" s="2796" t="s">
        <v>2892</v>
      </c>
      <c r="C21" s="936">
        <f>IF(B21="容积率修正",IF(G3&lt;=10,D22,J22),C23)</f>
        <v>0</v>
      </c>
      <c r="D21" s="2797"/>
      <c r="E21" s="2797"/>
      <c r="F21" s="2797"/>
      <c r="G21" s="2797"/>
      <c r="H21" s="2797"/>
      <c r="I21" s="2797"/>
      <c r="J21" s="2798"/>
      <c r="K21" s="1376"/>
      <c r="N21" s="2799" t="s">
        <v>2893</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0" customFormat="1" ht="14.25">
      <c r="A22" s="2656" t="s">
        <v>2894</v>
      </c>
      <c r="B22" s="2800" t="s">
        <v>2895</v>
      </c>
      <c r="C22" s="1808" t="s">
        <v>2896</v>
      </c>
      <c r="D22" s="1808">
        <f>IF(E22=G22,F22,IF(G3&lt;=10,ROUND(F22+(H22-F22)*(G3-E22)/(G22-E22),4),"——"))</f>
        <v>0</v>
      </c>
      <c r="E22" s="915">
        <f>ROUNDDOWN(G3,1)</f>
        <v>3</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799" t="s">
        <v>2897</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56" t="s">
        <v>2898</v>
      </c>
      <c r="B23" s="2801" t="s">
        <v>2899</v>
      </c>
      <c r="C23" s="1012">
        <f>ROUND(IF(G3&gt;1,IF(I3&lt;7,SUMPRODUCT((B93:B98=I3)*(C92:N92=G2)*(C93:N98)),SUMIF(C92:N92,G2,C100:N100)),IF(I3&lt;7,SUMPRODUCT((B102:B107=I3)*(C92:N92=G2)*(C102:N107)),SUMIF(C92:N92,G2,C109:N109))),4)</f>
        <v>0</v>
      </c>
      <c r="D23" s="2765"/>
      <c r="E23" s="2765"/>
      <c r="F23" s="2802"/>
      <c r="G23" s="2803"/>
      <c r="H23" s="2804"/>
      <c r="I23" s="2805"/>
      <c r="J23" s="2806"/>
      <c r="K23" s="1369"/>
      <c r="N23" s="2799" t="s">
        <v>2900</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0"/>
    </row>
    <row r="24" spans="1:37" s="2730" customFormat="1" ht="15.75" thickBot="1">
      <c r="A24" s="2788" t="s">
        <v>812</v>
      </c>
      <c r="B24" s="2777" t="s">
        <v>2901</v>
      </c>
      <c r="C24" s="923">
        <f>SUMIF(A45:A88,E2,B45:B88)</f>
        <v>0</v>
      </c>
      <c r="D24" s="2778"/>
      <c r="E24" s="2807"/>
      <c r="F24" s="2807"/>
      <c r="G24" s="2807"/>
      <c r="H24" s="2807"/>
      <c r="I24" s="2807"/>
      <c r="J24" s="2808"/>
      <c r="K24" s="1376"/>
      <c r="N24" s="2809" t="s">
        <v>2902</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2903</v>
      </c>
      <c r="C25" s="929"/>
      <c r="D25" s="2740"/>
      <c r="E25" s="2740"/>
      <c r="F25" s="2811"/>
      <c r="G25" s="2740"/>
      <c r="H25" s="2740"/>
      <c r="I25" s="2740"/>
      <c r="J25" s="2741"/>
      <c r="K25" s="1369"/>
      <c r="N25" s="2812" t="s">
        <v>2904</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13"/>
      <c r="B26" s="2800" t="s">
        <v>2905</v>
      </c>
      <c r="C26" s="206" t="e">
        <f>E29+SUM(E33:E39)</f>
        <v>#DIV/0!</v>
      </c>
      <c r="D26" s="2814"/>
      <c r="E26" s="2765"/>
      <c r="F26" s="2815"/>
      <c r="G26" s="2765"/>
      <c r="H26" s="2765"/>
      <c r="I26" s="2765"/>
      <c r="J26" s="2816"/>
      <c r="K26" s="1369"/>
      <c r="L26" s="2769" t="s">
        <v>2802</v>
      </c>
      <c r="M26" s="919" t="s">
        <v>2867</v>
      </c>
      <c r="N26" s="919" t="s">
        <v>2868</v>
      </c>
      <c r="O26" s="919" t="s">
        <v>2869</v>
      </c>
      <c r="P26" s="2770" t="s">
        <v>2870</v>
      </c>
      <c r="R26" s="1375"/>
      <c r="S26" s="1375"/>
      <c r="T26" s="1370"/>
      <c r="U26" s="1370"/>
      <c r="V26" s="1370"/>
      <c r="W26" s="1369"/>
      <c r="X26" s="1369"/>
      <c r="Y26" s="1369"/>
      <c r="Z26" s="1376"/>
      <c r="AA26" s="1377"/>
      <c r="AB26" s="1377"/>
      <c r="AC26" s="1377"/>
      <c r="AD26" s="1377"/>
    </row>
    <row r="27" spans="1:37" ht="15.75" thickBot="1">
      <c r="A27" s="2813"/>
      <c r="B27" s="2817" t="s">
        <v>2906</v>
      </c>
      <c r="C27" s="930" t="e">
        <f>E30+SUM(I33:I39)</f>
        <v>#DIV/0!</v>
      </c>
      <c r="D27" s="2818"/>
      <c r="E27" s="2819"/>
      <c r="F27" s="2820"/>
      <c r="G27" s="2819"/>
      <c r="H27" s="2819"/>
      <c r="I27" s="2819"/>
      <c r="J27" s="2821"/>
      <c r="K27" s="1369"/>
      <c r="L27" s="2773" t="s">
        <v>2874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2907</v>
      </c>
      <c r="C28" s="2824" t="s">
        <v>2908</v>
      </c>
      <c r="D28" s="2824" t="s">
        <v>2909</v>
      </c>
      <c r="E28" s="2825" t="s">
        <v>2910</v>
      </c>
      <c r="F28" s="2826"/>
      <c r="G28" s="2753"/>
      <c r="H28" s="2753"/>
      <c r="I28" s="2753"/>
      <c r="J28" s="2754"/>
      <c r="K28" s="1369"/>
      <c r="L28" s="2774" t="s">
        <v>2877</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2911</v>
      </c>
      <c r="C29" s="206" t="e">
        <f>ROUND(C5*C18*C19*C20*C21*C24,0)</f>
        <v>#DIV/0!</v>
      </c>
      <c r="D29" s="2829"/>
      <c r="E29" s="941" t="e">
        <f>ROUND(C29*D29/10000,0)</f>
        <v>#DIV/0!</v>
      </c>
      <c r="F29" s="2830" t="s">
        <v>2912</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5" thickBot="1">
      <c r="A30" s="2833"/>
      <c r="B30" s="2834" t="s">
        <v>2913</v>
      </c>
      <c r="C30" s="229" t="e">
        <f>ROUND(IF(E2="工业",C29*M39,C29*M38),0)</f>
        <v>#DIV/0!</v>
      </c>
      <c r="D30" s="2835"/>
      <c r="E30" s="941" t="e">
        <f>ROUND(C30*D30/10000,0)</f>
        <v>#DIV/0!</v>
      </c>
      <c r="F30" s="2836" t="s">
        <v>2914</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4.25">
      <c r="A31" s="2839"/>
      <c r="B31" s="2840" t="s">
        <v>2915</v>
      </c>
      <c r="C31" s="2841" t="s">
        <v>2916</v>
      </c>
      <c r="D31" s="2753"/>
      <c r="E31" s="2841"/>
      <c r="F31" s="2841"/>
      <c r="G31" s="2751" t="s">
        <v>2917</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24">
      <c r="A32" s="2827"/>
      <c r="B32" s="2843"/>
      <c r="C32" s="501" t="s">
        <v>2908</v>
      </c>
      <c r="D32" s="498" t="s">
        <v>2909</v>
      </c>
      <c r="E32" s="498" t="s">
        <v>2910</v>
      </c>
      <c r="F32" s="388" t="s">
        <v>2918</v>
      </c>
      <c r="G32" s="2844" t="s">
        <v>2908</v>
      </c>
      <c r="H32" s="2844" t="s">
        <v>2909</v>
      </c>
      <c r="I32" s="2844"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325" t="s">
        <v>2919</v>
      </c>
      <c r="B33" s="2845" t="s">
        <v>2920</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26"/>
      <c r="B34" s="2757" t="s">
        <v>2921</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6"/>
      <c r="B35" s="2757" t="s">
        <v>2922</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9"/>
      <c r="L35" s="1369"/>
      <c r="M35" s="1369"/>
      <c r="N35" s="1369"/>
      <c r="O35" s="1369"/>
      <c r="P35" s="1369"/>
      <c r="Q35" s="1369"/>
      <c r="R35" s="1369"/>
      <c r="S35" s="1369"/>
      <c r="T35" s="1369"/>
      <c r="U35" s="1369"/>
      <c r="V35" s="1369"/>
      <c r="W35" s="1369"/>
      <c r="X35" s="1369"/>
      <c r="Y35" s="1369"/>
      <c r="Z35" s="1370"/>
    </row>
    <row r="36" spans="1:37" ht="13.5" thickBot="1">
      <c r="A36" s="3327"/>
      <c r="B36" s="2757" t="s">
        <v>2923</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2924</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9"/>
      <c r="L37" s="2848" t="s">
        <v>2925</v>
      </c>
      <c r="M37" s="2849"/>
      <c r="N37" s="1369"/>
      <c r="O37" s="1369"/>
      <c r="P37" s="1369"/>
      <c r="Q37" s="1369"/>
      <c r="R37" s="1369"/>
      <c r="S37" s="1369"/>
      <c r="T37" s="1369"/>
      <c r="U37" s="1369"/>
      <c r="V37" s="1369"/>
      <c r="W37" s="1369"/>
      <c r="X37" s="1369"/>
      <c r="Y37" s="1369"/>
      <c r="Z37" s="1370"/>
    </row>
    <row r="38" spans="1:37">
      <c r="A38" s="2847"/>
      <c r="B38" s="2757" t="s">
        <v>2926</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9"/>
      <c r="L38" s="1885" t="s">
        <v>2927</v>
      </c>
      <c r="M38" s="2850">
        <v>0.25</v>
      </c>
      <c r="N38" s="1369"/>
      <c r="O38" s="1369"/>
      <c r="P38" s="1369"/>
      <c r="Q38" s="1369"/>
      <c r="R38" s="1369"/>
      <c r="S38" s="1369"/>
      <c r="T38" s="1369"/>
      <c r="U38" s="1369"/>
      <c r="V38" s="1369"/>
      <c r="W38" s="1369"/>
      <c r="X38" s="1369"/>
      <c r="Y38" s="1369"/>
      <c r="Z38" s="1370"/>
    </row>
    <row r="39" spans="1:37" ht="13.5" thickBot="1">
      <c r="A39" s="2833"/>
      <c r="B39" s="2851" t="s">
        <v>2928</v>
      </c>
      <c r="C39" s="229" t="e">
        <f>ROUND(D5*C19*C41*C24*F39,0)</f>
        <v>#DIV/0!</v>
      </c>
      <c r="D39" s="2835"/>
      <c r="E39" s="229" t="e">
        <f t="shared" si="7"/>
        <v>#DIV/0!</v>
      </c>
      <c r="F39" s="931">
        <f>SUMIF(修正!A45:A56,G2,修正!H45:H56)</f>
        <v>0</v>
      </c>
      <c r="G39" s="229" t="e">
        <f>ROUND(IF(E2="工业",C39*$M$39,C39*$M$38),0)</f>
        <v>#DIV/0!</v>
      </c>
      <c r="H39" s="229">
        <f t="shared" si="8"/>
        <v>0</v>
      </c>
      <c r="I39" s="229" t="e">
        <f t="shared" si="9"/>
        <v>#DIV/0!</v>
      </c>
      <c r="J39" s="2852"/>
      <c r="K39" s="1369"/>
      <c r="L39" s="2853" t="s">
        <v>2870</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3039</v>
      </c>
      <c r="C41" s="388" t="e">
        <f>ROUND(POWER(1+E41,H41-G41)*(POWER(1+E41,G41)-1)/(POWER(1+E41,H41)-1),4)</f>
        <v>#DIV/0!</v>
      </c>
      <c r="D41" s="200" t="s">
        <v>2877</v>
      </c>
      <c r="E41" s="2921">
        <f>G20</f>
        <v>0</v>
      </c>
      <c r="F41" s="200" t="s">
        <v>2887</v>
      </c>
      <c r="G41" s="218"/>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2929</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8" t="s">
        <v>2930</v>
      </c>
      <c r="B46" s="2859">
        <f>1+E48</f>
        <v>1</v>
      </c>
      <c r="C46" s="2860"/>
      <c r="D46" s="813"/>
      <c r="E46" s="814"/>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2" t="s">
        <v>2931</v>
      </c>
      <c r="B47" s="1807" t="s">
        <v>2932</v>
      </c>
      <c r="C47" s="1807" t="s">
        <v>2933</v>
      </c>
      <c r="D47" s="1807" t="s">
        <v>2934</v>
      </c>
      <c r="E47" s="818" t="s">
        <v>2935</v>
      </c>
      <c r="F47" s="2863" t="s">
        <v>2936</v>
      </c>
      <c r="G47" s="1807" t="s">
        <v>754</v>
      </c>
      <c r="H47" s="2864" t="s">
        <v>2937</v>
      </c>
      <c r="I47" s="1807" t="s">
        <v>2938</v>
      </c>
      <c r="J47" s="603" t="s">
        <v>2585</v>
      </c>
      <c r="K47" s="603" t="s">
        <v>2586</v>
      </c>
      <c r="L47" s="603" t="s">
        <v>2587</v>
      </c>
      <c r="M47" s="603" t="s">
        <v>2588</v>
      </c>
      <c r="N47" s="603" t="s">
        <v>2589</v>
      </c>
      <c r="AA47" s="1370"/>
      <c r="AB47" s="1370"/>
      <c r="AC47" s="1370"/>
      <c r="AD47" s="1370"/>
      <c r="AE47" s="1370"/>
      <c r="AF47" s="1370"/>
      <c r="AG47" s="1370"/>
      <c r="AH47" s="1370"/>
      <c r="AI47" s="1370"/>
      <c r="AJ47" s="1370"/>
      <c r="AK47" s="1370"/>
    </row>
    <row r="48" spans="1:37" s="1369" customFormat="1" ht="24.75">
      <c r="A48" s="2862" t="s">
        <v>2939</v>
      </c>
      <c r="B48" s="2865" t="str">
        <f>估价对象房地状况!C4</f>
        <v>估价对象所在区域商业中心较少，商业氛围较差，综合评价商业繁华度较差。</v>
      </c>
      <c r="C48" s="2762"/>
      <c r="D48" s="1285">
        <f t="shared" ref="D48:D56" si="10">SUMIF($J$47:$N$47,C48,J48:N48)</f>
        <v>0</v>
      </c>
      <c r="E48" s="820">
        <f>ROUND(SUM(D48:D56),4)</f>
        <v>0</v>
      </c>
      <c r="F48" s="249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62" t="s">
        <v>2940</v>
      </c>
      <c r="B49" s="2866" t="str">
        <f>估价对象房地状况!C18</f>
        <v>估价对象邻近昆磨高速，公共交通线路较少，路网密集度一般，停车便捷程度较好，综合评价交通便捷度一般。</v>
      </c>
      <c r="C49" s="2762"/>
      <c r="D49" s="1285">
        <f t="shared" si="10"/>
        <v>0</v>
      </c>
      <c r="E49" s="821"/>
      <c r="F49" s="249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2" t="s">
        <v>2941</v>
      </c>
      <c r="B50" s="2866" t="str">
        <f>估价对象房地状况!C19</f>
        <v>零星有他用地，对本宗地无不利影响。</v>
      </c>
      <c r="C50" s="2762"/>
      <c r="D50" s="1285">
        <f t="shared" si="10"/>
        <v>0</v>
      </c>
      <c r="E50" s="821"/>
      <c r="F50" s="249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2" t="s">
        <v>2942</v>
      </c>
      <c r="B51" s="2867" t="s">
        <v>2943</v>
      </c>
      <c r="C51" s="2762"/>
      <c r="D51" s="1285">
        <f t="shared" si="10"/>
        <v>0</v>
      </c>
      <c r="E51" s="821"/>
      <c r="F51" s="249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2" t="s">
        <v>2944</v>
      </c>
      <c r="B52" s="2866" t="str">
        <f>估价对象房地状况!C24</f>
        <v>城市支路—未命名道路</v>
      </c>
      <c r="C52" s="2762"/>
      <c r="D52" s="1285">
        <f t="shared" si="10"/>
        <v>0</v>
      </c>
      <c r="E52" s="821"/>
      <c r="F52" s="249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2" t="s">
        <v>2945</v>
      </c>
      <c r="B53" s="2868" t="s">
        <v>2946</v>
      </c>
      <c r="C53" s="2762"/>
      <c r="D53" s="1285">
        <f t="shared" si="10"/>
        <v>0</v>
      </c>
      <c r="E53" s="821"/>
      <c r="F53" s="249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9" t="s">
        <v>2947</v>
      </c>
      <c r="B54" s="1723" t="str">
        <f>估价对象房地状况!C21</f>
        <v>估价对象所在区域公共配套设施齐备情况较差。</v>
      </c>
      <c r="C54" s="2762"/>
      <c r="D54" s="1285">
        <f t="shared" si="10"/>
        <v>0</v>
      </c>
      <c r="E54" s="821"/>
      <c r="F54" s="249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9" t="s">
        <v>2948</v>
      </c>
      <c r="B55" s="2866" t="str">
        <f>估价对象房地状况!C22</f>
        <v>估价对象所在区域基础设施水平达“六通”。</v>
      </c>
      <c r="C55" s="2762"/>
      <c r="D55" s="1285">
        <f t="shared" si="10"/>
        <v>0</v>
      </c>
      <c r="E55" s="821"/>
      <c r="F55" s="249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0" t="s">
        <v>2949</v>
      </c>
      <c r="B56" s="2871" t="str">
        <f>估价对象房地状况!C20</f>
        <v>估价对象所在区域无公园等自然环境设施，自然环境较差；所在区域无博物馆等人文设施，人文设施较差，综合评价自然及人文环境状况较差。</v>
      </c>
      <c r="C56" s="2762"/>
      <c r="D56" s="1285">
        <f t="shared" si="10"/>
        <v>0</v>
      </c>
      <c r="E56" s="824"/>
      <c r="F56" s="249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8" t="s">
        <v>2950</v>
      </c>
      <c r="B57" s="2859">
        <f>1+E59</f>
        <v>1</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2931</v>
      </c>
      <c r="B58" s="1807"/>
      <c r="C58" s="1807" t="s">
        <v>2933</v>
      </c>
      <c r="D58" s="1807" t="s">
        <v>2934</v>
      </c>
      <c r="E58" s="818" t="s">
        <v>2935</v>
      </c>
      <c r="F58" s="2863" t="s">
        <v>2951</v>
      </c>
      <c r="G58" s="1807" t="s">
        <v>754</v>
      </c>
      <c r="H58" s="2864" t="s">
        <v>2937</v>
      </c>
      <c r="I58" s="1807" t="s">
        <v>2938</v>
      </c>
      <c r="J58" s="603" t="s">
        <v>2585</v>
      </c>
      <c r="K58" s="603" t="s">
        <v>2586</v>
      </c>
      <c r="L58" s="603" t="s">
        <v>2587</v>
      </c>
      <c r="M58" s="603" t="s">
        <v>2588</v>
      </c>
      <c r="N58" s="603" t="s">
        <v>2589</v>
      </c>
      <c r="AA58" s="1370"/>
      <c r="AB58" s="1370"/>
      <c r="AC58" s="1370"/>
      <c r="AD58" s="1370"/>
      <c r="AE58" s="1370"/>
      <c r="AF58" s="1370"/>
      <c r="AG58" s="1370"/>
      <c r="AH58" s="1370"/>
      <c r="AI58" s="1370"/>
      <c r="AJ58" s="1370"/>
      <c r="AK58" s="1370"/>
    </row>
    <row r="59" spans="1:37" s="1369" customFormat="1" ht="24">
      <c r="A59" s="2862" t="s">
        <v>2952</v>
      </c>
      <c r="B59" s="2865" t="str">
        <f>估价对象房地状况!C17</f>
        <v>——</v>
      </c>
      <c r="C59" s="2762"/>
      <c r="D59" s="1285">
        <f t="shared" ref="D59:D67" si="15">SUMIF($J$58:$N$58,C59,J59:N59)</f>
        <v>0</v>
      </c>
      <c r="E59" s="820">
        <f>ROUND(SUM(D59:D67),4)</f>
        <v>0</v>
      </c>
      <c r="F59" s="249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62" t="s">
        <v>2940</v>
      </c>
      <c r="B60" s="2866" t="str">
        <f>估价对象房地状况!C18</f>
        <v>估价对象邻近昆磨高速，公共交通线路较少，路网密集度一般，停车便捷程度较好，综合评价交通便捷度一般。</v>
      </c>
      <c r="C60" s="2762"/>
      <c r="D60" s="1285">
        <f t="shared" si="15"/>
        <v>0</v>
      </c>
      <c r="E60" s="821"/>
      <c r="F60" s="249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2" t="s">
        <v>2941</v>
      </c>
      <c r="B61" s="2866" t="str">
        <f>估价对象房地状况!C19</f>
        <v>零星有他用地，对本宗地无不利影响。</v>
      </c>
      <c r="C61" s="2762"/>
      <c r="D61" s="1285">
        <f t="shared" si="15"/>
        <v>0</v>
      </c>
      <c r="E61" s="821"/>
      <c r="F61" s="249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2" t="s">
        <v>2942</v>
      </c>
      <c r="B62" s="2867" t="s">
        <v>2943</v>
      </c>
      <c r="C62" s="2762"/>
      <c r="D62" s="1285">
        <f t="shared" si="15"/>
        <v>0</v>
      </c>
      <c r="E62" s="821"/>
      <c r="F62" s="249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2" t="s">
        <v>2944</v>
      </c>
      <c r="B63" s="2866" t="str">
        <f>估价对象房地状况!C24</f>
        <v>城市支路—未命名道路</v>
      </c>
      <c r="C63" s="2762"/>
      <c r="D63" s="1285">
        <f t="shared" si="15"/>
        <v>0</v>
      </c>
      <c r="E63" s="821"/>
      <c r="F63" s="249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2" t="s">
        <v>2945</v>
      </c>
      <c r="B64" s="2868" t="s">
        <v>2946</v>
      </c>
      <c r="C64" s="2762"/>
      <c r="D64" s="1285">
        <f t="shared" si="15"/>
        <v>0</v>
      </c>
      <c r="E64" s="821"/>
      <c r="F64" s="249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2" t="s">
        <v>2947</v>
      </c>
      <c r="B65" s="1723" t="str">
        <f>估价对象房地状况!C21</f>
        <v>估价对象所在区域公共配套设施齐备情况较差。</v>
      </c>
      <c r="C65" s="2762"/>
      <c r="D65" s="1285">
        <f t="shared" si="15"/>
        <v>0</v>
      </c>
      <c r="E65" s="821"/>
      <c r="F65" s="249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2" t="s">
        <v>2948</v>
      </c>
      <c r="B66" s="1723" t="str">
        <f>估价对象房地状况!C22</f>
        <v>估价对象所在区域基础设施水平达“六通”。</v>
      </c>
      <c r="C66" s="2762"/>
      <c r="D66" s="1285">
        <f t="shared" si="15"/>
        <v>0</v>
      </c>
      <c r="E66" s="821"/>
      <c r="F66" s="249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0" t="s">
        <v>2949</v>
      </c>
      <c r="B67" s="2872" t="str">
        <f>估价对象房地状况!C20</f>
        <v>估价对象所在区域无公园等自然环境设施，自然环境较差；所在区域无博物馆等人文设施，人文设施较差，综合评价自然及人文环境状况较差。</v>
      </c>
      <c r="C67" s="2762"/>
      <c r="D67" s="1285">
        <f t="shared" si="15"/>
        <v>0</v>
      </c>
      <c r="E67" s="824"/>
      <c r="F67" s="249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8" t="s">
        <v>2953</v>
      </c>
      <c r="B68" s="2859">
        <f>1+E70</f>
        <v>1</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2" t="s">
        <v>2931</v>
      </c>
      <c r="B69" s="1807"/>
      <c r="C69" s="1807" t="s">
        <v>2933</v>
      </c>
      <c r="D69" s="1807" t="s">
        <v>2934</v>
      </c>
      <c r="E69" s="818" t="s">
        <v>2935</v>
      </c>
      <c r="F69" s="2863" t="s">
        <v>2951</v>
      </c>
      <c r="G69" s="1807" t="s">
        <v>754</v>
      </c>
      <c r="H69" s="2864" t="s">
        <v>2937</v>
      </c>
      <c r="I69" s="1807" t="s">
        <v>2938</v>
      </c>
      <c r="J69" s="603" t="s">
        <v>2585</v>
      </c>
      <c r="K69" s="603" t="s">
        <v>2586</v>
      </c>
      <c r="L69" s="603" t="s">
        <v>2587</v>
      </c>
      <c r="M69" s="603" t="s">
        <v>2588</v>
      </c>
      <c r="N69" s="603" t="s">
        <v>2589</v>
      </c>
      <c r="AA69" s="1370"/>
      <c r="AB69" s="1370"/>
      <c r="AC69" s="1370"/>
      <c r="AD69" s="1370"/>
      <c r="AE69" s="1370"/>
      <c r="AF69" s="1370"/>
      <c r="AG69" s="1370"/>
      <c r="AH69" s="1370"/>
      <c r="AI69" s="1370"/>
      <c r="AJ69" s="1370"/>
      <c r="AK69" s="1370"/>
    </row>
    <row r="70" spans="1:37" s="1369" customFormat="1" ht="24">
      <c r="A70" s="2862" t="s">
        <v>2954</v>
      </c>
      <c r="B70" s="2865" t="str">
        <f>估价对象房地状况!C15</f>
        <v>估价对象所在区域住宅社区较少，分布密度较差，入住率较低，综合评价居住社区成熟度较差。</v>
      </c>
      <c r="C70" s="2762"/>
      <c r="D70" s="1285">
        <f t="shared" ref="D70:D78" si="20">SUMIF($J$69:$N$69,C70,J70:N70)</f>
        <v>0</v>
      </c>
      <c r="E70" s="820">
        <f>ROUND(SUM(D70:D78),4)</f>
        <v>0</v>
      </c>
      <c r="F70" s="249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62" t="s">
        <v>2940</v>
      </c>
      <c r="B71" s="2866" t="str">
        <f>估价对象房地状况!C18</f>
        <v>估价对象邻近昆磨高速，公共交通线路较少，路网密集度一般，停车便捷程度较好，综合评价交通便捷度一般。</v>
      </c>
      <c r="C71" s="2762"/>
      <c r="D71" s="1285">
        <f t="shared" si="20"/>
        <v>0</v>
      </c>
      <c r="E71" s="825"/>
      <c r="F71" s="249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2" t="s">
        <v>2941</v>
      </c>
      <c r="B72" s="2866" t="str">
        <f>估价对象房地状况!C19</f>
        <v>零星有他用地，对本宗地无不利影响。</v>
      </c>
      <c r="C72" s="2762"/>
      <c r="D72" s="1285">
        <f t="shared" si="20"/>
        <v>0</v>
      </c>
      <c r="E72" s="825"/>
      <c r="F72" s="249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2" t="s">
        <v>2955</v>
      </c>
      <c r="B73" s="2866" t="str">
        <f>估价对象房地状况!C24</f>
        <v>城市支路—未命名道路</v>
      </c>
      <c r="C73" s="2762"/>
      <c r="D73" s="1285">
        <f t="shared" si="20"/>
        <v>0</v>
      </c>
      <c r="E73" s="825"/>
      <c r="F73" s="249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2" t="s">
        <v>2947</v>
      </c>
      <c r="B74" s="1723" t="str">
        <f>估价对象房地状况!C21</f>
        <v>估价对象所在区域公共配套设施齐备情况较差。</v>
      </c>
      <c r="C74" s="2762"/>
      <c r="D74" s="1285">
        <f t="shared" si="20"/>
        <v>0</v>
      </c>
      <c r="E74" s="825"/>
      <c r="F74" s="249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2" t="s">
        <v>2948</v>
      </c>
      <c r="B75" s="1723" t="str">
        <f>估价对象房地状况!C22</f>
        <v>估价对象所在区域基础设施水平达“六通”。</v>
      </c>
      <c r="C75" s="2762"/>
      <c r="D75" s="1285">
        <f t="shared" si="20"/>
        <v>0</v>
      </c>
      <c r="E75" s="825"/>
      <c r="F75" s="249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24">
      <c r="A76" s="2862" t="s">
        <v>2945</v>
      </c>
      <c r="B76" s="2868" t="s">
        <v>2946</v>
      </c>
      <c r="C76" s="2762"/>
      <c r="D76" s="1285">
        <f t="shared" si="20"/>
        <v>0</v>
      </c>
      <c r="E76" s="825"/>
      <c r="F76" s="2493"/>
      <c r="G76" s="1283"/>
      <c r="H76" s="1287" t="str">
        <f t="shared" si="21"/>
        <v>——</v>
      </c>
      <c r="I76" s="819">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38.25">
      <c r="A77" s="2862" t="s">
        <v>2949</v>
      </c>
      <c r="B77" s="2865" t="str">
        <f>估价对象房地状况!C20</f>
        <v>估价对象所在区域无公园等自然环境设施，自然环境较差；所在区域无博物馆等人文设施，人文设施较差，综合评价自然及人文环境状况较差。</v>
      </c>
      <c r="C77" s="2762"/>
      <c r="D77" s="1285">
        <f t="shared" si="20"/>
        <v>0</v>
      </c>
      <c r="E77" s="825"/>
      <c r="F77" s="2493"/>
      <c r="G77" s="1283"/>
      <c r="H77" s="1287" t="str">
        <f t="shared" si="21"/>
        <v>——</v>
      </c>
      <c r="I77" s="819">
        <v>0.15</v>
      </c>
      <c r="J77" s="1284">
        <f t="shared" si="22"/>
        <v>0</v>
      </c>
      <c r="K77" s="1284">
        <f t="shared" si="23"/>
        <v>0</v>
      </c>
      <c r="L77" s="1284">
        <v>0</v>
      </c>
      <c r="M77" s="1284">
        <f t="shared" si="24"/>
        <v>0</v>
      </c>
      <c r="N77" s="1284">
        <f t="shared" si="24"/>
        <v>0</v>
      </c>
      <c r="Z77" s="2712"/>
      <c r="AA77" s="2780"/>
      <c r="AG77" s="1371"/>
      <c r="AK77" s="2780"/>
    </row>
    <row r="78" spans="1:37" ht="24.75" thickBot="1">
      <c r="A78" s="2870" t="s">
        <v>2956</v>
      </c>
      <c r="B78" s="2874"/>
      <c r="C78" s="2762"/>
      <c r="D78" s="1285">
        <f t="shared" si="20"/>
        <v>0</v>
      </c>
      <c r="E78" s="826"/>
      <c r="F78" s="2493"/>
      <c r="G78" s="1283"/>
      <c r="H78" s="1287" t="str">
        <f t="shared" si="21"/>
        <v>——</v>
      </c>
      <c r="I78" s="823">
        <v>0.04</v>
      </c>
      <c r="J78" s="1284">
        <f t="shared" si="22"/>
        <v>0</v>
      </c>
      <c r="K78" s="1284">
        <f t="shared" si="23"/>
        <v>0</v>
      </c>
      <c r="L78" s="1284">
        <v>0</v>
      </c>
      <c r="M78" s="1284">
        <f t="shared" si="24"/>
        <v>0</v>
      </c>
      <c r="N78" s="1284">
        <f t="shared" si="24"/>
        <v>0</v>
      </c>
      <c r="Z78" s="2712"/>
      <c r="AA78" s="2780"/>
      <c r="AG78" s="1371"/>
      <c r="AK78" s="2780"/>
    </row>
    <row r="79" spans="1:37" ht="15">
      <c r="A79" s="2858" t="s">
        <v>2957</v>
      </c>
      <c r="B79" s="2859">
        <f>1+E81</f>
        <v>1</v>
      </c>
      <c r="C79" s="813"/>
      <c r="D79" s="813"/>
      <c r="E79" s="814"/>
      <c r="F79" s="2861"/>
      <c r="G79" s="6"/>
      <c r="H79" s="6"/>
      <c r="I79" s="6"/>
      <c r="J79" s="7"/>
      <c r="K79" s="7"/>
      <c r="L79" s="7"/>
      <c r="M79" s="7"/>
      <c r="N79" s="7"/>
      <c r="Z79" s="2712"/>
      <c r="AA79" s="2780"/>
      <c r="AG79" s="1371"/>
      <c r="AK79" s="2780"/>
    </row>
    <row r="80" spans="1:37" ht="24.75">
      <c r="A80" s="2862" t="s">
        <v>2931</v>
      </c>
      <c r="B80" s="1807"/>
      <c r="C80" s="1807" t="s">
        <v>2933</v>
      </c>
      <c r="D80" s="1807" t="s">
        <v>2934</v>
      </c>
      <c r="E80" s="818" t="s">
        <v>2935</v>
      </c>
      <c r="F80" s="2863" t="s">
        <v>2951</v>
      </c>
      <c r="G80" s="1807" t="s">
        <v>754</v>
      </c>
      <c r="H80" s="2864" t="s">
        <v>2937</v>
      </c>
      <c r="I80" s="1807" t="s">
        <v>2938</v>
      </c>
      <c r="J80" s="603" t="s">
        <v>2585</v>
      </c>
      <c r="K80" s="603" t="s">
        <v>2586</v>
      </c>
      <c r="L80" s="603" t="s">
        <v>2587</v>
      </c>
      <c r="M80" s="603" t="s">
        <v>2588</v>
      </c>
      <c r="N80" s="603" t="s">
        <v>2589</v>
      </c>
      <c r="Z80" s="2712"/>
      <c r="AA80" s="2780"/>
      <c r="AG80" s="1371"/>
      <c r="AK80" s="2780"/>
    </row>
    <row r="81" spans="1:37" ht="38.25">
      <c r="A81" s="2862" t="s">
        <v>2958</v>
      </c>
      <c r="B81" s="2866" t="str">
        <f>估价对象房地状况!G15</f>
        <v>估价对象位于XX开发区，园区建设成熟度XX，产业集聚程度XX</v>
      </c>
      <c r="C81" s="2762"/>
      <c r="D81" s="1285">
        <f t="shared" ref="D81:D88" si="25">SUMIF($J$80:$N$80,C81,J81:N81)</f>
        <v>0</v>
      </c>
      <c r="E81" s="820">
        <f>ROUND(SUM(D81:D88),4)</f>
        <v>0</v>
      </c>
      <c r="F81" s="249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51">
      <c r="A82" s="2862" t="s">
        <v>2940</v>
      </c>
      <c r="B82" s="2866" t="str">
        <f>估价对象房地状况!G16</f>
        <v>估价对象周边道路状况、公共交通通达情况、停车便捷程度，综合评价交通便捷度较好</v>
      </c>
      <c r="C82" s="2762"/>
      <c r="D82" s="1285">
        <f t="shared" si="25"/>
        <v>0</v>
      </c>
      <c r="E82" s="825"/>
      <c r="F82" s="2493"/>
      <c r="G82" s="1283"/>
      <c r="H82" s="1287" t="str">
        <f t="shared" si="26"/>
        <v>——</v>
      </c>
      <c r="I82" s="819">
        <v>0.33</v>
      </c>
      <c r="J82" s="1284">
        <f t="shared" si="27"/>
        <v>0</v>
      </c>
      <c r="K82" s="1284">
        <f t="shared" si="28"/>
        <v>0</v>
      </c>
      <c r="L82" s="1284">
        <v>0</v>
      </c>
      <c r="M82" s="1284">
        <f t="shared" si="29"/>
        <v>0</v>
      </c>
      <c r="N82" s="1284">
        <f t="shared" si="29"/>
        <v>0</v>
      </c>
      <c r="Z82" s="2712"/>
      <c r="AA82" s="2780"/>
      <c r="AG82" s="1371"/>
      <c r="AK82" s="2780"/>
    </row>
    <row r="83" spans="1:37" ht="24">
      <c r="A83" s="2862" t="s">
        <v>2941</v>
      </c>
      <c r="B83" s="2866">
        <f>估价对象房地状况!G17</f>
        <v>0</v>
      </c>
      <c r="C83" s="2762"/>
      <c r="D83" s="1285">
        <f t="shared" si="25"/>
        <v>0</v>
      </c>
      <c r="E83" s="825"/>
      <c r="F83" s="2493"/>
      <c r="G83" s="1283"/>
      <c r="H83" s="1287" t="str">
        <f t="shared" si="26"/>
        <v>——</v>
      </c>
      <c r="I83" s="819">
        <v>0.05</v>
      </c>
      <c r="J83" s="1284">
        <f t="shared" si="27"/>
        <v>0</v>
      </c>
      <c r="K83" s="1284">
        <f t="shared" si="28"/>
        <v>0</v>
      </c>
      <c r="L83" s="1284">
        <v>0</v>
      </c>
      <c r="M83" s="1284">
        <f t="shared" si="29"/>
        <v>0</v>
      </c>
      <c r="N83" s="1284">
        <f t="shared" si="29"/>
        <v>0</v>
      </c>
      <c r="Z83" s="2712"/>
      <c r="AA83" s="2780"/>
      <c r="AG83" s="1371"/>
      <c r="AK83" s="2780"/>
    </row>
    <row r="84" spans="1:37" ht="14.25">
      <c r="A84" s="2862" t="s">
        <v>2955</v>
      </c>
      <c r="B84" s="2866">
        <f>估价对象房地状况!G22</f>
        <v>0</v>
      </c>
      <c r="C84" s="2762"/>
      <c r="D84" s="1285">
        <f t="shared" si="25"/>
        <v>0</v>
      </c>
      <c r="E84" s="825"/>
      <c r="F84" s="2493"/>
      <c r="G84" s="1283"/>
      <c r="H84" s="1287" t="str">
        <f t="shared" si="26"/>
        <v>——</v>
      </c>
      <c r="I84" s="819">
        <v>0.04</v>
      </c>
      <c r="J84" s="1284">
        <f t="shared" si="27"/>
        <v>0</v>
      </c>
      <c r="K84" s="1284">
        <f t="shared" si="28"/>
        <v>0</v>
      </c>
      <c r="L84" s="1284">
        <v>0</v>
      </c>
      <c r="M84" s="1284">
        <f t="shared" si="29"/>
        <v>0</v>
      </c>
      <c r="N84" s="1284">
        <f t="shared" si="29"/>
        <v>0</v>
      </c>
      <c r="Z84" s="2712"/>
      <c r="AA84" s="2780"/>
      <c r="AG84" s="1371"/>
      <c r="AK84" s="2780"/>
    </row>
    <row r="85" spans="1:37" ht="25.5">
      <c r="A85" s="2862" t="s">
        <v>2947</v>
      </c>
      <c r="B85" s="1723" t="str">
        <f>估价对象房地状况!G19</f>
        <v>估价对象所在区域公共配套设施齐备情况</v>
      </c>
      <c r="C85" s="2762"/>
      <c r="D85" s="1285">
        <f t="shared" si="25"/>
        <v>0</v>
      </c>
      <c r="E85" s="825"/>
      <c r="F85" s="2493"/>
      <c r="G85" s="1283"/>
      <c r="H85" s="1287" t="str">
        <f t="shared" si="26"/>
        <v>——</v>
      </c>
      <c r="I85" s="819">
        <v>0.06</v>
      </c>
      <c r="J85" s="1284">
        <f t="shared" si="27"/>
        <v>0</v>
      </c>
      <c r="K85" s="1284">
        <f t="shared" si="28"/>
        <v>0</v>
      </c>
      <c r="L85" s="1284">
        <v>0</v>
      </c>
      <c r="M85" s="1284">
        <f t="shared" si="29"/>
        <v>0</v>
      </c>
      <c r="N85" s="1284">
        <f t="shared" si="29"/>
        <v>0</v>
      </c>
      <c r="Z85" s="2712"/>
      <c r="AA85" s="2780"/>
      <c r="AG85" s="1371"/>
      <c r="AK85" s="2780"/>
    </row>
    <row r="86" spans="1:37" ht="25.5">
      <c r="A86" s="2862" t="s">
        <v>2948</v>
      </c>
      <c r="B86" s="1723" t="str">
        <f>估价对象房地状况!G20</f>
        <v>估价对象所在区域基础设施水平</v>
      </c>
      <c r="C86" s="2762"/>
      <c r="D86" s="1285">
        <f t="shared" si="25"/>
        <v>0</v>
      </c>
      <c r="E86" s="825"/>
      <c r="F86" s="2493"/>
      <c r="G86" s="1283"/>
      <c r="H86" s="1287" t="str">
        <f t="shared" si="26"/>
        <v>——</v>
      </c>
      <c r="I86" s="819">
        <v>0.15</v>
      </c>
      <c r="J86" s="1284">
        <f t="shared" si="27"/>
        <v>0</v>
      </c>
      <c r="K86" s="1284">
        <f t="shared" si="28"/>
        <v>0</v>
      </c>
      <c r="L86" s="1284">
        <v>0</v>
      </c>
      <c r="M86" s="1284">
        <f t="shared" si="29"/>
        <v>0</v>
      </c>
      <c r="N86" s="1284">
        <f t="shared" si="29"/>
        <v>0</v>
      </c>
      <c r="Z86" s="2712"/>
      <c r="AA86" s="2780"/>
      <c r="AG86" s="1371"/>
      <c r="AK86" s="2780"/>
    </row>
    <row r="87" spans="1:37" ht="24">
      <c r="A87" s="2862" t="s">
        <v>2945</v>
      </c>
      <c r="B87" s="2868" t="s">
        <v>2959</v>
      </c>
      <c r="C87" s="2762"/>
      <c r="D87" s="1285">
        <f t="shared" si="25"/>
        <v>0</v>
      </c>
      <c r="E87" s="825"/>
      <c r="F87" s="2493"/>
      <c r="G87" s="1283"/>
      <c r="H87" s="1287" t="str">
        <f t="shared" si="26"/>
        <v>——</v>
      </c>
      <c r="I87" s="819">
        <v>0.05</v>
      </c>
      <c r="J87" s="1284">
        <f t="shared" si="27"/>
        <v>0</v>
      </c>
      <c r="K87" s="1284">
        <f t="shared" si="28"/>
        <v>0</v>
      </c>
      <c r="L87" s="1284">
        <v>0</v>
      </c>
      <c r="M87" s="1284">
        <f t="shared" si="29"/>
        <v>0</v>
      </c>
      <c r="N87" s="1284">
        <f t="shared" si="29"/>
        <v>0</v>
      </c>
      <c r="Z87" s="2712"/>
      <c r="AA87" s="2780"/>
      <c r="AG87" s="1371"/>
      <c r="AK87" s="2780"/>
    </row>
    <row r="88" spans="1:37" ht="39" thickBot="1">
      <c r="A88" s="2870" t="s">
        <v>2960</v>
      </c>
      <c r="B88" s="2875" t="str">
        <f>估价对象房地状况!G18</f>
        <v>该园区内是否有污染型企业，绿化情况，卫生条件，整体环境状况判断</v>
      </c>
      <c r="C88" s="2762"/>
      <c r="D88" s="1285">
        <f t="shared" si="25"/>
        <v>0</v>
      </c>
      <c r="E88" s="826"/>
      <c r="F88" s="2493"/>
      <c r="G88" s="1283"/>
      <c r="H88" s="1287" t="str">
        <f t="shared" si="26"/>
        <v>——</v>
      </c>
      <c r="I88" s="823">
        <v>0.06</v>
      </c>
      <c r="J88" s="1284">
        <f t="shared" si="27"/>
        <v>0</v>
      </c>
      <c r="K88" s="1284">
        <f t="shared" si="28"/>
        <v>0</v>
      </c>
      <c r="L88" s="1284">
        <v>0</v>
      </c>
      <c r="M88" s="1284">
        <f t="shared" si="29"/>
        <v>0</v>
      </c>
      <c r="N88" s="1284">
        <f t="shared" si="29"/>
        <v>0</v>
      </c>
      <c r="Z88" s="2712"/>
      <c r="AA88" s="2780"/>
      <c r="AG88" s="1371"/>
      <c r="AK88" s="2780"/>
    </row>
    <row r="90" spans="1:37">
      <c r="A90" s="3319" t="s">
        <v>2961</v>
      </c>
      <c r="B90" s="3319"/>
      <c r="C90" s="3319"/>
      <c r="D90" s="3319"/>
      <c r="E90" s="3319"/>
      <c r="F90" s="3319"/>
      <c r="G90" s="3319"/>
      <c r="H90" s="3319"/>
      <c r="I90" s="3319"/>
      <c r="J90" s="3319"/>
      <c r="K90" s="2876"/>
      <c r="L90" s="2876"/>
      <c r="M90" s="2876"/>
      <c r="N90" s="2876"/>
    </row>
    <row r="91" spans="1:37">
      <c r="A91" s="3321" t="s">
        <v>2962</v>
      </c>
      <c r="B91" s="3321" t="s">
        <v>2963</v>
      </c>
      <c r="C91" s="2830" t="s">
        <v>2964</v>
      </c>
      <c r="D91" s="2831"/>
      <c r="E91" s="2831"/>
      <c r="F91" s="2831"/>
      <c r="G91" s="2831"/>
      <c r="H91" s="2831"/>
      <c r="I91" s="2831"/>
      <c r="J91" s="2877"/>
      <c r="K91" s="2878"/>
      <c r="L91" s="2878"/>
      <c r="M91" s="2878"/>
      <c r="N91" s="2878"/>
    </row>
    <row r="92" spans="1:37">
      <c r="A92" s="3321"/>
      <c r="B92" s="3321"/>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322" t="s">
        <v>2965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23"/>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23"/>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23"/>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23"/>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23"/>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23"/>
      <c r="B99" s="2879" t="s">
        <v>2845</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24"/>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322" t="s">
        <v>2966</v>
      </c>
      <c r="B101" s="2883" t="s">
        <v>2967</v>
      </c>
      <c r="C101" s="2884">
        <f>$G$3</f>
        <v>3.01</v>
      </c>
      <c r="D101" s="2884">
        <f t="shared" ref="D101:N101" si="31">$G$3</f>
        <v>3.01</v>
      </c>
      <c r="E101" s="2884">
        <f t="shared" si="31"/>
        <v>3.01</v>
      </c>
      <c r="F101" s="2884">
        <f t="shared" si="31"/>
        <v>3.01</v>
      </c>
      <c r="G101" s="2884">
        <f t="shared" si="31"/>
        <v>3.01</v>
      </c>
      <c r="H101" s="2884">
        <f t="shared" si="31"/>
        <v>3.01</v>
      </c>
      <c r="I101" s="2884">
        <f t="shared" si="31"/>
        <v>3.01</v>
      </c>
      <c r="J101" s="2884">
        <f t="shared" si="31"/>
        <v>3.01</v>
      </c>
      <c r="K101" s="2884">
        <f t="shared" si="31"/>
        <v>3.01</v>
      </c>
      <c r="L101" s="2884">
        <f t="shared" si="31"/>
        <v>3.01</v>
      </c>
      <c r="M101" s="2884">
        <f t="shared" si="31"/>
        <v>3.01</v>
      </c>
      <c r="N101" s="2884">
        <f t="shared" si="31"/>
        <v>3.01</v>
      </c>
    </row>
    <row r="102" spans="1:14">
      <c r="A102" s="3323"/>
      <c r="B102" s="2879">
        <v>1</v>
      </c>
      <c r="C102" s="2880">
        <f>1.9362/C101</f>
        <v>0.64325581395348841</v>
      </c>
      <c r="D102" s="2880">
        <f>1.9362/D101</f>
        <v>0.64325581395348841</v>
      </c>
      <c r="E102" s="2880">
        <f>1.8629/E101</f>
        <v>0.61890365448504991</v>
      </c>
      <c r="F102" s="2880">
        <f>1.8629/F101</f>
        <v>0.61890365448504991</v>
      </c>
      <c r="G102" s="2880">
        <f>1.8629/G101</f>
        <v>0.61890365448504991</v>
      </c>
      <c r="H102" s="2880">
        <f>1.8629/H101</f>
        <v>0.61890365448504991</v>
      </c>
      <c r="I102" s="2880">
        <f>1.8629/I101</f>
        <v>0.61890365448504991</v>
      </c>
      <c r="J102" s="2880">
        <f>1.942/J101</f>
        <v>0.64518272425249168</v>
      </c>
      <c r="K102" s="2880">
        <f>1.942/K101</f>
        <v>0.64518272425249168</v>
      </c>
      <c r="L102" s="2880">
        <f>1.942/L101</f>
        <v>0.64518272425249168</v>
      </c>
      <c r="M102" s="2880">
        <f>1.942/M101</f>
        <v>0.64518272425249168</v>
      </c>
      <c r="N102" s="2880">
        <f>1.942/N101</f>
        <v>0.64518272425249168</v>
      </c>
    </row>
    <row r="103" spans="1:14">
      <c r="A103" s="3323"/>
      <c r="B103" s="2879">
        <v>2</v>
      </c>
      <c r="C103" s="2880">
        <f>1.4198/C101</f>
        <v>0.47169435215946848</v>
      </c>
      <c r="D103" s="2880">
        <f>1.4198/D101</f>
        <v>0.47169435215946848</v>
      </c>
      <c r="E103" s="2880">
        <f>1.3372/E101</f>
        <v>0.44425249169435216</v>
      </c>
      <c r="F103" s="2880">
        <f>1.3372/F101</f>
        <v>0.44425249169435216</v>
      </c>
      <c r="G103" s="2880">
        <f>1.3372/G101</f>
        <v>0.44425249169435216</v>
      </c>
      <c r="H103" s="2880">
        <f>1.3372/H101</f>
        <v>0.44425249169435216</v>
      </c>
      <c r="I103" s="2880">
        <f>1.3372/I101</f>
        <v>0.44425249169435216</v>
      </c>
      <c r="J103" s="2880">
        <f>1.2799/J101</f>
        <v>0.42521594684385389</v>
      </c>
      <c r="K103" s="2880">
        <f>1.2799/K101</f>
        <v>0.42521594684385389</v>
      </c>
      <c r="L103" s="2880">
        <f>1.2799/L101</f>
        <v>0.42521594684385389</v>
      </c>
      <c r="M103" s="2880">
        <f>1.2799/M101</f>
        <v>0.42521594684385389</v>
      </c>
      <c r="N103" s="2880">
        <f>1.2799/N101</f>
        <v>0.42521594684385389</v>
      </c>
    </row>
    <row r="104" spans="1:14">
      <c r="A104" s="3323"/>
      <c r="B104" s="2879">
        <v>3</v>
      </c>
      <c r="C104" s="2880">
        <f>1.1594/C101</f>
        <v>0.38518272425249173</v>
      </c>
      <c r="D104" s="2880">
        <f>1.1594/D101</f>
        <v>0.38518272425249173</v>
      </c>
      <c r="E104" s="2880">
        <f>1.0788/E101</f>
        <v>0.35840531561461797</v>
      </c>
      <c r="F104" s="2880">
        <f>1.0788/F101</f>
        <v>0.35840531561461797</v>
      </c>
      <c r="G104" s="2880">
        <f>1.0788/G101</f>
        <v>0.35840531561461797</v>
      </c>
      <c r="H104" s="2880">
        <f>1.0788/H101</f>
        <v>0.35840531561461797</v>
      </c>
      <c r="I104" s="2880">
        <f>1.0788/I101</f>
        <v>0.35840531561461797</v>
      </c>
      <c r="J104" s="2880">
        <f>1.0072/J101</f>
        <v>0.33461794019933561</v>
      </c>
      <c r="K104" s="2880">
        <f>1.0072/K101</f>
        <v>0.33461794019933561</v>
      </c>
      <c r="L104" s="2880">
        <f>1.0072/L101</f>
        <v>0.33461794019933561</v>
      </c>
      <c r="M104" s="2880">
        <f>1.0072/M101</f>
        <v>0.33461794019933561</v>
      </c>
      <c r="N104" s="2880">
        <f>1.0072/N101</f>
        <v>0.33461794019933561</v>
      </c>
    </row>
    <row r="105" spans="1:14">
      <c r="A105" s="3323"/>
      <c r="B105" s="2879">
        <v>4</v>
      </c>
      <c r="C105" s="2880">
        <f>0.9622/C101</f>
        <v>0.31966777408637875</v>
      </c>
      <c r="D105" s="2880">
        <f>0.9622/D101</f>
        <v>0.31966777408637875</v>
      </c>
      <c r="E105" s="2880">
        <f>0.8656/E101</f>
        <v>0.28757475083056483</v>
      </c>
      <c r="F105" s="2880">
        <f>0.8656/F101</f>
        <v>0.28757475083056483</v>
      </c>
      <c r="G105" s="2880">
        <f>0.8656/G101</f>
        <v>0.28757475083056483</v>
      </c>
      <c r="H105" s="2880">
        <f>0.8656/H101</f>
        <v>0.28757475083056483</v>
      </c>
      <c r="I105" s="2880">
        <f>0.8656/I101</f>
        <v>0.28757475083056483</v>
      </c>
      <c r="J105" s="2880">
        <f>0.7525/J101</f>
        <v>0.25</v>
      </c>
      <c r="K105" s="2880">
        <f>0.7525/K101</f>
        <v>0.25</v>
      </c>
      <c r="L105" s="2880">
        <f>0.7525/L101</f>
        <v>0.25</v>
      </c>
      <c r="M105" s="2880">
        <f>0.7525/M101</f>
        <v>0.25</v>
      </c>
      <c r="N105" s="2880">
        <f>0.7525/N101</f>
        <v>0.25</v>
      </c>
    </row>
    <row r="106" spans="1:14">
      <c r="A106" s="3323"/>
      <c r="B106" s="2879">
        <v>5</v>
      </c>
      <c r="C106" s="2880">
        <f>0.8417/C101</f>
        <v>0.27963455149501665</v>
      </c>
      <c r="D106" s="2880">
        <f>0.8417/D101</f>
        <v>0.27963455149501665</v>
      </c>
      <c r="E106" s="2880">
        <f>0.7371/E101</f>
        <v>0.24488372093023256</v>
      </c>
      <c r="F106" s="2880">
        <f>0.7371/F101</f>
        <v>0.24488372093023256</v>
      </c>
      <c r="G106" s="2880">
        <f>0.7371/G101</f>
        <v>0.24488372093023256</v>
      </c>
      <c r="H106" s="2880">
        <f>0.7371/H101</f>
        <v>0.24488372093023256</v>
      </c>
      <c r="I106" s="2880">
        <f>0.7371/I101</f>
        <v>0.24488372093023256</v>
      </c>
      <c r="J106" s="2880">
        <f>0.5659/J101</f>
        <v>0.18800664451827243</v>
      </c>
      <c r="K106" s="2880">
        <f>0.5659/K101</f>
        <v>0.18800664451827243</v>
      </c>
      <c r="L106" s="2880">
        <f>0.5659/L101</f>
        <v>0.18800664451827243</v>
      </c>
      <c r="M106" s="2880">
        <f>0.5659/M101</f>
        <v>0.18800664451827243</v>
      </c>
      <c r="N106" s="2880">
        <f>0.5659/N101</f>
        <v>0.18800664451827243</v>
      </c>
    </row>
    <row r="107" spans="1:14">
      <c r="A107" s="3323"/>
      <c r="B107" s="2879">
        <v>6</v>
      </c>
      <c r="C107" s="2880">
        <f>0.7608/C101</f>
        <v>0.25275747508305652</v>
      </c>
      <c r="D107" s="2880">
        <f>0.7608/D101</f>
        <v>0.25275747508305652</v>
      </c>
      <c r="E107" s="2880">
        <f>0.6482/E101</f>
        <v>0.21534883720930234</v>
      </c>
      <c r="F107" s="2880">
        <f>0.6482/F101</f>
        <v>0.21534883720930234</v>
      </c>
      <c r="G107" s="2880">
        <f>0.6482/G101</f>
        <v>0.21534883720930234</v>
      </c>
      <c r="H107" s="2880">
        <f>0.6482/H101</f>
        <v>0.21534883720930234</v>
      </c>
      <c r="I107" s="2880">
        <f>0.6482/I101</f>
        <v>0.21534883720930234</v>
      </c>
      <c r="J107" s="2880">
        <f>0.4525/J101</f>
        <v>0.15033222591362128</v>
      </c>
      <c r="K107" s="2880">
        <f>0.4525/K101</f>
        <v>0.15033222591362128</v>
      </c>
      <c r="L107" s="2880">
        <f>0.4525/L101</f>
        <v>0.15033222591362128</v>
      </c>
      <c r="M107" s="2880">
        <f>0.4525/M101</f>
        <v>0.15033222591362128</v>
      </c>
      <c r="N107" s="2880">
        <f>0.4525/N101</f>
        <v>0.15033222591362128</v>
      </c>
    </row>
    <row r="108" spans="1:14">
      <c r="A108" s="3323"/>
      <c r="B108" s="3178" t="s">
        <v>2968</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24"/>
      <c r="B109" s="3179"/>
      <c r="C109" s="2882">
        <f>(-0.163*(C108^2)-0.59*C108+7617)*(10^(-4))/C101</f>
        <v>0.25305647840531564</v>
      </c>
      <c r="D109" s="2882">
        <f>(-0.163*(D108^2)-0.59*D108+7617)*(10^(-4))/D101</f>
        <v>0.25305647840531564</v>
      </c>
      <c r="E109" s="2882">
        <f>(-0.161*(E108^2)-7.509*E108+6533)*(10^(-4))/E101</f>
        <v>0.21704318936877079</v>
      </c>
      <c r="F109" s="2882">
        <f>(-0.161*(F108^2)-7.509*F108+6533)*(10^(-4))/F101</f>
        <v>0.21704318936877079</v>
      </c>
      <c r="G109" s="2882">
        <f>(-0.161*(G108^2)-7.509*G108+6533)*(10^(-4))/G101</f>
        <v>0.21704318936877079</v>
      </c>
      <c r="H109" s="2882">
        <f>(-0.161*(H108^2)-7.509*H108+6533)*(10^(-4))/H101</f>
        <v>0.21704318936877079</v>
      </c>
      <c r="I109" s="2882">
        <f>(-0.161*(I108^2)-7.509*I108+6533)*(10^(-4))/I101</f>
        <v>0.21704318936877079</v>
      </c>
      <c r="J109" s="2882">
        <f>(-0.214*(J108^2)-21.991*J108+4665)*(10^(-4))/J101</f>
        <v>0.15498338870431896</v>
      </c>
      <c r="K109" s="2882">
        <f>(-0.214*(K108^2)-21.991*K108+4665)*(10^(-4))/K101</f>
        <v>0.15498338870431896</v>
      </c>
      <c r="L109" s="2882">
        <f>(-0.214*(L108^2)-21.991*L108+4665)*(10^(-4))/L101</f>
        <v>0.15498338870431896</v>
      </c>
      <c r="M109" s="2882">
        <f>(-0.214*(M108^2)-21.991*M108+4665)*(10^(-4))/M101</f>
        <v>0.15498338870431896</v>
      </c>
      <c r="N109" s="2882">
        <f>(-0.214*(N108^2)-21.991*N108+4665)*(10^(-4))/N101</f>
        <v>0.15498338870431896</v>
      </c>
    </row>
    <row r="110" spans="1:14">
      <c r="A110" s="3320" t="s">
        <v>2969</v>
      </c>
      <c r="B110" s="3320"/>
      <c r="C110" s="3320"/>
      <c r="D110" s="3320"/>
      <c r="E110" s="3320"/>
      <c r="F110" s="3320"/>
      <c r="G110" s="3320"/>
      <c r="H110" s="3320"/>
      <c r="I110" s="3320"/>
      <c r="J110" s="3320"/>
      <c r="K110" s="2885"/>
      <c r="L110" s="2885"/>
      <c r="M110" s="2885"/>
      <c r="N110" s="2885"/>
    </row>
    <row r="112" spans="1:14" ht="13.5" thickBot="1"/>
    <row r="113" spans="1:13" ht="25.5" thickBot="1">
      <c r="A113" s="902" t="s">
        <v>2970</v>
      </c>
      <c r="B113" s="1286">
        <f>G3</f>
        <v>3.01</v>
      </c>
      <c r="C113" s="903" t="s">
        <v>2971</v>
      </c>
      <c r="D113" s="904">
        <f>SUMPRODUCT((A115:A118=F113)*(B114:M114=H113)*B115:M118)</f>
        <v>0</v>
      </c>
      <c r="E113" s="2716" t="s">
        <v>2802</v>
      </c>
      <c r="F113" s="2887">
        <f>E2</f>
        <v>0</v>
      </c>
      <c r="G113" s="2716" t="s">
        <v>2803</v>
      </c>
      <c r="H113" s="2887">
        <f>G2</f>
        <v>0</v>
      </c>
      <c r="I113" s="2716"/>
      <c r="J113" s="2888"/>
      <c r="K113" s="2888"/>
      <c r="L113" s="2888"/>
      <c r="M113" s="2888"/>
    </row>
    <row r="114" spans="1:13">
      <c r="A114" s="907"/>
      <c r="B114" s="2889" t="s">
        <v>2972</v>
      </c>
      <c r="C114" s="2889" t="s">
        <v>2973</v>
      </c>
      <c r="D114" s="2889" t="s">
        <v>2974</v>
      </c>
      <c r="E114" s="2890" t="s">
        <v>2975</v>
      </c>
      <c r="F114" s="2890" t="s">
        <v>2976</v>
      </c>
      <c r="G114" s="2890" t="s">
        <v>2977</v>
      </c>
      <c r="H114" s="2891" t="s">
        <v>2978</v>
      </c>
      <c r="I114" s="2891" t="s">
        <v>2979</v>
      </c>
      <c r="J114" s="2892" t="s">
        <v>2980</v>
      </c>
      <c r="K114" s="2892" t="s">
        <v>2981</v>
      </c>
      <c r="L114" s="2892" t="s">
        <v>2982</v>
      </c>
      <c r="M114" s="2893" t="s">
        <v>2983</v>
      </c>
    </row>
    <row r="115" spans="1:13">
      <c r="A115" s="908" t="s">
        <v>2867</v>
      </c>
      <c r="B115" s="909">
        <f>ROUND(0.9335-0.0094*B113,4)</f>
        <v>0.9052</v>
      </c>
      <c r="C115" s="909">
        <f>B115</f>
        <v>0.9052</v>
      </c>
      <c r="D115" s="909">
        <f>ROUND(0.8331-0.0109*B113,4)</f>
        <v>0.80030000000000001</v>
      </c>
      <c r="E115" s="909">
        <f>D115</f>
        <v>0.80030000000000001</v>
      </c>
      <c r="F115" s="909">
        <f>E115</f>
        <v>0.80030000000000001</v>
      </c>
      <c r="G115" s="909">
        <f>F115</f>
        <v>0.80030000000000001</v>
      </c>
      <c r="H115" s="909">
        <f>G115</f>
        <v>0.80030000000000001</v>
      </c>
      <c r="I115" s="909">
        <f>ROUND(0.689-0.0155*B113,4)</f>
        <v>0.64229999999999998</v>
      </c>
      <c r="J115" s="909">
        <f t="shared" ref="J115:M118" si="33">I115</f>
        <v>0.64229999999999998</v>
      </c>
      <c r="K115" s="909">
        <f t="shared" si="33"/>
        <v>0.64229999999999998</v>
      </c>
      <c r="L115" s="909">
        <f t="shared" si="33"/>
        <v>0.64229999999999998</v>
      </c>
      <c r="M115" s="910">
        <f t="shared" si="33"/>
        <v>0.64229999999999998</v>
      </c>
    </row>
    <row r="116" spans="1:13">
      <c r="A116" s="908" t="s">
        <v>2868</v>
      </c>
      <c r="B116" s="909">
        <f>ROUND(0.949-0.012*B113,4)</f>
        <v>0.91290000000000004</v>
      </c>
      <c r="C116" s="909">
        <f>B116</f>
        <v>0.91290000000000004</v>
      </c>
      <c r="D116" s="909">
        <f>ROUND(0.8567-0.013*B113,4)</f>
        <v>0.81759999999999999</v>
      </c>
      <c r="E116" s="909">
        <f t="shared" ref="E116:H117" si="34">D116</f>
        <v>0.81759999999999999</v>
      </c>
      <c r="F116" s="909">
        <f t="shared" si="34"/>
        <v>0.81759999999999999</v>
      </c>
      <c r="G116" s="909">
        <f t="shared" si="34"/>
        <v>0.81759999999999999</v>
      </c>
      <c r="H116" s="909">
        <f t="shared" si="34"/>
        <v>0.81759999999999999</v>
      </c>
      <c r="I116" s="909">
        <f>ROUND(0.7694-0.014*B113,4)</f>
        <v>0.72729999999999995</v>
      </c>
      <c r="J116" s="909">
        <f t="shared" si="33"/>
        <v>0.72729999999999995</v>
      </c>
      <c r="K116" s="909">
        <f t="shared" si="33"/>
        <v>0.72729999999999995</v>
      </c>
      <c r="L116" s="909">
        <f t="shared" si="33"/>
        <v>0.72729999999999995</v>
      </c>
      <c r="M116" s="910">
        <f t="shared" si="33"/>
        <v>0.72729999999999995</v>
      </c>
    </row>
    <row r="117" spans="1:13">
      <c r="A117" s="908" t="s">
        <v>2869</v>
      </c>
      <c r="B117" s="909">
        <f>ROUND(0.8808-0.006*B113,4)</f>
        <v>0.86270000000000002</v>
      </c>
      <c r="C117" s="909">
        <f>B117</f>
        <v>0.86270000000000002</v>
      </c>
      <c r="D117" s="909">
        <f>ROUND(0.8748-0.008*B113,4)</f>
        <v>0.85070000000000001</v>
      </c>
      <c r="E117" s="909">
        <f t="shared" si="34"/>
        <v>0.85070000000000001</v>
      </c>
      <c r="F117" s="909">
        <f t="shared" si="34"/>
        <v>0.85070000000000001</v>
      </c>
      <c r="G117" s="909">
        <f t="shared" si="34"/>
        <v>0.85070000000000001</v>
      </c>
      <c r="H117" s="909">
        <f t="shared" si="34"/>
        <v>0.85070000000000001</v>
      </c>
      <c r="I117" s="909">
        <f>ROUND(0.7412-0.0095*B113,4)</f>
        <v>0.71260000000000001</v>
      </c>
      <c r="J117" s="909">
        <f t="shared" si="33"/>
        <v>0.71260000000000001</v>
      </c>
      <c r="K117" s="909">
        <f t="shared" si="33"/>
        <v>0.71260000000000001</v>
      </c>
      <c r="L117" s="909">
        <f t="shared" si="33"/>
        <v>0.71260000000000001</v>
      </c>
      <c r="M117" s="910">
        <f t="shared" si="33"/>
        <v>0.71260000000000001</v>
      </c>
    </row>
    <row r="118" spans="1:13" ht="13.5" thickBot="1">
      <c r="A118" s="714" t="s">
        <v>2870</v>
      </c>
      <c r="B118" s="911">
        <f>ROUND(0.7275-0.01*B113,4)</f>
        <v>0.69740000000000002</v>
      </c>
      <c r="C118" s="911">
        <f>B118</f>
        <v>0.69740000000000002</v>
      </c>
      <c r="D118" s="911">
        <f>ROUND(0.7043-0.012*B113,4)</f>
        <v>0.66820000000000002</v>
      </c>
      <c r="E118" s="911">
        <f>D118</f>
        <v>0.66820000000000002</v>
      </c>
      <c r="F118" s="911">
        <f>E118</f>
        <v>0.66820000000000002</v>
      </c>
      <c r="G118" s="911">
        <f>ROUND(0.6299-0.0122*B113,4)</f>
        <v>0.59319999999999995</v>
      </c>
      <c r="H118" s="911">
        <f>G118</f>
        <v>0.59319999999999995</v>
      </c>
      <c r="I118" s="911">
        <f>ROUND(0.5667-0.0136*B113,4)</f>
        <v>0.52580000000000005</v>
      </c>
      <c r="J118" s="911">
        <f t="shared" si="33"/>
        <v>0.52580000000000005</v>
      </c>
      <c r="K118" s="911">
        <f t="shared" si="33"/>
        <v>0.52580000000000005</v>
      </c>
      <c r="L118" s="911">
        <f t="shared" si="33"/>
        <v>0.52580000000000005</v>
      </c>
      <c r="M118" s="912">
        <f t="shared" si="33"/>
        <v>0.52580000000000005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9"/>
      <c r="B4" s="3003" t="s">
        <v>1626</v>
      </c>
      <c r="C4" s="3003"/>
      <c r="D4" s="3003"/>
      <c r="E4" s="1959"/>
    </row>
    <row r="5" spans="1:5" ht="16.5" thickTop="1">
      <c r="A5" s="1957"/>
      <c r="B5" s="3001" t="s">
        <v>1618</v>
      </c>
      <c r="C5" s="1960" t="s">
        <v>1619</v>
      </c>
      <c r="D5" s="1039">
        <f ca="1">结果表!H101</f>
        <v>40066</v>
      </c>
      <c r="E5" s="1957"/>
    </row>
    <row r="6" spans="1:5" ht="15.75">
      <c r="A6" s="1957"/>
      <c r="B6" s="3001"/>
      <c r="C6" s="1960" t="s">
        <v>1620</v>
      </c>
      <c r="D6" s="1039" t="str">
        <f ca="1">NUMBERSTRING(INT(D5*10000),2)&amp;"元整"</f>
        <v>肆亿零陆拾陆万元整</v>
      </c>
      <c r="E6" s="1957"/>
    </row>
    <row r="7" spans="1:5" ht="15.75">
      <c r="A7" s="1957"/>
      <c r="B7" s="3006"/>
      <c r="C7" s="1961" t="s">
        <v>1621</v>
      </c>
      <c r="D7" s="1040">
        <f ca="1">结果表!H102</f>
        <v>1561</v>
      </c>
      <c r="E7" s="1957"/>
    </row>
    <row r="8" spans="1:5" ht="15.75">
      <c r="A8" s="1957"/>
      <c r="B8" s="3007" t="str">
        <f>结果表!E103</f>
        <v>2.估价师知悉的法定优先受偿款</v>
      </c>
      <c r="C8" s="1962" t="s">
        <v>1622</v>
      </c>
      <c r="D8" s="1040">
        <f>结果表!H103</f>
        <v>0</v>
      </c>
      <c r="E8" s="1957"/>
    </row>
    <row r="9" spans="1:5" ht="15.75">
      <c r="A9" s="1957"/>
      <c r="B9" s="3009"/>
      <c r="C9" s="1960" t="s">
        <v>1620</v>
      </c>
      <c r="D9" s="1039" t="str">
        <f>NUMBERSTRING(INT(D8*10000),2)&amp;"元整"</f>
        <v>零元整</v>
      </c>
      <c r="E9" s="1957"/>
    </row>
    <row r="10" spans="1:5" ht="15">
      <c r="A10" s="1957"/>
      <c r="B10" s="1963" t="s">
        <v>1625</v>
      </c>
      <c r="C10" s="1964" t="s">
        <v>1623</v>
      </c>
      <c r="D10" s="1041">
        <f>结果表!H104</f>
        <v>0</v>
      </c>
      <c r="E10" s="1957"/>
    </row>
    <row r="11" spans="1:5" ht="15">
      <c r="A11" s="1957"/>
      <c r="B11" s="1963" t="s">
        <v>1627</v>
      </c>
      <c r="C11" s="1964" t="s">
        <v>1628</v>
      </c>
      <c r="D11" s="1041">
        <f>结果表!H105</f>
        <v>0</v>
      </c>
      <c r="E11" s="1957"/>
    </row>
    <row r="12" spans="1:5" ht="15">
      <c r="A12" s="1957"/>
      <c r="B12" s="1963" t="s">
        <v>1629</v>
      </c>
      <c r="C12" s="1964" t="s">
        <v>1628</v>
      </c>
      <c r="D12" s="1041">
        <f>结果表!H106</f>
        <v>0</v>
      </c>
      <c r="E12" s="1957"/>
    </row>
    <row r="13" spans="1:5" ht="15.75">
      <c r="A13" s="1957"/>
      <c r="B13" s="3000" t="str">
        <f>结果表!E107</f>
        <v>3.房地产抵押价值</v>
      </c>
      <c r="C13" s="1965" t="s">
        <v>1619</v>
      </c>
      <c r="D13" s="1042">
        <f ca="1">结果表!H107</f>
        <v>40066</v>
      </c>
      <c r="E13" s="1957"/>
    </row>
    <row r="14" spans="1:5" ht="15.75">
      <c r="A14" s="1957"/>
      <c r="B14" s="3001"/>
      <c r="C14" s="1960" t="s">
        <v>1620</v>
      </c>
      <c r="D14" s="1039" t="str">
        <f ca="1">NUMBERSTRING(INT(D13*10000),2)&amp;"元整"</f>
        <v>肆亿零陆拾陆万元整</v>
      </c>
      <c r="E14" s="1957"/>
    </row>
    <row r="15" spans="1:5" ht="15">
      <c r="A15" s="1957"/>
      <c r="B15" s="3006"/>
      <c r="C15" s="1961" t="s">
        <v>1630</v>
      </c>
      <c r="D15" s="1051">
        <f ca="1">结果表!H108</f>
        <v>1561</v>
      </c>
      <c r="E15" s="1957"/>
    </row>
    <row r="16" spans="1:5" ht="15">
      <c r="A16" s="1957"/>
      <c r="B16" s="3007" t="str">
        <f>结果表!E109</f>
        <v>——</v>
      </c>
      <c r="C16" s="1965" t="s">
        <v>1631</v>
      </c>
      <c r="D16" s="1966" t="str">
        <f>结果表!H109</f>
        <v>——</v>
      </c>
      <c r="E16" s="1957"/>
    </row>
    <row r="17" spans="1:5" ht="15.75">
      <c r="A17" s="1957"/>
      <c r="B17" s="3008"/>
      <c r="C17" s="1960" t="s">
        <v>1632</v>
      </c>
      <c r="D17" s="1039" t="e">
        <f>NUMBERSTRING(INT(D16*10000),2)&amp;"元整"</f>
        <v>#VALUE!</v>
      </c>
      <c r="E17" s="1957"/>
    </row>
    <row r="18" spans="1:5" ht="15">
      <c r="A18" s="1957"/>
      <c r="B18" s="3009"/>
      <c r="C18" s="1961" t="s">
        <v>1621</v>
      </c>
      <c r="D18" s="1051" t="str">
        <f>结果表!H110</f>
        <v>——</v>
      </c>
      <c r="E18" s="1957"/>
    </row>
    <row r="19" spans="1:5" ht="15.75">
      <c r="A19" s="1957"/>
      <c r="B19" s="3000" t="str">
        <f>结果表!E111</f>
        <v>——</v>
      </c>
      <c r="C19" s="1965" t="s">
        <v>1619</v>
      </c>
      <c r="D19" s="1040" t="str">
        <f>结果表!H111</f>
        <v>——</v>
      </c>
      <c r="E19" s="1957"/>
    </row>
    <row r="20" spans="1:5" ht="15.75">
      <c r="A20" s="1957"/>
      <c r="B20" s="3001"/>
      <c r="C20" s="1960" t="s">
        <v>1632</v>
      </c>
      <c r="D20" s="1039" t="e">
        <f>NUMBERSTRING(INT(D19*10000),2)&amp;"元整"</f>
        <v>#VALUE!</v>
      </c>
      <c r="E20" s="1957"/>
    </row>
    <row r="21" spans="1:5" ht="15.75" thickBot="1">
      <c r="A21" s="1957"/>
      <c r="B21" s="3002"/>
      <c r="C21" s="1967" t="s">
        <v>1630</v>
      </c>
      <c r="D21" s="1052"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0" t="s">
        <v>183</v>
      </c>
      <c r="B18" s="881" t="s">
        <v>560</v>
      </c>
      <c r="C18" s="882" t="s">
        <v>561</v>
      </c>
      <c r="D18" s="883"/>
      <c r="E18" s="881">
        <v>1</v>
      </c>
      <c r="F18" s="884" t="s">
        <v>562</v>
      </c>
      <c r="G18" s="885"/>
      <c r="H18" s="877"/>
      <c r="I18" s="877"/>
    </row>
    <row r="19" spans="1:9" s="886" customFormat="1" ht="19.5" customHeight="1">
      <c r="A19" s="3330"/>
      <c r="B19" s="3330" t="s">
        <v>563</v>
      </c>
      <c r="C19" s="882" t="s">
        <v>564</v>
      </c>
      <c r="D19" s="883"/>
      <c r="E19" s="881">
        <v>0.9</v>
      </c>
      <c r="F19" s="884" t="s">
        <v>565</v>
      </c>
      <c r="G19" s="885"/>
      <c r="H19" s="877"/>
      <c r="I19" s="877"/>
    </row>
    <row r="20" spans="1:9" s="886" customFormat="1" ht="19.5" customHeight="1">
      <c r="A20" s="3330"/>
      <c r="B20" s="3330"/>
      <c r="C20" s="882" t="s">
        <v>566</v>
      </c>
      <c r="D20" s="883"/>
      <c r="E20" s="881">
        <v>1.1000000000000001</v>
      </c>
      <c r="F20" s="884" t="s">
        <v>567</v>
      </c>
      <c r="G20" s="885"/>
      <c r="H20" s="877"/>
      <c r="I20" s="877"/>
    </row>
    <row r="21" spans="1:9" s="886" customFormat="1" ht="19.5" customHeight="1">
      <c r="A21" s="3330"/>
      <c r="B21" s="3330"/>
      <c r="C21" s="882" t="s">
        <v>568</v>
      </c>
      <c r="D21" s="883"/>
      <c r="E21" s="881">
        <v>0.8</v>
      </c>
      <c r="F21" s="884" t="s">
        <v>569</v>
      </c>
      <c r="G21" s="885"/>
      <c r="H21" s="877"/>
      <c r="I21" s="877"/>
    </row>
    <row r="22" spans="1:9" s="886" customFormat="1" ht="19.5" customHeight="1">
      <c r="A22" s="3330"/>
      <c r="B22" s="3330"/>
      <c r="C22" s="882" t="s">
        <v>570</v>
      </c>
      <c r="D22" s="883"/>
      <c r="E22" s="881">
        <v>0.5</v>
      </c>
      <c r="F22" s="884"/>
      <c r="G22" s="885"/>
      <c r="H22" s="877"/>
      <c r="I22" s="877"/>
    </row>
    <row r="23" spans="1:9" s="886" customFormat="1" ht="19.5" customHeight="1">
      <c r="A23" s="3330" t="s">
        <v>184</v>
      </c>
      <c r="B23" s="881" t="s">
        <v>560</v>
      </c>
      <c r="C23" s="882" t="s">
        <v>571</v>
      </c>
      <c r="D23" s="883"/>
      <c r="E23" s="881">
        <v>1</v>
      </c>
      <c r="F23" s="884" t="s">
        <v>572</v>
      </c>
      <c r="G23" s="885"/>
      <c r="H23" s="877"/>
      <c r="I23" s="877"/>
    </row>
    <row r="24" spans="1:9" s="886" customFormat="1" ht="19.5" customHeight="1">
      <c r="A24" s="3330"/>
      <c r="B24" s="3330" t="s">
        <v>563</v>
      </c>
      <c r="C24" s="882" t="s">
        <v>573</v>
      </c>
      <c r="D24" s="883"/>
      <c r="E24" s="881">
        <v>0.5</v>
      </c>
      <c r="F24" s="884"/>
      <c r="G24" s="885"/>
      <c r="H24" s="877"/>
      <c r="I24" s="877"/>
    </row>
    <row r="25" spans="1:9" s="886" customFormat="1" ht="19.5" customHeight="1">
      <c r="A25" s="3330"/>
      <c r="B25" s="3330"/>
      <c r="C25" s="882" t="s">
        <v>574</v>
      </c>
      <c r="D25" s="883"/>
      <c r="E25" s="881">
        <v>1.1000000000000001</v>
      </c>
      <c r="F25" s="884"/>
      <c r="G25" s="885"/>
      <c r="H25" s="877"/>
      <c r="I25" s="877"/>
    </row>
    <row r="26" spans="1:9" s="886" customFormat="1" ht="19.5" customHeight="1">
      <c r="A26" s="3330"/>
      <c r="B26" s="3330"/>
      <c r="C26" s="882" t="s">
        <v>575</v>
      </c>
      <c r="D26" s="883"/>
      <c r="E26" s="881">
        <v>1.1000000000000001</v>
      </c>
      <c r="F26" s="884"/>
      <c r="G26" s="885"/>
      <c r="H26" s="877"/>
      <c r="I26" s="877"/>
    </row>
    <row r="27" spans="1:9" s="886" customFormat="1" ht="19.5" customHeight="1">
      <c r="A27" s="3330"/>
      <c r="B27" s="3330"/>
      <c r="C27" s="882" t="s">
        <v>576</v>
      </c>
      <c r="D27" s="883"/>
      <c r="E27" s="881">
        <v>0.9</v>
      </c>
      <c r="F27" s="884" t="s">
        <v>577</v>
      </c>
      <c r="G27" s="885"/>
      <c r="H27" s="877"/>
      <c r="I27" s="877"/>
    </row>
    <row r="28" spans="1:9" s="886" customFormat="1" ht="19.5" customHeight="1">
      <c r="A28" s="3330"/>
      <c r="B28" s="3330"/>
      <c r="C28" s="882" t="s">
        <v>578</v>
      </c>
      <c r="D28" s="883"/>
      <c r="E28" s="881">
        <v>0.9</v>
      </c>
      <c r="F28" s="884" t="s">
        <v>579</v>
      </c>
      <c r="G28" s="885"/>
      <c r="H28" s="877"/>
      <c r="I28" s="877"/>
    </row>
    <row r="29" spans="1:9" s="886" customFormat="1" ht="19.5" customHeight="1">
      <c r="A29" s="3330"/>
      <c r="B29" s="3330"/>
      <c r="C29" s="882" t="s">
        <v>580</v>
      </c>
      <c r="D29" s="883"/>
      <c r="E29" s="881">
        <v>0.9</v>
      </c>
      <c r="F29" s="884" t="s">
        <v>581</v>
      </c>
      <c r="G29" s="885"/>
      <c r="H29" s="877"/>
      <c r="I29" s="877"/>
    </row>
    <row r="30" spans="1:9" s="886" customFormat="1" ht="19.5" customHeight="1">
      <c r="A30" s="3330"/>
      <c r="B30" s="3330"/>
      <c r="C30" s="882" t="s">
        <v>582</v>
      </c>
      <c r="D30" s="883"/>
      <c r="E30" s="881">
        <v>0.9</v>
      </c>
      <c r="F30" s="884" t="s">
        <v>583</v>
      </c>
      <c r="G30" s="885"/>
      <c r="H30" s="877"/>
      <c r="I30" s="877"/>
    </row>
    <row r="31" spans="1:9" s="886" customFormat="1" ht="19.5" customHeight="1">
      <c r="A31" s="3330"/>
      <c r="B31" s="3330"/>
      <c r="C31" s="882" t="s">
        <v>584</v>
      </c>
      <c r="D31" s="883"/>
      <c r="E31" s="881">
        <v>0.8</v>
      </c>
      <c r="F31" s="884" t="s">
        <v>585</v>
      </c>
      <c r="G31" s="885"/>
      <c r="H31" s="877"/>
      <c r="I31" s="877"/>
    </row>
    <row r="32" spans="1:9" s="886" customFormat="1" ht="19.5" customHeight="1">
      <c r="A32" s="3330"/>
      <c r="B32" s="3330"/>
      <c r="C32" s="882" t="s">
        <v>586</v>
      </c>
      <c r="D32" s="883"/>
      <c r="E32" s="881">
        <v>0.8</v>
      </c>
      <c r="F32" s="884" t="s">
        <v>587</v>
      </c>
      <c r="G32" s="885"/>
      <c r="H32" s="877"/>
      <c r="I32" s="877"/>
    </row>
    <row r="33" spans="1:9" s="886" customFormat="1" ht="19.5" customHeight="1">
      <c r="A33" s="3330" t="s">
        <v>185</v>
      </c>
      <c r="B33" s="881" t="s">
        <v>560</v>
      </c>
      <c r="C33" s="882" t="s">
        <v>588</v>
      </c>
      <c r="D33" s="883"/>
      <c r="E33" s="881">
        <v>1</v>
      </c>
      <c r="F33" s="884" t="s">
        <v>589</v>
      </c>
      <c r="G33" s="885"/>
      <c r="H33" s="877"/>
      <c r="I33" s="877"/>
    </row>
    <row r="34" spans="1:9" s="886" customFormat="1" ht="19.5" customHeight="1">
      <c r="A34" s="3330"/>
      <c r="B34" s="881" t="s">
        <v>563</v>
      </c>
      <c r="C34" s="882" t="s">
        <v>590</v>
      </c>
      <c r="D34" s="883"/>
      <c r="E34" s="881">
        <v>1.5</v>
      </c>
      <c r="F34" s="884" t="s">
        <v>591</v>
      </c>
      <c r="G34" s="885"/>
      <c r="H34" s="877"/>
      <c r="I34" s="877"/>
    </row>
    <row r="35" spans="1:9" s="886" customFormat="1" ht="19.5" customHeight="1">
      <c r="A35" s="3330" t="s">
        <v>186</v>
      </c>
      <c r="B35" s="881" t="s">
        <v>560</v>
      </c>
      <c r="C35" s="882" t="s">
        <v>592</v>
      </c>
      <c r="D35" s="883"/>
      <c r="E35" s="881">
        <v>1</v>
      </c>
      <c r="F35" s="884" t="s">
        <v>593</v>
      </c>
      <c r="G35" s="885"/>
      <c r="H35" s="877"/>
      <c r="I35" s="877"/>
    </row>
    <row r="36" spans="1:9" s="886" customFormat="1" ht="19.5" customHeight="1">
      <c r="A36" s="3330"/>
      <c r="B36" s="3330" t="s">
        <v>563</v>
      </c>
      <c r="C36" s="882" t="s">
        <v>594</v>
      </c>
      <c r="D36" s="883"/>
      <c r="E36" s="881">
        <v>1</v>
      </c>
      <c r="F36" s="884" t="s">
        <v>595</v>
      </c>
      <c r="G36" s="885"/>
      <c r="H36" s="877"/>
      <c r="I36" s="877"/>
    </row>
    <row r="37" spans="1:9" s="886" customFormat="1" ht="19.5" customHeight="1">
      <c r="A37" s="3330"/>
      <c r="B37" s="3330"/>
      <c r="C37" s="882" t="s">
        <v>596</v>
      </c>
      <c r="D37" s="883"/>
      <c r="E37" s="881">
        <v>1.5</v>
      </c>
      <c r="F37" s="884" t="s">
        <v>597</v>
      </c>
      <c r="G37" s="885"/>
      <c r="H37" s="877"/>
      <c r="I37" s="877"/>
    </row>
    <row r="38" spans="1:9" s="886" customFormat="1" ht="19.5" customHeight="1">
      <c r="A38" s="3330"/>
      <c r="B38" s="3330"/>
      <c r="C38" s="882" t="s">
        <v>598</v>
      </c>
      <c r="D38" s="883"/>
      <c r="E38" s="881">
        <v>1</v>
      </c>
      <c r="F38" s="884" t="s">
        <v>599</v>
      </c>
      <c r="G38" s="885"/>
      <c r="H38" s="877"/>
      <c r="I38" s="877"/>
    </row>
    <row r="39" spans="1:9" s="886" customFormat="1" ht="19.5" customHeight="1">
      <c r="A39" s="3330"/>
      <c r="B39" s="333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30" t="s">
        <v>614</v>
      </c>
      <c r="C61" s="817" t="s">
        <v>615</v>
      </c>
      <c r="D61" s="817" t="s">
        <v>616</v>
      </c>
      <c r="E61" s="894">
        <v>0.5</v>
      </c>
      <c r="F61" s="881">
        <v>80</v>
      </c>
    </row>
    <row r="62" spans="1:8" s="877" customFormat="1" ht="24">
      <c r="A62" s="881">
        <v>2</v>
      </c>
      <c r="B62" s="3330"/>
      <c r="C62" s="817" t="s">
        <v>617</v>
      </c>
      <c r="D62" s="817" t="s">
        <v>618</v>
      </c>
      <c r="E62" s="894">
        <v>0.5</v>
      </c>
      <c r="F62" s="881">
        <v>80</v>
      </c>
    </row>
    <row r="63" spans="1:8" s="877" customFormat="1" ht="36">
      <c r="A63" s="881">
        <v>3</v>
      </c>
      <c r="B63" s="3330"/>
      <c r="C63" s="817" t="s">
        <v>619</v>
      </c>
      <c r="D63" s="817" t="s">
        <v>620</v>
      </c>
      <c r="E63" s="894">
        <v>0.5</v>
      </c>
      <c r="F63" s="881">
        <v>80</v>
      </c>
    </row>
    <row r="64" spans="1:8" s="877" customFormat="1" ht="36">
      <c r="A64" s="881">
        <v>4</v>
      </c>
      <c r="B64" s="3330"/>
      <c r="C64" s="817" t="s">
        <v>621</v>
      </c>
      <c r="D64" s="817" t="s">
        <v>622</v>
      </c>
      <c r="E64" s="894">
        <v>0.4</v>
      </c>
      <c r="F64" s="881">
        <v>60</v>
      </c>
    </row>
    <row r="65" spans="1:6" s="877" customFormat="1" ht="36">
      <c r="A65" s="881">
        <v>5</v>
      </c>
      <c r="B65" s="3330"/>
      <c r="C65" s="817" t="s">
        <v>623</v>
      </c>
      <c r="D65" s="817" t="s">
        <v>624</v>
      </c>
      <c r="E65" s="894">
        <v>0.2</v>
      </c>
      <c r="F65" s="881">
        <v>30</v>
      </c>
    </row>
    <row r="66" spans="1:6" s="877" customFormat="1" ht="36">
      <c r="A66" s="881">
        <v>6</v>
      </c>
      <c r="B66" s="3330"/>
      <c r="C66" s="817" t="s">
        <v>625</v>
      </c>
      <c r="D66" s="817" t="s">
        <v>626</v>
      </c>
      <c r="E66" s="894">
        <v>0.3</v>
      </c>
      <c r="F66" s="881">
        <v>50</v>
      </c>
    </row>
    <row r="67" spans="1:6" s="877" customFormat="1" ht="36">
      <c r="A67" s="881">
        <v>7</v>
      </c>
      <c r="B67" s="3330"/>
      <c r="C67" s="817" t="s">
        <v>627</v>
      </c>
      <c r="D67" s="817" t="s">
        <v>628</v>
      </c>
      <c r="E67" s="894">
        <v>0.2</v>
      </c>
      <c r="F67" s="881">
        <v>30</v>
      </c>
    </row>
    <row r="68" spans="1:6" s="877" customFormat="1" ht="36">
      <c r="A68" s="881">
        <v>8</v>
      </c>
      <c r="B68" s="3330"/>
      <c r="C68" s="817" t="s">
        <v>629</v>
      </c>
      <c r="D68" s="817" t="s">
        <v>630</v>
      </c>
      <c r="E68" s="894">
        <v>0.2</v>
      </c>
      <c r="F68" s="881">
        <v>30</v>
      </c>
    </row>
    <row r="69" spans="1:6" s="877" customFormat="1" ht="36">
      <c r="A69" s="881">
        <v>9</v>
      </c>
      <c r="B69" s="3330"/>
      <c r="C69" s="817" t="s">
        <v>631</v>
      </c>
      <c r="D69" s="817" t="s">
        <v>632</v>
      </c>
      <c r="E69" s="894">
        <v>0.2</v>
      </c>
      <c r="F69" s="881">
        <v>30</v>
      </c>
    </row>
    <row r="70" spans="1:6" s="877" customFormat="1" ht="48">
      <c r="A70" s="881">
        <v>10</v>
      </c>
      <c r="B70" s="3330"/>
      <c r="C70" s="817" t="s">
        <v>633</v>
      </c>
      <c r="D70" s="817" t="s">
        <v>634</v>
      </c>
      <c r="E70" s="894">
        <v>0.2</v>
      </c>
      <c r="F70" s="881">
        <v>30</v>
      </c>
    </row>
    <row r="71" spans="1:6" s="877" customFormat="1" ht="48">
      <c r="A71" s="881">
        <v>11</v>
      </c>
      <c r="B71" s="3330"/>
      <c r="C71" s="817" t="s">
        <v>635</v>
      </c>
      <c r="D71" s="817" t="s">
        <v>636</v>
      </c>
      <c r="E71" s="894">
        <v>0.2</v>
      </c>
      <c r="F71" s="881">
        <v>30</v>
      </c>
    </row>
    <row r="72" spans="1:6" s="877" customFormat="1" ht="36">
      <c r="A72" s="881">
        <v>12</v>
      </c>
      <c r="B72" s="3330"/>
      <c r="C72" s="817" t="s">
        <v>637</v>
      </c>
      <c r="D72" s="817" t="s">
        <v>638</v>
      </c>
      <c r="E72" s="894">
        <v>0.5</v>
      </c>
      <c r="F72" s="881">
        <v>80</v>
      </c>
    </row>
    <row r="73" spans="1:6" s="877" customFormat="1" ht="24">
      <c r="A73" s="881">
        <v>13</v>
      </c>
      <c r="B73" s="3330"/>
      <c r="C73" s="817" t="s">
        <v>639</v>
      </c>
      <c r="D73" s="817" t="s">
        <v>640</v>
      </c>
      <c r="E73" s="894">
        <v>0.4</v>
      </c>
      <c r="F73" s="881">
        <v>60</v>
      </c>
    </row>
    <row r="74" spans="1:6" s="877" customFormat="1" ht="24">
      <c r="A74" s="881">
        <v>14</v>
      </c>
      <c r="B74" s="3330"/>
      <c r="C74" s="817" t="s">
        <v>641</v>
      </c>
      <c r="D74" s="817" t="s">
        <v>642</v>
      </c>
      <c r="E74" s="894">
        <v>0.2</v>
      </c>
      <c r="F74" s="881">
        <v>30</v>
      </c>
    </row>
    <row r="75" spans="1:6" s="877" customFormat="1" ht="24">
      <c r="A75" s="881">
        <v>15</v>
      </c>
      <c r="B75" s="3330"/>
      <c r="C75" s="817" t="s">
        <v>643</v>
      </c>
      <c r="D75" s="817" t="s">
        <v>644</v>
      </c>
      <c r="E75" s="894">
        <v>0.2</v>
      </c>
      <c r="F75" s="881">
        <v>30</v>
      </c>
    </row>
    <row r="76" spans="1:6" s="877" customFormat="1" ht="24">
      <c r="A76" s="881">
        <v>16</v>
      </c>
      <c r="B76" s="3330" t="s">
        <v>645</v>
      </c>
      <c r="C76" s="817" t="s">
        <v>646</v>
      </c>
      <c r="D76" s="817" t="s">
        <v>647</v>
      </c>
      <c r="E76" s="894">
        <v>0.5</v>
      </c>
      <c r="F76" s="881">
        <v>80</v>
      </c>
    </row>
    <row r="77" spans="1:6" s="877" customFormat="1" ht="24">
      <c r="A77" s="881">
        <v>17</v>
      </c>
      <c r="B77" s="3330"/>
      <c r="C77" s="817" t="s">
        <v>648</v>
      </c>
      <c r="D77" s="817" t="s">
        <v>649</v>
      </c>
      <c r="E77" s="894">
        <v>0.5</v>
      </c>
      <c r="F77" s="881">
        <v>80</v>
      </c>
    </row>
    <row r="78" spans="1:6" s="877" customFormat="1" ht="24">
      <c r="A78" s="881">
        <v>18</v>
      </c>
      <c r="B78" s="3330"/>
      <c r="C78" s="817" t="s">
        <v>650</v>
      </c>
      <c r="D78" s="817" t="s">
        <v>651</v>
      </c>
      <c r="E78" s="894">
        <v>0.2</v>
      </c>
      <c r="F78" s="881">
        <v>30</v>
      </c>
    </row>
    <row r="79" spans="1:6" s="877" customFormat="1" ht="24">
      <c r="A79" s="881">
        <v>19</v>
      </c>
      <c r="B79" s="3330"/>
      <c r="C79" s="817" t="s">
        <v>652</v>
      </c>
      <c r="D79" s="817" t="s">
        <v>653</v>
      </c>
      <c r="E79" s="894">
        <v>0.5</v>
      </c>
      <c r="F79" s="881">
        <v>80</v>
      </c>
    </row>
    <row r="80" spans="1:6" s="877" customFormat="1" ht="36">
      <c r="A80" s="881">
        <v>20</v>
      </c>
      <c r="B80" s="3330"/>
      <c r="C80" s="817" t="s">
        <v>654</v>
      </c>
      <c r="D80" s="817" t="s">
        <v>655</v>
      </c>
      <c r="E80" s="894">
        <v>0.2</v>
      </c>
      <c r="F80" s="881">
        <v>30</v>
      </c>
    </row>
    <row r="81" spans="1:6" s="877" customFormat="1" ht="36">
      <c r="A81" s="881">
        <v>21</v>
      </c>
      <c r="B81" s="3330"/>
      <c r="C81" s="817" t="s">
        <v>656</v>
      </c>
      <c r="D81" s="817" t="s">
        <v>657</v>
      </c>
      <c r="E81" s="894">
        <v>0.2</v>
      </c>
      <c r="F81" s="881">
        <v>30</v>
      </c>
    </row>
    <row r="82" spans="1:6" s="877" customFormat="1" ht="48">
      <c r="A82" s="881">
        <v>22</v>
      </c>
      <c r="B82" s="3330"/>
      <c r="C82" s="817" t="s">
        <v>658</v>
      </c>
      <c r="D82" s="817" t="s">
        <v>659</v>
      </c>
      <c r="E82" s="894">
        <v>0.2</v>
      </c>
      <c r="F82" s="881">
        <v>30</v>
      </c>
    </row>
    <row r="83" spans="1:6" s="877" customFormat="1" ht="48">
      <c r="A83" s="881">
        <v>23</v>
      </c>
      <c r="B83" s="3330"/>
      <c r="C83" s="817" t="s">
        <v>660</v>
      </c>
      <c r="D83" s="817" t="s">
        <v>661</v>
      </c>
      <c r="E83" s="894">
        <v>0.2</v>
      </c>
      <c r="F83" s="881">
        <v>30</v>
      </c>
    </row>
    <row r="84" spans="1:6" s="877" customFormat="1" ht="36">
      <c r="A84" s="881">
        <v>24</v>
      </c>
      <c r="B84" s="3330"/>
      <c r="C84" s="817" t="s">
        <v>662</v>
      </c>
      <c r="D84" s="817" t="s">
        <v>663</v>
      </c>
      <c r="E84" s="894">
        <v>0.2</v>
      </c>
      <c r="F84" s="881">
        <v>30</v>
      </c>
    </row>
    <row r="85" spans="1:6" s="877" customFormat="1" ht="36">
      <c r="A85" s="881">
        <v>25</v>
      </c>
      <c r="B85" s="3330"/>
      <c r="C85" s="817" t="s">
        <v>664</v>
      </c>
      <c r="D85" s="817" t="s">
        <v>665</v>
      </c>
      <c r="E85" s="894">
        <v>0.5</v>
      </c>
      <c r="F85" s="881">
        <v>80</v>
      </c>
    </row>
    <row r="86" spans="1:6" s="877" customFormat="1" ht="36">
      <c r="A86" s="881">
        <v>26</v>
      </c>
      <c r="B86" s="3330"/>
      <c r="C86" s="817" t="s">
        <v>666</v>
      </c>
      <c r="D86" s="817" t="s">
        <v>667</v>
      </c>
      <c r="E86" s="894">
        <v>0.2</v>
      </c>
      <c r="F86" s="881">
        <v>30</v>
      </c>
    </row>
    <row r="87" spans="1:6" s="877" customFormat="1" ht="36">
      <c r="A87" s="881">
        <v>27</v>
      </c>
      <c r="B87" s="3330"/>
      <c r="C87" s="817" t="s">
        <v>668</v>
      </c>
      <c r="D87" s="817" t="s">
        <v>669</v>
      </c>
      <c r="E87" s="894">
        <v>0.2</v>
      </c>
      <c r="F87" s="881">
        <v>30</v>
      </c>
    </row>
    <row r="88" spans="1:6" s="877" customFormat="1" ht="36">
      <c r="A88" s="881">
        <v>28</v>
      </c>
      <c r="B88" s="3330"/>
      <c r="C88" s="817" t="s">
        <v>670</v>
      </c>
      <c r="D88" s="817" t="s">
        <v>671</v>
      </c>
      <c r="E88" s="894">
        <v>0.2</v>
      </c>
      <c r="F88" s="881">
        <v>30</v>
      </c>
    </row>
    <row r="89" spans="1:6" s="877" customFormat="1" ht="24">
      <c r="A89" s="881">
        <v>29</v>
      </c>
      <c r="B89" s="3330"/>
      <c r="C89" s="817" t="s">
        <v>672</v>
      </c>
      <c r="D89" s="817" t="s">
        <v>673</v>
      </c>
      <c r="E89" s="894">
        <v>0.2</v>
      </c>
      <c r="F89" s="881">
        <v>30</v>
      </c>
    </row>
    <row r="90" spans="1:6" s="877" customFormat="1" ht="24">
      <c r="A90" s="881">
        <v>30</v>
      </c>
      <c r="B90" s="3330"/>
      <c r="C90" s="817" t="s">
        <v>674</v>
      </c>
      <c r="D90" s="817" t="s">
        <v>675</v>
      </c>
      <c r="E90" s="894">
        <v>0.2</v>
      </c>
      <c r="F90" s="881">
        <v>30</v>
      </c>
    </row>
    <row r="91" spans="1:6" s="877" customFormat="1" ht="36">
      <c r="A91" s="881">
        <v>31</v>
      </c>
      <c r="B91" s="3330"/>
      <c r="C91" s="817" t="s">
        <v>676</v>
      </c>
      <c r="D91" s="817" t="s">
        <v>677</v>
      </c>
      <c r="E91" s="894">
        <v>0.2</v>
      </c>
      <c r="F91" s="881">
        <v>30</v>
      </c>
    </row>
    <row r="92" spans="1:6" s="877" customFormat="1" ht="24">
      <c r="A92" s="881">
        <v>32</v>
      </c>
      <c r="B92" s="3330" t="s">
        <v>678</v>
      </c>
      <c r="C92" s="881" t="s">
        <v>679</v>
      </c>
      <c r="D92" s="817" t="s">
        <v>680</v>
      </c>
      <c r="E92" s="894">
        <v>0.2</v>
      </c>
      <c r="F92" s="881">
        <v>30</v>
      </c>
    </row>
    <row r="93" spans="1:6" s="877" customFormat="1" ht="36">
      <c r="A93" s="881">
        <v>33</v>
      </c>
      <c r="B93" s="3330"/>
      <c r="C93" s="881" t="s">
        <v>681</v>
      </c>
      <c r="D93" s="817" t="s">
        <v>682</v>
      </c>
      <c r="E93" s="894">
        <v>0.2</v>
      </c>
      <c r="F93" s="881">
        <v>30</v>
      </c>
    </row>
    <row r="94" spans="1:6" s="877" customFormat="1" ht="48">
      <c r="A94" s="881">
        <v>34</v>
      </c>
      <c r="B94" s="3330"/>
      <c r="C94" s="881" t="s">
        <v>683</v>
      </c>
      <c r="D94" s="817" t="s">
        <v>684</v>
      </c>
      <c r="E94" s="894">
        <v>0.2</v>
      </c>
      <c r="F94" s="881">
        <v>30</v>
      </c>
    </row>
    <row r="95" spans="1:6" s="877" customFormat="1" ht="36">
      <c r="A95" s="881">
        <v>35</v>
      </c>
      <c r="B95" s="3330"/>
      <c r="C95" s="881" t="s">
        <v>685</v>
      </c>
      <c r="D95" s="817" t="s">
        <v>686</v>
      </c>
      <c r="E95" s="894">
        <v>0.2</v>
      </c>
      <c r="F95" s="881">
        <v>30</v>
      </c>
    </row>
    <row r="96" spans="1:6" s="877" customFormat="1" ht="48">
      <c r="A96" s="881">
        <v>36</v>
      </c>
      <c r="B96" s="3330"/>
      <c r="C96" s="817" t="s">
        <v>687</v>
      </c>
      <c r="D96" s="817" t="s">
        <v>688</v>
      </c>
      <c r="E96" s="894">
        <v>0.2</v>
      </c>
      <c r="F96" s="881">
        <v>30</v>
      </c>
    </row>
    <row r="97" spans="1:6" s="877" customFormat="1" ht="36">
      <c r="A97" s="881">
        <v>37</v>
      </c>
      <c r="B97" s="3330"/>
      <c r="C97" s="881" t="s">
        <v>689</v>
      </c>
      <c r="D97" s="817" t="s">
        <v>690</v>
      </c>
      <c r="E97" s="894">
        <v>0.2</v>
      </c>
      <c r="F97" s="881">
        <v>30</v>
      </c>
    </row>
    <row r="98" spans="1:6" s="877" customFormat="1" ht="36">
      <c r="A98" s="881">
        <v>38</v>
      </c>
      <c r="B98" s="3330"/>
      <c r="C98" s="881" t="s">
        <v>691</v>
      </c>
      <c r="D98" s="817" t="s">
        <v>692</v>
      </c>
      <c r="E98" s="894">
        <v>0.2</v>
      </c>
      <c r="F98" s="881">
        <v>30</v>
      </c>
    </row>
    <row r="99" spans="1:6" s="877" customFormat="1" ht="36">
      <c r="A99" s="881">
        <v>39</v>
      </c>
      <c r="B99" s="3330" t="s">
        <v>693</v>
      </c>
      <c r="C99" s="881" t="s">
        <v>694</v>
      </c>
      <c r="D99" s="817" t="s">
        <v>695</v>
      </c>
      <c r="E99" s="894">
        <v>0.3</v>
      </c>
      <c r="F99" s="881">
        <v>50</v>
      </c>
    </row>
    <row r="100" spans="1:6" s="877" customFormat="1" ht="24">
      <c r="A100" s="881">
        <v>40</v>
      </c>
      <c r="B100" s="3330"/>
      <c r="C100" s="881" t="s">
        <v>696</v>
      </c>
      <c r="D100" s="817" t="s">
        <v>697</v>
      </c>
      <c r="E100" s="894">
        <v>0.2</v>
      </c>
      <c r="F100" s="881">
        <v>30</v>
      </c>
    </row>
    <row r="101" spans="1:6" s="877" customFormat="1" ht="36">
      <c r="A101" s="881">
        <v>41</v>
      </c>
      <c r="B101" s="333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0" t="s">
        <v>708</v>
      </c>
      <c r="C105" s="881" t="s">
        <v>709</v>
      </c>
      <c r="D105" s="817" t="s">
        <v>710</v>
      </c>
      <c r="E105" s="894">
        <v>0.2</v>
      </c>
      <c r="F105" s="881">
        <v>30</v>
      </c>
    </row>
    <row r="106" spans="1:6" s="877" customFormat="1" ht="36">
      <c r="A106" s="881">
        <v>46</v>
      </c>
      <c r="B106" s="3330"/>
      <c r="C106" s="881" t="s">
        <v>711</v>
      </c>
      <c r="D106" s="817" t="s">
        <v>712</v>
      </c>
      <c r="E106" s="894">
        <v>0.2</v>
      </c>
      <c r="F106" s="881">
        <v>30</v>
      </c>
    </row>
    <row r="107" spans="1:6" s="877" customFormat="1" ht="36">
      <c r="A107" s="881">
        <v>47</v>
      </c>
      <c r="B107" s="3330" t="s">
        <v>713</v>
      </c>
      <c r="C107" s="881" t="s">
        <v>714</v>
      </c>
      <c r="D107" s="817" t="s">
        <v>715</v>
      </c>
      <c r="E107" s="894">
        <v>0.3</v>
      </c>
      <c r="F107" s="881">
        <v>50</v>
      </c>
    </row>
    <row r="108" spans="1:6" s="877" customFormat="1" ht="36">
      <c r="A108" s="881">
        <v>48</v>
      </c>
      <c r="B108" s="333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0" t="s">
        <v>724</v>
      </c>
      <c r="C111" s="881" t="s">
        <v>725</v>
      </c>
      <c r="D111" s="817" t="s">
        <v>726</v>
      </c>
      <c r="E111" s="894">
        <v>0.2</v>
      </c>
      <c r="F111" s="881">
        <v>30</v>
      </c>
    </row>
    <row r="112" spans="1:6" s="877" customFormat="1" ht="24">
      <c r="A112" s="881">
        <v>52</v>
      </c>
      <c r="B112" s="3330"/>
      <c r="C112" s="881" t="s">
        <v>727</v>
      </c>
      <c r="D112" s="817" t="s">
        <v>728</v>
      </c>
      <c r="E112" s="894">
        <v>0.2</v>
      </c>
      <c r="F112" s="881">
        <v>30</v>
      </c>
    </row>
    <row r="113" spans="1:6" s="877" customFormat="1" ht="24">
      <c r="A113" s="881">
        <v>53</v>
      </c>
      <c r="B113" s="333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0" t="s">
        <v>737</v>
      </c>
      <c r="C116" s="881" t="s">
        <v>738</v>
      </c>
      <c r="D116" s="817" t="s">
        <v>739</v>
      </c>
      <c r="E116" s="894">
        <v>0.2</v>
      </c>
      <c r="F116" s="881">
        <v>30</v>
      </c>
    </row>
    <row r="117" spans="1:6" ht="36">
      <c r="A117" s="881">
        <v>57</v>
      </c>
      <c r="B117" s="333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3" t="s">
        <v>2992</v>
      </c>
    </row>
    <row r="2" spans="1:5" ht="15.75">
      <c r="A2" s="2894" t="s">
        <v>2984</v>
      </c>
      <c r="B2" s="2895" t="e">
        <f ca="1">SUMIF(B6:B13,"&lt;&gt;#ref!",B6:B13)</f>
        <v>#DIV/0!</v>
      </c>
      <c r="C2" s="2894" t="s">
        <v>2985</v>
      </c>
      <c r="D2" s="2894" t="s">
        <v>2986</v>
      </c>
      <c r="E2" s="2895">
        <f ca="1">SUMIF(E6:E13,"&lt;&gt;#ref!",E6:E13)</f>
        <v>0</v>
      </c>
    </row>
    <row r="3" spans="1:5" ht="15.75">
      <c r="A3" s="2894" t="s">
        <v>2987</v>
      </c>
      <c r="B3" s="2895" t="e">
        <f ca="1">ROUND(B2*10000/E2,0)</f>
        <v>#DIV/0!</v>
      </c>
      <c r="C3" s="2894" t="s">
        <v>2993</v>
      </c>
      <c r="D3" s="2896"/>
      <c r="E3" s="2896"/>
    </row>
    <row r="4" spans="1:5" ht="15.75">
      <c r="A4" s="2897"/>
      <c r="B4" s="2896"/>
      <c r="C4" s="2896"/>
      <c r="D4" s="2896"/>
      <c r="E4" s="2896"/>
    </row>
    <row r="5" spans="1:5" ht="28.5">
      <c r="A5" s="2898" t="s">
        <v>2988</v>
      </c>
      <c r="B5" s="2894" t="s">
        <v>2989</v>
      </c>
      <c r="C5" s="2895"/>
      <c r="D5" s="2896"/>
      <c r="E5" s="2894" t="s">
        <v>2990</v>
      </c>
    </row>
    <row r="6" spans="1:5" ht="15.75">
      <c r="A6" s="2899" t="s">
        <v>2991</v>
      </c>
      <c r="B6" s="2895" t="e">
        <f ca="1">SUMIF(INDIRECT("'"&amp;A6&amp;"'"&amp;"!A:A"),"总价",INDIRECT("'"&amp;A6&amp;"'"&amp;"!B:B"))</f>
        <v>#DIV/0!</v>
      </c>
      <c r="C6" s="2894" t="s">
        <v>2985</v>
      </c>
      <c r="D6" s="2896"/>
      <c r="E6" s="2567">
        <f ca="1">SUMIF(INDIRECT("'"&amp;A6&amp;"'"&amp;"!C:C"),"建筑面积",INDIRECT("'"&amp;A6&amp;"'"&amp;"!D:D"))</f>
        <v>0</v>
      </c>
    </row>
    <row r="7" spans="1:5" ht="15.75">
      <c r="A7" s="2899"/>
      <c r="B7" s="2895" t="e">
        <f ca="1">SUMIF(INDIRECT("'"&amp;A7&amp;"'"&amp;"!A:A"),"总价",INDIRECT("'"&amp;A7&amp;"'"&amp;"!B:B"))</f>
        <v>#REF!</v>
      </c>
      <c r="C7" s="2894" t="s">
        <v>2985</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2985</v>
      </c>
      <c r="D8" s="2896"/>
      <c r="E8" s="2567" t="e">
        <f t="shared" ca="1" si="0"/>
        <v>#REF!</v>
      </c>
    </row>
    <row r="9" spans="1:5" ht="15.75">
      <c r="A9" s="2899"/>
      <c r="B9" s="2895" t="e">
        <f t="shared" ca="1" si="1"/>
        <v>#REF!</v>
      </c>
      <c r="C9" s="2894" t="s">
        <v>2985</v>
      </c>
      <c r="D9" s="2896"/>
      <c r="E9" s="2567" t="e">
        <f t="shared" ca="1" si="0"/>
        <v>#REF!</v>
      </c>
    </row>
    <row r="10" spans="1:5" ht="15.75">
      <c r="A10" s="2899"/>
      <c r="B10" s="2895" t="e">
        <f t="shared" ca="1" si="1"/>
        <v>#REF!</v>
      </c>
      <c r="C10" s="2894" t="s">
        <v>2985</v>
      </c>
      <c r="D10" s="2896"/>
      <c r="E10" s="2567" t="e">
        <f t="shared" ca="1" si="0"/>
        <v>#REF!</v>
      </c>
    </row>
    <row r="11" spans="1:5" ht="15.75">
      <c r="A11" s="2899"/>
      <c r="B11" s="2895" t="e">
        <f t="shared" ca="1" si="1"/>
        <v>#REF!</v>
      </c>
      <c r="C11" s="2894" t="s">
        <v>2985</v>
      </c>
      <c r="D11" s="2896"/>
      <c r="E11" s="2567" t="e">
        <f t="shared" ca="1" si="0"/>
        <v>#REF!</v>
      </c>
    </row>
    <row r="12" spans="1:5" ht="15.75">
      <c r="A12" s="2899"/>
      <c r="B12" s="2895" t="e">
        <f t="shared" ca="1" si="1"/>
        <v>#REF!</v>
      </c>
      <c r="C12" s="2894" t="s">
        <v>2985</v>
      </c>
      <c r="D12" s="2896"/>
      <c r="E12" s="2567" t="e">
        <f t="shared" ca="1" si="0"/>
        <v>#REF!</v>
      </c>
    </row>
    <row r="13" spans="1:5" ht="15.75">
      <c r="A13" s="2899"/>
      <c r="B13" s="2895" t="e">
        <f t="shared" ca="1" si="1"/>
        <v>#REF!</v>
      </c>
      <c r="C13" s="2894" t="s">
        <v>2985</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6" t="s">
        <v>1146</v>
      </c>
      <c r="C1" s="3336"/>
      <c r="D1" s="3336"/>
      <c r="E1" s="3336"/>
      <c r="F1" s="3336"/>
      <c r="G1" s="3335" t="s">
        <v>1147</v>
      </c>
      <c r="H1" s="3335"/>
      <c r="I1" s="3335"/>
      <c r="J1" s="3335"/>
      <c r="K1" s="3335"/>
      <c r="L1" s="3335"/>
      <c r="N1" s="3335" t="s">
        <v>1148</v>
      </c>
      <c r="O1" s="3335"/>
      <c r="P1" s="3335"/>
      <c r="Q1" s="3335"/>
      <c r="R1" s="1445"/>
      <c r="S1" s="3335" t="s">
        <v>1149</v>
      </c>
      <c r="T1" s="3335"/>
      <c r="U1" s="3335"/>
      <c r="V1" s="3335"/>
      <c r="X1" s="3334" t="s">
        <v>1150</v>
      </c>
      <c r="Y1" s="3335"/>
      <c r="Z1" s="3335"/>
      <c r="AA1" s="3335"/>
      <c r="AB1" s="3335"/>
      <c r="AD1" s="3334" t="s">
        <v>1151</v>
      </c>
      <c r="AE1" s="3335"/>
      <c r="AF1" s="3335"/>
      <c r="AG1" s="3335"/>
      <c r="AH1" s="3335"/>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0" customFormat="1" ht="14.25">
      <c r="A3" s="2919" t="s">
        <v>3027</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3041</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4">
        <v>2019</v>
      </c>
      <c r="H5" s="1728">
        <v>2</v>
      </c>
      <c r="I5" s="2906">
        <v>0</v>
      </c>
      <c r="J5" s="2906">
        <v>0</v>
      </c>
      <c r="K5" s="2906">
        <v>0</v>
      </c>
      <c r="L5" s="2906">
        <v>0</v>
      </c>
      <c r="N5" s="1466">
        <f>I5/100</f>
        <v>0</v>
      </c>
      <c r="O5" s="1466">
        <f t="shared" ref="O5" si="7">J5/100</f>
        <v>0</v>
      </c>
      <c r="P5" s="1466">
        <f t="shared" ref="P5" si="8">K5/100</f>
        <v>0</v>
      </c>
      <c r="Q5" s="1466">
        <f t="shared" ref="Q5" si="9">L5/100</f>
        <v>0</v>
      </c>
      <c r="R5" s="1730"/>
      <c r="S5" s="1731"/>
      <c r="T5" s="1730"/>
      <c r="U5" s="1730"/>
      <c r="V5" s="1730"/>
      <c r="W5" s="2909" t="s">
        <v>3028</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3042</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23">
        <v>2019</v>
      </c>
      <c r="H6" s="1463">
        <v>1</v>
      </c>
      <c r="I6" s="2925">
        <v>0.6</v>
      </c>
      <c r="J6" s="2925">
        <v>0.37</v>
      </c>
      <c r="K6" s="2925">
        <v>0.63</v>
      </c>
      <c r="L6" s="292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5" customFormat="1">
      <c r="A7" s="1460" t="s">
        <v>3040</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32">
        <v>2018</v>
      </c>
      <c r="H7" s="1463">
        <v>4</v>
      </c>
      <c r="I7" s="2925">
        <v>0.96</v>
      </c>
      <c r="J7" s="2925">
        <v>1.03</v>
      </c>
      <c r="K7" s="2925">
        <v>0.92</v>
      </c>
      <c r="L7" s="292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5" customFormat="1" ht="14.45" customHeight="1">
      <c r="A8" s="1460" t="s">
        <v>3034</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32"/>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5" customFormat="1" ht="14.45" customHeight="1">
      <c r="A9" s="1460" t="s">
        <v>3033</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32"/>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5" customFormat="1" ht="15" customHeight="1" thickBot="1">
      <c r="A10" s="1460" t="s">
        <v>3026</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41"/>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60" t="s">
        <v>3023</v>
      </c>
      <c r="B11" s="1468">
        <v>439</v>
      </c>
      <c r="C11" s="1468">
        <v>327</v>
      </c>
      <c r="D11" s="1468">
        <f>C11</f>
        <v>327</v>
      </c>
      <c r="E11" s="1468">
        <v>627</v>
      </c>
      <c r="F11" s="1469">
        <v>283</v>
      </c>
      <c r="G11" s="3337">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3024</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32"/>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32"/>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2"/>
      <c r="AD13" s="1787">
        <f>ROUND(AVERAGE(I13:I$26)/100,4)</f>
        <v>2.46E-2</v>
      </c>
      <c r="AE13" s="1787">
        <f>ROUND(AVERAGE(J13:J$26)/100,4)</f>
        <v>1.6E-2</v>
      </c>
      <c r="AF13" s="1787">
        <f t="shared" si="1"/>
        <v>1.6E-2</v>
      </c>
      <c r="AG13" s="1787">
        <f>ROUND(AVERAGE(K13:K$26)/100,4)</f>
        <v>2.75E-2</v>
      </c>
      <c r="AH13" s="1787">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41"/>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60" t="s">
        <v>154</v>
      </c>
      <c r="B15" s="1468">
        <v>392</v>
      </c>
      <c r="C15" s="1468">
        <v>302</v>
      </c>
      <c r="D15" s="1468">
        <f>C15</f>
        <v>302</v>
      </c>
      <c r="E15" s="1468">
        <v>553</v>
      </c>
      <c r="F15" s="1469">
        <v>266</v>
      </c>
      <c r="G15" s="3337">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32"/>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32"/>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33"/>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31">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32"/>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32"/>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33"/>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31">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32"/>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32"/>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33"/>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60" t="s">
        <v>1159</v>
      </c>
      <c r="B27" s="1468">
        <v>299</v>
      </c>
      <c r="C27" s="1468">
        <v>252</v>
      </c>
      <c r="D27" s="1468">
        <f t="shared" si="87"/>
        <v>252</v>
      </c>
      <c r="E27" s="1468">
        <v>409</v>
      </c>
      <c r="F27" s="1469">
        <v>227</v>
      </c>
      <c r="G27" s="3338">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39"/>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39"/>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40"/>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31">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32"/>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32"/>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33"/>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31">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32">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32">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33">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31">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32">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32">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33">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31">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32">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32">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33">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31">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32">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32">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33">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31">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32">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32">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33">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31">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32">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32">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33">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31">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32">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32">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33">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31">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32">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32">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33">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31">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32">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32">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33">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31">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32">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32">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33">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43" t="s">
        <v>2995</v>
      </c>
      <c r="D1" s="3344"/>
      <c r="E1" s="3344"/>
      <c r="F1" s="3344"/>
      <c r="G1" s="3344"/>
      <c r="H1" s="3344"/>
      <c r="I1" s="3344"/>
      <c r="J1" s="3344"/>
      <c r="K1" s="3344"/>
      <c r="L1" s="3344"/>
      <c r="M1" s="3344"/>
      <c r="N1" s="3344"/>
      <c r="O1" s="3344"/>
      <c r="P1" s="3344"/>
      <c r="Q1" s="3344"/>
      <c r="R1" s="3344"/>
      <c r="S1" s="3345"/>
      <c r="T1" s="1203" t="s">
        <v>2996</v>
      </c>
    </row>
    <row r="2" spans="1:45" s="707" customFormat="1">
      <c r="A2" s="1204"/>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2998</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2999</v>
      </c>
      <c r="C7" s="1120"/>
      <c r="D7" s="1114"/>
      <c r="E7" s="1114"/>
      <c r="F7" s="1714"/>
      <c r="G7" s="1714"/>
      <c r="H7" s="1714"/>
      <c r="I7" s="1714"/>
      <c r="J7" s="1714"/>
      <c r="K7" s="1714"/>
      <c r="L7" s="1714"/>
      <c r="M7" s="1715"/>
      <c r="N7" s="1716"/>
      <c r="O7" s="1717"/>
      <c r="P7" s="1718"/>
      <c r="Q7" s="1719"/>
      <c r="R7" s="1720"/>
      <c r="S7" s="1721"/>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3000</v>
      </c>
      <c r="C9" s="1120"/>
      <c r="D9" s="1114"/>
      <c r="E9" s="1114"/>
      <c r="F9" s="1714"/>
      <c r="G9" s="1714"/>
      <c r="H9" s="1714"/>
      <c r="I9" s="1714"/>
      <c r="J9" s="1714"/>
      <c r="K9" s="1714"/>
      <c r="L9" s="1722"/>
      <c r="M9" s="1715"/>
      <c r="N9" s="1716"/>
      <c r="O9" s="1717"/>
      <c r="P9" s="1718"/>
      <c r="Q9" s="1719"/>
      <c r="R9" s="1720"/>
      <c r="S9" s="1721"/>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0" t="s">
        <v>3004</v>
      </c>
      <c r="B17" s="2901" t="s">
        <v>3005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2" t="s">
        <v>3006</v>
      </c>
      <c r="E19" s="1790"/>
      <c r="F19" s="1790"/>
      <c r="G19" s="1790"/>
      <c r="H19" s="1279"/>
      <c r="I19" s="168"/>
      <c r="J19" s="168"/>
      <c r="K19" s="168"/>
      <c r="L19" s="168"/>
      <c r="M19" s="168"/>
      <c r="N19" s="168"/>
      <c r="O19" s="168"/>
      <c r="P19" s="168"/>
      <c r="Q19" s="168"/>
      <c r="R19" s="787"/>
      <c r="S19" s="138"/>
    </row>
    <row r="20" spans="1:45" ht="16.5" thickBot="1">
      <c r="A20" s="715" t="s">
        <v>3007</v>
      </c>
      <c r="B20" s="338" t="e">
        <f ca="1">IF(D20="——",S22,S22-F20)</f>
        <v>#REF!</v>
      </c>
      <c r="C20" s="168"/>
      <c r="D20" s="2903" t="s">
        <v>3008</v>
      </c>
      <c r="E20" s="1791"/>
      <c r="F20" s="1203" t="e">
        <f ca="1">SUMIF(INDIRECT("'"&amp;H20&amp;"'"&amp;"!A:A"),"承租人权益价值",INDIRECT("'"&amp;H20&amp;"'"&amp;"!c:c"))</f>
        <v>#REF!</v>
      </c>
      <c r="G20" s="1203" t="s">
        <v>3009</v>
      </c>
      <c r="H20" s="2904"/>
      <c r="I20" s="168"/>
      <c r="J20" s="168"/>
      <c r="K20" s="168"/>
      <c r="L20" s="168"/>
      <c r="M20" s="168"/>
      <c r="N20" s="168"/>
      <c r="O20" s="168"/>
      <c r="P20" s="168"/>
      <c r="Q20" s="168"/>
      <c r="R20" s="787"/>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7"/>
      <c r="S21" s="138"/>
    </row>
    <row r="22" spans="1:45">
      <c r="A22" s="361" t="s">
        <v>3011</v>
      </c>
      <c r="B22" s="24">
        <f>SUM(B24:B10000)</f>
        <v>100</v>
      </c>
      <c r="C22" s="3200" t="s">
        <v>33</v>
      </c>
      <c r="D22" s="3201"/>
      <c r="E22" s="3201"/>
      <c r="F22" s="3201"/>
      <c r="G22" s="3201"/>
      <c r="H22" s="3201"/>
      <c r="I22" s="3201"/>
      <c r="J22" s="3201"/>
      <c r="K22" s="3201"/>
      <c r="L22" s="3201"/>
      <c r="M22" s="3201"/>
      <c r="N22" s="3201"/>
      <c r="O22" s="3201"/>
      <c r="P22" s="3201"/>
      <c r="Q22" s="3342"/>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41763</v>
      </c>
      <c r="C2" s="2" t="s">
        <v>133</v>
      </c>
      <c r="D2" s="243"/>
      <c r="E2" s="243"/>
      <c r="F2" s="243"/>
      <c r="G2" s="243"/>
    </row>
    <row r="3" spans="1:7" s="244" customFormat="1" ht="18" customHeight="1" thickBot="1">
      <c r="A3" s="247" t="s">
        <v>85</v>
      </c>
      <c r="B3" s="248">
        <f ca="1">ROUND(B2*10000/'数据-汇总表'!E3,0)</f>
        <v>1628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1480</v>
      </c>
      <c r="D9" s="1031">
        <f>'数据-汇总表'!E5</f>
        <v>185035</v>
      </c>
      <c r="E9" s="269">
        <f>'数据-取费表'!B27</f>
        <v>80</v>
      </c>
      <c r="F9" s="265"/>
      <c r="G9" s="270"/>
    </row>
    <row r="10" spans="1:7" s="258" customFormat="1" ht="13.5" customHeight="1">
      <c r="A10" s="949" t="s">
        <v>801</v>
      </c>
      <c r="B10" s="268" t="s">
        <v>94</v>
      </c>
      <c r="C10" s="269">
        <f>ROUND(D10*E10/10000,0)</f>
        <v>1145</v>
      </c>
      <c r="D10" s="1031">
        <f>'数据-汇总表'!E6</f>
        <v>71560.189999999973</v>
      </c>
      <c r="E10" s="269">
        <f>'数据-取费表'!B28</f>
        <v>160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5132</v>
      </c>
      <c r="D19" s="1035">
        <f>'数据-汇总表'!E3</f>
        <v>256595.18999999997</v>
      </c>
      <c r="E19" s="255">
        <f>'数据-取费表'!B31</f>
        <v>200</v>
      </c>
      <c r="F19" s="275"/>
      <c r="G19" s="1" t="s">
        <v>1071</v>
      </c>
    </row>
    <row r="20" spans="1:7" s="258" customFormat="1" ht="13.5" customHeight="1">
      <c r="A20" s="947" t="s">
        <v>1054</v>
      </c>
      <c r="B20" s="254" t="s">
        <v>104</v>
      </c>
      <c r="C20" s="276">
        <f>ROUND((C5+C19)*F20,0)</f>
        <v>515</v>
      </c>
      <c r="D20" s="276"/>
      <c r="E20" s="276"/>
      <c r="F20" s="277">
        <f>'数据-取费表'!B37</f>
        <v>0.02</v>
      </c>
      <c r="G20" s="1288"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365</v>
      </c>
      <c r="D22" s="279">
        <f ca="1">C26</f>
        <v>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289</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72</v>
      </c>
      <c r="D24" s="282"/>
      <c r="E24" s="282"/>
      <c r="F24" s="283"/>
      <c r="G24" s="284" t="s">
        <v>109</v>
      </c>
    </row>
    <row r="25" spans="1:7" s="258" customFormat="1" ht="24">
      <c r="A25" s="950" t="s">
        <v>793</v>
      </c>
      <c r="B25" s="259" t="s">
        <v>1055</v>
      </c>
      <c r="C25" s="1354">
        <f ca="1">ROUND(IF('数据-取费表'!B22&lt;=1,C20*F22*'数据-取费表'!B23/2,C20*(POWER((1+F22),'数据-取费表'!B23/2)-1)),0)</f>
        <v>4</v>
      </c>
      <c r="D25" s="282"/>
      <c r="E25" s="285"/>
      <c r="F25" s="283"/>
      <c r="G25" s="286" t="s">
        <v>110</v>
      </c>
    </row>
    <row r="26" spans="1:7" s="258" customFormat="1">
      <c r="A26" s="950" t="s">
        <v>795</v>
      </c>
      <c r="B26" s="259" t="s">
        <v>1057</v>
      </c>
      <c r="C26" s="282">
        <f ca="1">ROUND(IF('数据-取费表'!B22&lt;=1,F21*F22*'数据-取费表'!B23/2,F21*(POWER((1+F22),'数据-取费表'!B23/2)-1)),4)</f>
        <v>1E-4</v>
      </c>
      <c r="D26" s="282"/>
      <c r="E26" s="285"/>
      <c r="F26" s="283"/>
      <c r="G26" s="287"/>
    </row>
    <row r="27" spans="1:7" s="258" customFormat="1" ht="24.75">
      <c r="A27" s="947" t="s">
        <v>787</v>
      </c>
      <c r="B27" s="288" t="s">
        <v>112</v>
      </c>
      <c r="C27" s="289">
        <f>C28</f>
        <v>315</v>
      </c>
      <c r="D27" s="279">
        <f>C29</f>
        <v>2.0000000000000001E-4</v>
      </c>
      <c r="E27" s="280" t="s">
        <v>126</v>
      </c>
      <c r="F27" s="290">
        <f>'数据-取费表'!Q16</f>
        <v>0.08</v>
      </c>
      <c r="G27" s="291" t="s">
        <v>1066</v>
      </c>
    </row>
    <row r="28" spans="1:7" s="258" customFormat="1" ht="13.5" customHeight="1">
      <c r="A28" s="950" t="s">
        <v>794</v>
      </c>
      <c r="B28" s="292" t="s">
        <v>1059</v>
      </c>
      <c r="C28" s="293">
        <f>ROUND((C5+C19+C20)*F27*'数据-取费表'!B21/'数据-取费表'!B20,0)</f>
        <v>315</v>
      </c>
      <c r="D28" s="279"/>
      <c r="E28" s="280"/>
      <c r="F28" s="290"/>
      <c r="G28" s="291"/>
    </row>
    <row r="29" spans="1:7" s="258" customFormat="1" ht="13.5" customHeight="1">
      <c r="A29" s="950" t="s">
        <v>792</v>
      </c>
      <c r="B29" s="292" t="s">
        <v>1060</v>
      </c>
      <c r="C29" s="282">
        <f>ROUND(C21*F27*'数据-取费表'!B21/'数据-取费表'!B20,4)</f>
        <v>2.0000000000000001E-4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29078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10582</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8968</v>
      </c>
      <c r="D34" s="261"/>
      <c r="E34" s="264"/>
      <c r="F34" s="301">
        <f>IF('数据-取费表'!B24=0,1,'数据-取费表'!N16)</f>
        <v>0.15</v>
      </c>
      <c r="G34" s="263" t="s">
        <v>116</v>
      </c>
    </row>
    <row r="35" spans="1:7" ht="13.5" customHeight="1">
      <c r="A35" s="950" t="s">
        <v>796</v>
      </c>
      <c r="B35" s="259" t="s">
        <v>60</v>
      </c>
      <c r="C35" s="264">
        <f>ROUND(C34*F35,0)</f>
        <v>359</v>
      </c>
      <c r="D35" s="264"/>
      <c r="E35" s="264"/>
      <c r="F35" s="303">
        <f>'数据-取费表'!B33</f>
        <v>0.04</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350</v>
      </c>
      <c r="D36" s="264"/>
      <c r="E36" s="264"/>
      <c r="F36" s="303">
        <f>'数据-取费表'!B34</f>
        <v>0.05</v>
      </c>
      <c r="G36" s="304" t="s">
        <v>62</v>
      </c>
    </row>
    <row r="37" spans="1:7" s="302" customFormat="1" ht="13.5" customHeight="1">
      <c r="A37" s="950" t="s">
        <v>798</v>
      </c>
      <c r="B37" s="259" t="s">
        <v>118</v>
      </c>
      <c r="C37" s="293">
        <f>ROUND(E37*D37*F34/10000,0)</f>
        <v>770</v>
      </c>
      <c r="D37" s="261">
        <f>'数据-汇总表'!E3</f>
        <v>256595.18999999997</v>
      </c>
      <c r="E37" s="293">
        <f>'数据-取费表'!B35</f>
        <v>200</v>
      </c>
      <c r="F37" s="303"/>
      <c r="G37" s="305" t="s">
        <v>119</v>
      </c>
    </row>
    <row r="38" spans="1:7" ht="13.5" customHeight="1">
      <c r="A38" s="950" t="s">
        <v>799</v>
      </c>
      <c r="B38" s="259" t="s">
        <v>63</v>
      </c>
      <c r="C38" s="264">
        <f>ROUND(C34*F38,0)</f>
        <v>135</v>
      </c>
      <c r="D38" s="264"/>
      <c r="E38" s="264"/>
      <c r="F38" s="303">
        <f>'数据-取费表'!B36</f>
        <v>1.4999999999999999E-2</v>
      </c>
      <c r="G38" s="263" t="s">
        <v>117</v>
      </c>
    </row>
    <row r="39" spans="1:7" s="258" customFormat="1" ht="13.5" customHeight="1">
      <c r="A39" s="947" t="s">
        <v>783</v>
      </c>
      <c r="B39" s="254" t="s">
        <v>104</v>
      </c>
      <c r="C39" s="276">
        <f>ROUND(C33*F20,0)</f>
        <v>212</v>
      </c>
      <c r="D39" s="276"/>
      <c r="E39" s="276"/>
      <c r="F39" s="277"/>
      <c r="G39" s="1288"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75</v>
      </c>
      <c r="D41" s="279">
        <f ca="1">C44</f>
        <v>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74</v>
      </c>
      <c r="D42" s="282"/>
      <c r="E42" s="282"/>
      <c r="F42" s="283"/>
      <c r="G42" s="3205" t="s">
        <v>121</v>
      </c>
    </row>
    <row r="43" spans="1:7" ht="13.5" customHeight="1">
      <c r="A43" s="950" t="s">
        <v>792</v>
      </c>
      <c r="B43" s="259" t="s">
        <v>1061</v>
      </c>
      <c r="C43" s="282">
        <f ca="1">ROUND(IF('数据-取费表'!B22&lt;=1,C39*F22*'数据-取费表'!B21/2,C39*(POWER((1+F22),'数据-取费表'!B21/2)-1)),0)</f>
        <v>1</v>
      </c>
      <c r="D43" s="282"/>
      <c r="E43" s="282"/>
      <c r="F43" s="283"/>
      <c r="G43" s="3206"/>
    </row>
    <row r="44" spans="1:7" ht="13.5" customHeight="1">
      <c r="A44" s="950" t="s">
        <v>793</v>
      </c>
      <c r="B44" s="259" t="s">
        <v>1063</v>
      </c>
      <c r="C44" s="282">
        <f ca="1">ROUND(IF('数据-取费表'!B22&lt;=1,C40*F22*'数据-取费表'!B21/2,C40*(POWER((1+F22),'数据-取费表'!B21/2)-1)),4)</f>
        <v>1E-4</v>
      </c>
      <c r="D44" s="282"/>
      <c r="E44" s="282"/>
      <c r="F44" s="283"/>
      <c r="G44" s="3207"/>
    </row>
    <row r="45" spans="1:7" s="258" customFormat="1" ht="13.5" customHeight="1">
      <c r="A45" s="947" t="s">
        <v>786</v>
      </c>
      <c r="B45" s="288" t="s">
        <v>112</v>
      </c>
      <c r="C45" s="289">
        <f>C46</f>
        <v>864</v>
      </c>
      <c r="D45" s="279">
        <f>C47</f>
        <v>1.6000000000000001E-3</v>
      </c>
      <c r="E45" s="280" t="s">
        <v>129</v>
      </c>
      <c r="F45" s="290"/>
      <c r="G45" s="291" t="s">
        <v>1069</v>
      </c>
    </row>
    <row r="46" spans="1:7" s="258" customFormat="1" ht="13.5" customHeight="1">
      <c r="A46" s="950" t="s">
        <v>794</v>
      </c>
      <c r="B46" s="292" t="s">
        <v>1062</v>
      </c>
      <c r="C46" s="293">
        <f>ROUND((C33+C39)*F27,0)</f>
        <v>864</v>
      </c>
      <c r="D46" s="307"/>
      <c r="E46" s="280"/>
      <c r="F46" s="290"/>
      <c r="G46" s="291"/>
    </row>
    <row r="47" spans="1:7" s="258" customFormat="1" ht="13.5" customHeight="1">
      <c r="A47" s="950" t="s">
        <v>792</v>
      </c>
      <c r="B47" s="292" t="s">
        <v>1064</v>
      </c>
      <c r="C47" s="282">
        <f>ROUND(C40*F27,4)</f>
        <v>1.6000000000000001E-3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12685</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12685</v>
      </c>
      <c r="D51" s="276"/>
      <c r="E51" s="276"/>
      <c r="F51" s="308"/>
      <c r="G51" s="278" t="s">
        <v>64</v>
      </c>
    </row>
    <row r="52" spans="1:7" s="252" customFormat="1" ht="16.5" thickBot="1">
      <c r="A52" s="309" t="s">
        <v>65</v>
      </c>
      <c r="B52" s="310"/>
      <c r="C52" s="311">
        <f ca="1">C31+C51</f>
        <v>41763</v>
      </c>
      <c r="D52" s="310"/>
      <c r="E52" s="310"/>
      <c r="F52" s="310"/>
      <c r="G52" s="312"/>
    </row>
    <row r="55" spans="1:7" ht="15">
      <c r="B55" s="314" t="s">
        <v>66</v>
      </c>
      <c r="C55" s="315"/>
    </row>
    <row r="56" spans="1:7">
      <c r="B56" s="317" t="s">
        <v>67</v>
      </c>
      <c r="C56" s="318">
        <f ca="1">ROUND(C51/C52,3)</f>
        <v>0.30399999999999999</v>
      </c>
    </row>
    <row r="57" spans="1:7">
      <c r="B57" s="317" t="s">
        <v>68</v>
      </c>
      <c r="C57" s="319">
        <f ca="1">1-C56</f>
        <v>0.69599999999999995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6" t="s">
        <v>156</v>
      </c>
      <c r="B1" s="3346"/>
      <c r="C1" s="3346"/>
      <c r="D1" s="3346"/>
      <c r="E1" s="3346"/>
      <c r="F1" s="334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7" t="s">
        <v>169</v>
      </c>
      <c r="B2" s="3347"/>
      <c r="C2" s="3347"/>
      <c r="D2" s="3347"/>
      <c r="E2" s="3347"/>
      <c r="F2" s="334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6" t="s">
        <v>868</v>
      </c>
      <c r="B1" s="334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43621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1637</v>
      </c>
      <c r="B2" s="3020" t="s">
        <v>1638</v>
      </c>
      <c r="C2" s="3020" t="s">
        <v>1639</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14"/>
      <c r="B3" s="3014"/>
      <c r="C3" s="3014"/>
      <c r="D3" s="1043" t="s">
        <v>1634</v>
      </c>
      <c r="E3" s="1043" t="s">
        <v>1640</v>
      </c>
      <c r="F3" s="1043" t="s">
        <v>1634</v>
      </c>
      <c r="G3" s="1043" t="s">
        <v>1635</v>
      </c>
      <c r="H3" s="1043" t="s">
        <v>1634</v>
      </c>
      <c r="I3" s="1043" t="s">
        <v>1635</v>
      </c>
    </row>
    <row r="4" spans="1:9" ht="60">
      <c r="A4" s="1971" t="str">
        <f>项目基本情况!S2</f>
        <v>云南省昆明市晋宁区晋城镇草村村民委员会住宅、商业、地下车库用地出让国有建设用地使用权及在建建筑物房地产</v>
      </c>
      <c r="B4" s="1043">
        <f>项目基本情况!C17</f>
        <v>256595.18999999997</v>
      </c>
      <c r="C4" s="1043">
        <f>项目基本情况!C18</f>
        <v>63995.17</v>
      </c>
      <c r="D4" s="1043">
        <f ca="1">结果表!D118</f>
        <v>25442</v>
      </c>
      <c r="E4" s="1043">
        <f ca="1">结果表!E118</f>
        <v>991</v>
      </c>
      <c r="F4" s="1043">
        <f ca="1">结果表!F118</f>
        <v>14624</v>
      </c>
      <c r="G4" s="1043">
        <f ca="1">结果表!G118</f>
        <v>570</v>
      </c>
      <c r="H4" s="1043">
        <f ca="1">结果表!H118</f>
        <v>40066</v>
      </c>
      <c r="I4" s="1043">
        <f ca="1">结果表!I118</f>
        <v>1561</v>
      </c>
    </row>
    <row r="5" spans="1:9" ht="30" customHeight="1">
      <c r="A5" s="3014" t="s">
        <v>1636</v>
      </c>
      <c r="B5" s="3014"/>
      <c r="C5" s="3014"/>
      <c r="D5" s="3015" t="str">
        <f ca="1">结果表!D119</f>
        <v>贰亿伍仟肆佰肆拾贰万元整</v>
      </c>
      <c r="E5" s="3015"/>
      <c r="F5" s="3015" t="str">
        <f ca="1">结果表!F119</f>
        <v>壹亿肆仟陆佰贰拾肆万元整</v>
      </c>
      <c r="G5" s="3015"/>
      <c r="H5" s="3015" t="str">
        <f ca="1">结果表!H119</f>
        <v>肆亿零陆拾陆万元整</v>
      </c>
      <c r="I5" s="3015"/>
    </row>
    <row r="6" spans="1:9" ht="15.75">
      <c r="A6" s="3013" t="str">
        <f>结果表!A120</f>
        <v>估价师知悉的法定优先受偿款</v>
      </c>
      <c r="B6" s="3013"/>
      <c r="C6" s="3013"/>
      <c r="D6" s="3013">
        <f>结果表!D120</f>
        <v>0</v>
      </c>
      <c r="E6" s="3013"/>
      <c r="F6" s="3013"/>
      <c r="G6" s="3013"/>
      <c r="H6" s="3013"/>
      <c r="I6" s="3013"/>
    </row>
    <row r="7" spans="1:9" ht="15">
      <c r="A7" s="3014" t="s">
        <v>1636</v>
      </c>
      <c r="B7" s="3014"/>
      <c r="C7" s="3014"/>
      <c r="D7" s="3016" t="str">
        <f>结果表!D121</f>
        <v>零元整</v>
      </c>
      <c r="E7" s="3017"/>
      <c r="F7" s="3017"/>
      <c r="G7" s="3017"/>
      <c r="H7" s="3017"/>
      <c r="I7" s="3018"/>
    </row>
    <row r="8" spans="1:9" ht="15.75">
      <c r="A8" s="3013" t="str">
        <f>结果表!A122</f>
        <v>房地产抵押价值</v>
      </c>
      <c r="B8" s="3013"/>
      <c r="C8" s="3013"/>
      <c r="D8" s="3013">
        <f ca="1">结果表!D122</f>
        <v>40066</v>
      </c>
      <c r="E8" s="3013"/>
      <c r="F8" s="3013"/>
      <c r="G8" s="3013"/>
      <c r="H8" s="3013"/>
      <c r="I8" s="3013"/>
    </row>
    <row r="9" spans="1:9" ht="15">
      <c r="A9" s="3014" t="s">
        <v>1636</v>
      </c>
      <c r="B9" s="3014"/>
      <c r="C9" s="3014"/>
      <c r="D9" s="3015" t="str">
        <f ca="1">结果表!D123</f>
        <v>肆亿零陆拾陆万元整</v>
      </c>
      <c r="E9" s="3015"/>
      <c r="F9" s="3015"/>
      <c r="G9" s="3015"/>
      <c r="H9" s="3015"/>
      <c r="I9" s="3015"/>
    </row>
    <row r="10" spans="1:9" ht="15.75">
      <c r="A10" s="3013" t="str">
        <f>结果表!A124</f>
        <v/>
      </c>
      <c r="B10" s="3013"/>
      <c r="C10" s="3013"/>
      <c r="D10" s="3013" t="str">
        <f>结果表!D124</f>
        <v>——</v>
      </c>
      <c r="E10" s="3013"/>
      <c r="F10" s="3013"/>
      <c r="G10" s="3013"/>
      <c r="H10" s="3013"/>
      <c r="I10" s="3013"/>
    </row>
    <row r="11" spans="1:9" ht="15">
      <c r="A11" s="3014" t="s">
        <v>1636</v>
      </c>
      <c r="B11" s="3014"/>
      <c r="C11" s="3014"/>
      <c r="D11" s="3015" t="e">
        <f>结果表!D125</f>
        <v>#VALUE!</v>
      </c>
      <c r="E11" s="3015"/>
      <c r="F11" s="3015"/>
      <c r="G11" s="3015"/>
      <c r="H11" s="3015"/>
      <c r="I11" s="3015"/>
    </row>
    <row r="12" spans="1:9" ht="15.75">
      <c r="A12" s="3013" t="str">
        <f>结果表!A126</f>
        <v/>
      </c>
      <c r="B12" s="3013"/>
      <c r="C12" s="3013"/>
      <c r="D12" s="3013" t="str">
        <f>结果表!D126</f>
        <v>——</v>
      </c>
      <c r="E12" s="3013"/>
      <c r="F12" s="3013"/>
      <c r="G12" s="3013"/>
      <c r="H12" s="3013"/>
      <c r="I12" s="3013"/>
    </row>
    <row r="13" spans="1:9" ht="15.75" thickBot="1">
      <c r="A13" s="3010" t="s">
        <v>1636</v>
      </c>
      <c r="B13" s="3010"/>
      <c r="C13" s="3010"/>
      <c r="D13" s="3011" t="e">
        <f>结果表!D127</f>
        <v>#VALUE!</v>
      </c>
      <c r="E13" s="3011"/>
      <c r="F13" s="3011"/>
      <c r="G13" s="3011"/>
      <c r="H13" s="3011"/>
      <c r="I13" s="3011"/>
    </row>
    <row r="14" spans="1:9" ht="15" thickTop="1">
      <c r="A14" s="3012" t="s">
        <v>1641</v>
      </c>
      <c r="B14" s="3012"/>
      <c r="C14" s="3012"/>
      <c r="D14" s="3012"/>
      <c r="E14" s="3012"/>
      <c r="F14" s="3012"/>
      <c r="G14" s="3012"/>
      <c r="H14" s="3012"/>
      <c r="I14" s="3012"/>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7" t="s">
        <v>1658</v>
      </c>
      <c r="B1" s="3027"/>
      <c r="C1" s="3027"/>
      <c r="D1" s="3027"/>
    </row>
    <row r="2" spans="1:4" ht="18">
      <c r="A2" s="3028" t="s">
        <v>1642</v>
      </c>
      <c r="B2" s="3028"/>
      <c r="C2" s="3028"/>
      <c r="D2" s="3028"/>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028" t="s">
        <v>1648</v>
      </c>
      <c r="B6" s="3028"/>
      <c r="C6" s="3028"/>
      <c r="D6" s="3028"/>
    </row>
    <row r="7" spans="1:4" ht="18.75">
      <c r="A7" s="1975" t="s">
        <v>1643</v>
      </c>
      <c r="B7" s="1977" t="s">
        <v>1649</v>
      </c>
      <c r="C7" s="1975" t="s">
        <v>1645</v>
      </c>
      <c r="D7" s="1975" t="s">
        <v>1646</v>
      </c>
    </row>
    <row r="8" spans="1:4" ht="56.25" customHeight="1">
      <c r="A8" s="1981" t="s">
        <v>866</v>
      </c>
      <c r="B8" s="1981" t="s">
        <v>1</v>
      </c>
      <c r="C8" s="1978"/>
      <c r="D8" s="1979" t="s">
        <v>1647</v>
      </c>
    </row>
    <row r="9" spans="1:4">
      <c r="A9" s="727"/>
      <c r="B9" s="727"/>
      <c r="C9" s="727"/>
      <c r="D9" s="727"/>
    </row>
    <row r="10" spans="1:4" ht="18.75">
      <c r="A10" s="1982" t="s">
        <v>1650</v>
      </c>
      <c r="B10" s="727"/>
      <c r="C10" s="727"/>
      <c r="D10" s="727"/>
    </row>
    <row r="11" spans="1:4" ht="30" customHeight="1">
      <c r="A11" s="3029" t="s">
        <v>1651</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1" t="str">
        <f>IF(项目基本情况!B8="抵押","4.本次评估估价师所知悉的法定优先受偿款情况说明如下：","——")</f>
        <v>4.本次评估估价师所知悉的法定优先受偿款情况说明如下：</v>
      </c>
      <c r="B14" s="3026"/>
      <c r="C14" s="3026"/>
      <c r="D14" s="3026"/>
    </row>
    <row r="15" spans="1:4" ht="42" customHeight="1">
      <c r="A15" s="3021" t="str">
        <f>IF(项目基本情况!B8="抵押","（1）"&amp;CONCATENATE(项目基本情况!L20,项目基本情况!L21,项目基本情况!L22),"——")</f>
        <v>（1）根据估价对象《不动产权证书》原件、，截至价值时点，估价对象抵押权未见登记。</v>
      </c>
      <c r="B15" s="3021"/>
      <c r="C15" s="3021"/>
      <c r="D15" s="3021"/>
    </row>
    <row r="16" spans="1:4" ht="30" customHeight="1">
      <c r="A16" s="3023" t="s">
        <v>1652</v>
      </c>
      <c r="B16" s="3023"/>
      <c r="C16" s="3023"/>
      <c r="D16" s="3023"/>
    </row>
    <row r="17" spans="1:4" ht="144" customHeight="1">
      <c r="A17" s="3023" t="s">
        <v>1653</v>
      </c>
      <c r="B17" s="3023"/>
      <c r="C17" s="3023"/>
      <c r="D17" s="3023"/>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1654</v>
      </c>
      <c r="B22" s="3025"/>
      <c r="C22" s="3025"/>
      <c r="D22" s="3025"/>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35" t="s">
        <v>1665</v>
      </c>
      <c r="B15" s="3030" t="s">
        <v>136</v>
      </c>
      <c r="C15" s="3031"/>
    </row>
    <row r="16" spans="1:7" ht="13.5">
      <c r="A16" s="3036"/>
      <c r="B16" s="3030" t="s">
        <v>69</v>
      </c>
      <c r="C16" s="3031"/>
    </row>
    <row r="17" spans="1:3" ht="13.5">
      <c r="A17" s="3036"/>
      <c r="B17" s="3033" t="s">
        <v>1666</v>
      </c>
      <c r="C17" s="1998" t="s">
        <v>1665</v>
      </c>
    </row>
    <row r="18" spans="1:3" ht="13.5">
      <c r="A18" s="3036"/>
      <c r="B18" s="3033"/>
      <c r="C18" s="1998" t="s">
        <v>1667</v>
      </c>
    </row>
    <row r="19" spans="1:3" ht="13.5">
      <c r="A19" s="3036"/>
      <c r="B19" s="3033"/>
      <c r="C19" s="1998" t="s">
        <v>1668</v>
      </c>
    </row>
    <row r="20" spans="1:3" ht="13.5">
      <c r="A20" s="3037"/>
      <c r="B20" s="3032" t="s">
        <v>1669</v>
      </c>
      <c r="C20" s="3031"/>
    </row>
    <row r="21" spans="1:3" ht="13.5">
      <c r="A21" s="1999" t="s">
        <v>1670</v>
      </c>
      <c r="B21" s="2000"/>
      <c r="C21" s="2001"/>
    </row>
    <row r="22" spans="1:3" ht="13.5">
      <c r="A22" s="3034" t="s">
        <v>1671</v>
      </c>
      <c r="B22" s="3032" t="s">
        <v>1672</v>
      </c>
      <c r="C22" s="3031"/>
    </row>
    <row r="23" spans="1:3" ht="13.5">
      <c r="A23" s="3034"/>
      <c r="B23" s="3032" t="s">
        <v>1673</v>
      </c>
      <c r="C23" s="3031"/>
    </row>
    <row r="24" spans="1:3" ht="13.5">
      <c r="A24" s="3034"/>
      <c r="B24" s="3032" t="s">
        <v>1674</v>
      </c>
      <c r="C24" s="3031"/>
    </row>
    <row r="25" spans="1:3" ht="13.5">
      <c r="A25" s="3034"/>
      <c r="B25" s="3033" t="s">
        <v>1675</v>
      </c>
      <c r="C25" s="1998" t="s">
        <v>1676</v>
      </c>
    </row>
    <row r="26" spans="1:3" ht="13.5">
      <c r="A26" s="3034"/>
      <c r="B26" s="3033"/>
      <c r="C26" s="1998" t="s">
        <v>1677</v>
      </c>
    </row>
    <row r="27" spans="1:3" ht="13.5">
      <c r="A27" s="3034"/>
      <c r="B27" s="3033"/>
      <c r="C27" s="1998" t="s">
        <v>1678</v>
      </c>
    </row>
    <row r="28" spans="1:3" ht="13.5">
      <c r="A28" s="3034"/>
      <c r="B28" s="3033"/>
      <c r="C28" s="1998" t="s">
        <v>1679</v>
      </c>
    </row>
    <row r="29" spans="1:3" ht="13.5">
      <c r="A29" s="3034"/>
      <c r="B29" s="3033"/>
      <c r="C29" s="1998" t="s">
        <v>1680</v>
      </c>
    </row>
    <row r="30" spans="1:3" ht="13.5">
      <c r="A30" s="3034"/>
      <c r="B30" s="3033"/>
      <c r="C30" s="1998" t="s">
        <v>1681</v>
      </c>
    </row>
    <row r="31" spans="1:3" ht="13.5">
      <c r="A31" s="3034"/>
      <c r="B31" s="3033"/>
      <c r="C31" s="1998" t="s">
        <v>1682</v>
      </c>
    </row>
    <row r="32" spans="1:3" ht="13.5">
      <c r="A32" s="3034"/>
      <c r="B32" s="3033"/>
      <c r="C32" s="1998" t="s">
        <v>1683</v>
      </c>
    </row>
    <row r="33" spans="1:3" ht="13.5">
      <c r="A33" s="3034"/>
      <c r="B33" s="3033"/>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43643</v>
      </c>
      <c r="C2" s="1018" t="s">
        <v>826</v>
      </c>
      <c r="D2" s="1018"/>
    </row>
    <row r="3" spans="1:6" ht="24" customHeight="1">
      <c r="A3" s="1019" t="s">
        <v>827</v>
      </c>
      <c r="B3" s="1020" t="s">
        <v>828</v>
      </c>
      <c r="C3" s="2339" t="s">
        <v>829</v>
      </c>
      <c r="D3" s="2342" t="s">
        <v>830</v>
      </c>
      <c r="E3" s="1021" t="s">
        <v>831</v>
      </c>
      <c r="F3" s="1020" t="s">
        <v>829</v>
      </c>
    </row>
    <row r="4" spans="1:6" ht="24" customHeight="1">
      <c r="A4" s="1700" t="s">
        <v>832</v>
      </c>
      <c r="B4" s="1021">
        <f ca="1">IF(C4&lt;B2,"已过期",1119970066)</f>
        <v>1119970066</v>
      </c>
      <c r="C4" s="2340">
        <v>43849</v>
      </c>
      <c r="D4" s="2343" t="s">
        <v>832</v>
      </c>
      <c r="E4" s="1021">
        <f ca="1">IF(F4&lt;B2,"已过期",96010014)</f>
        <v>96010014</v>
      </c>
      <c r="F4" s="1029">
        <v>47118</v>
      </c>
    </row>
    <row r="5" spans="1:6" ht="24" customHeight="1">
      <c r="A5" s="1700" t="s">
        <v>833</v>
      </c>
      <c r="B5" s="1021">
        <f ca="1">IF(C5&lt;B2,"已过期",1119970074)</f>
        <v>1119970074</v>
      </c>
      <c r="C5" s="2340">
        <v>43849</v>
      </c>
      <c r="D5" s="2343" t="s">
        <v>833</v>
      </c>
      <c r="E5" s="1021">
        <f ca="1">IF(F5&lt;B2,"已过期",2002110027)</f>
        <v>2002110027</v>
      </c>
      <c r="F5" s="1029">
        <v>46752</v>
      </c>
    </row>
    <row r="6" spans="1:6" ht="24" customHeight="1">
      <c r="A6" s="1700" t="s">
        <v>834</v>
      </c>
      <c r="B6" s="1021">
        <f ca="1">IF(C6&lt;B2,"已过期",1119970111)</f>
        <v>1119970111</v>
      </c>
      <c r="C6" s="2340">
        <v>43849</v>
      </c>
      <c r="D6" s="2343" t="s">
        <v>834</v>
      </c>
      <c r="E6" s="1021">
        <f ca="1">IF(F6&lt;B2,"已过期",94010078)</f>
        <v>94010078</v>
      </c>
      <c r="F6" s="1029">
        <v>46387</v>
      </c>
    </row>
    <row r="7" spans="1:6" ht="24" customHeight="1">
      <c r="A7" s="1700" t="s">
        <v>835</v>
      </c>
      <c r="B7" s="1021">
        <f ca="1">IF(C7&lt;B2,"已过期",1120050019)</f>
        <v>1120050019</v>
      </c>
      <c r="C7" s="2340">
        <v>44395</v>
      </c>
      <c r="D7" s="2343" t="s">
        <v>835</v>
      </c>
      <c r="E7" s="1021">
        <f ca="1">IF(F7&lt;B2,"已过期",2002110030)</f>
        <v>2002110030</v>
      </c>
      <c r="F7" s="1029">
        <v>46387</v>
      </c>
    </row>
    <row r="8" spans="1:6" ht="24" customHeight="1">
      <c r="A8" s="1700" t="s">
        <v>836</v>
      </c>
      <c r="B8" s="1021">
        <f ca="1">IF(C8&lt;B2,"已过期",1120000080)</f>
        <v>1120000080</v>
      </c>
      <c r="C8" s="2340">
        <v>43849</v>
      </c>
      <c r="D8" s="2343" t="s">
        <v>836</v>
      </c>
      <c r="E8" s="1021">
        <f ca="1">IF(F8&lt;B2,"已过期",2000110082)</f>
        <v>2000110082</v>
      </c>
      <c r="F8" s="1029">
        <v>46387</v>
      </c>
    </row>
    <row r="9" spans="1:6" ht="24" customHeight="1">
      <c r="A9" s="1700" t="s">
        <v>837</v>
      </c>
      <c r="B9" s="1021">
        <f ca="1">IF(C9&lt;B2,"已过期",1419970001)</f>
        <v>1419970001</v>
      </c>
      <c r="C9" s="2340">
        <v>43867</v>
      </c>
      <c r="D9" s="2343" t="s">
        <v>837</v>
      </c>
      <c r="E9" s="1021">
        <f ca="1">IF(F9&lt;B2,"已过期",2002110125)</f>
        <v>2002110125</v>
      </c>
      <c r="F9" s="1029">
        <v>47118</v>
      </c>
    </row>
    <row r="10" spans="1:6" ht="24" customHeight="1">
      <c r="A10" s="1700" t="s">
        <v>838</v>
      </c>
      <c r="B10" s="1021" t="str">
        <f ca="1">IF(C10&lt;B2,"已过期",1120060040)</f>
        <v>已过期</v>
      </c>
      <c r="C10" s="2340">
        <v>43483</v>
      </c>
      <c r="D10" s="2343" t="s">
        <v>838</v>
      </c>
      <c r="E10" s="1021">
        <f ca="1">IF(F10&lt;B2,"已过期",2004110096)</f>
        <v>2004110096</v>
      </c>
      <c r="F10" s="1029">
        <v>47118</v>
      </c>
    </row>
    <row r="11" spans="1:6" ht="24" customHeight="1">
      <c r="A11" s="1700" t="s">
        <v>839</v>
      </c>
      <c r="B11" s="1021" t="str">
        <f ca="1">IF(C11&lt;B2,"已过期",1120100036)</f>
        <v>已过期</v>
      </c>
      <c r="C11" s="2340">
        <v>43622</v>
      </c>
      <c r="D11" s="2343" t="s">
        <v>839</v>
      </c>
      <c r="E11" s="1021">
        <f ca="1">IF(F11&lt;B2,"已过期",2010110070)</f>
        <v>2010110070</v>
      </c>
      <c r="F11" s="1029">
        <v>47907</v>
      </c>
    </row>
    <row r="12" spans="1:6" ht="24" customHeight="1">
      <c r="A12" s="1700"/>
      <c r="B12" s="1021"/>
      <c r="C12" s="2920"/>
      <c r="D12" s="1700"/>
      <c r="E12" s="1021"/>
      <c r="F12" s="1029"/>
    </row>
    <row r="13" spans="1:6" ht="24" customHeight="1">
      <c r="A13" s="1700" t="s">
        <v>840</v>
      </c>
      <c r="B13" s="1021">
        <f ca="1">IF(C13&lt;B2,"已过期",1120070131)</f>
        <v>1120070131</v>
      </c>
      <c r="C13" s="2340">
        <v>43814</v>
      </c>
      <c r="D13" s="2343" t="s">
        <v>840</v>
      </c>
      <c r="E13" s="1021">
        <f ca="1">IF(F13&lt;B2,"已过期",2014110011)</f>
        <v>2014110011</v>
      </c>
      <c r="F13" s="1029">
        <v>49302</v>
      </c>
    </row>
    <row r="14" spans="1:6" ht="24" customHeight="1">
      <c r="A14" s="1700" t="s">
        <v>3035</v>
      </c>
      <c r="B14" s="1021">
        <f ca="1">IF(C14&lt;B2,"已过期",1120040230)</f>
        <v>1120040230</v>
      </c>
      <c r="C14" s="2340">
        <v>43835</v>
      </c>
      <c r="D14" s="2343" t="s">
        <v>3035</v>
      </c>
      <c r="E14" s="1021">
        <f ca="1">IF(F14&lt;B2,"已过期",98030020)</f>
        <v>98030020</v>
      </c>
      <c r="F14" s="1029">
        <v>47118</v>
      </c>
    </row>
    <row r="15" spans="1:6" ht="24" customHeight="1">
      <c r="A15" s="1701" t="s">
        <v>3036</v>
      </c>
      <c r="B15" s="1021">
        <f ca="1">IF(C15&lt;B2,"已过期",1120070085)</f>
        <v>1120070085</v>
      </c>
      <c r="C15" s="2340">
        <v>43814</v>
      </c>
      <c r="D15" s="2344" t="s">
        <v>3036</v>
      </c>
      <c r="E15" s="1021">
        <f ca="1">IF(F15&lt;B2,"已过期",2004110128)</f>
        <v>2004110128</v>
      </c>
      <c r="F15" s="1022">
        <v>47118</v>
      </c>
    </row>
    <row r="16" spans="1:6" ht="24" customHeight="1">
      <c r="A16" s="1700" t="s">
        <v>3037</v>
      </c>
      <c r="B16" s="1021">
        <f ca="1">IF(C16&lt;B2,"已过期",1120140022)</f>
        <v>1120140022</v>
      </c>
      <c r="C16" s="2920">
        <v>44029</v>
      </c>
      <c r="D16" s="2343" t="s">
        <v>3037</v>
      </c>
      <c r="E16" s="1021">
        <f ca="1">IF(F16&lt;B2,"已过期",2008110059)</f>
        <v>2008110059</v>
      </c>
      <c r="F16" s="1029">
        <v>47177</v>
      </c>
    </row>
    <row r="17" spans="1:7" ht="24" customHeight="1">
      <c r="A17" s="1700"/>
      <c r="B17" s="1021"/>
      <c r="C17" s="2340"/>
      <c r="D17" s="2343" t="s">
        <v>3038</v>
      </c>
      <c r="E17" s="1021">
        <f ca="1">IF(F17&lt;B2,"已过期",2014110076)</f>
        <v>2014110076</v>
      </c>
      <c r="F17" s="1029">
        <v>49302</v>
      </c>
    </row>
    <row r="18" spans="1:7" ht="24" customHeight="1">
      <c r="A18" s="1700"/>
      <c r="B18" s="1021"/>
      <c r="C18" s="2340"/>
      <c r="D18" s="2343"/>
      <c r="E18" s="1021"/>
      <c r="F18" s="1029"/>
    </row>
    <row r="19" spans="1:7" ht="24" customHeight="1">
      <c r="A19" s="1700"/>
      <c r="B19" s="1021"/>
      <c r="C19" s="2340"/>
      <c r="D19" s="2343"/>
      <c r="E19" s="1021"/>
      <c r="F19" s="1021"/>
    </row>
    <row r="20" spans="1:7" ht="24" customHeight="1">
      <c r="A20" s="1700"/>
      <c r="B20" s="1021"/>
      <c r="C20" s="2340"/>
      <c r="D20" s="2343"/>
      <c r="E20" s="1021"/>
      <c r="F20" s="1021"/>
    </row>
    <row r="21" spans="1:7" ht="24" customHeight="1">
      <c r="A21" s="1700"/>
      <c r="B21" s="1021"/>
      <c r="C21" s="2340"/>
      <c r="D21" s="2343" t="s">
        <v>841</v>
      </c>
      <c r="E21" s="1021">
        <f ca="1">IF(F21&lt;B2,"已过期",2011110090)</f>
        <v>2011110090</v>
      </c>
      <c r="F21" s="1029">
        <v>48302</v>
      </c>
    </row>
    <row r="22" spans="1:7" ht="24" customHeight="1">
      <c r="A22" s="1700" t="s">
        <v>842</v>
      </c>
      <c r="B22" s="1021">
        <f ca="1">IF(C22&lt;B2,"已过期",1120020033)</f>
        <v>1120020033</v>
      </c>
      <c r="C22" s="2920">
        <v>44339</v>
      </c>
      <c r="D22" s="2343" t="s">
        <v>842</v>
      </c>
      <c r="E22" s="1021">
        <f ca="1">IF(F22&lt;B2,"已过期",2000110137)</f>
        <v>2000110137</v>
      </c>
      <c r="F22" s="1029">
        <v>46387</v>
      </c>
    </row>
    <row r="23" spans="1:7" ht="24" customHeight="1">
      <c r="A23" s="1700"/>
      <c r="B23" s="1021"/>
      <c r="C23" s="2340"/>
      <c r="D23" s="2343"/>
      <c r="E23" s="1021"/>
      <c r="F23" s="1021"/>
    </row>
    <row r="24" spans="1:7" s="1023" customFormat="1" ht="24" customHeight="1">
      <c r="A24" s="1701" t="s">
        <v>1329</v>
      </c>
      <c r="B24" s="1701" t="s">
        <v>1329</v>
      </c>
      <c r="C24" s="2341" t="s">
        <v>1329</v>
      </c>
      <c r="D24" s="2344" t="s">
        <v>1329</v>
      </c>
      <c r="E24" s="1701" t="s">
        <v>1329</v>
      </c>
      <c r="F24" s="1701" t="s">
        <v>1329</v>
      </c>
    </row>
    <row r="25" spans="1:7" ht="24" customHeight="1">
      <c r="A25" s="3038" t="s">
        <v>843</v>
      </c>
      <c r="B25" s="3038"/>
      <c r="C25" s="3038"/>
      <c r="D25" s="3038"/>
      <c r="E25" s="3038"/>
      <c r="F25" s="3038"/>
      <c r="G25" s="3038"/>
    </row>
    <row r="26" spans="1:7" s="1024" customFormat="1" ht="24" customHeight="1">
      <c r="A26" s="3039" t="s">
        <v>844</v>
      </c>
      <c r="B26" s="3039"/>
      <c r="C26" s="3040"/>
      <c r="D26" s="3041" t="s">
        <v>845</v>
      </c>
      <c r="E26" s="3039"/>
      <c r="F26" s="3039"/>
    </row>
    <row r="27" spans="1:7" s="1026" customFormat="1" ht="24" customHeight="1">
      <c r="A27" s="1025" t="s">
        <v>846</v>
      </c>
      <c r="B27" s="1020" t="s">
        <v>847</v>
      </c>
      <c r="C27" s="2339" t="s">
        <v>848</v>
      </c>
      <c r="D27" s="2347" t="s">
        <v>846</v>
      </c>
      <c r="E27" s="1020" t="s">
        <v>847</v>
      </c>
      <c r="F27" s="1020" t="s">
        <v>848</v>
      </c>
    </row>
    <row r="28" spans="1:7" s="1026" customFormat="1" ht="24" customHeight="1">
      <c r="A28" s="1027" t="s">
        <v>849</v>
      </c>
      <c r="B28" s="1028" t="s">
        <v>850</v>
      </c>
      <c r="C28" s="2345">
        <v>43725</v>
      </c>
      <c r="D28" s="2348" t="s">
        <v>851</v>
      </c>
      <c r="E28" s="1027" t="s">
        <v>852</v>
      </c>
      <c r="F28" s="1057">
        <v>44377</v>
      </c>
    </row>
    <row r="29" spans="1:7" s="1026" customFormat="1" ht="24" customHeight="1">
      <c r="A29" s="1027"/>
      <c r="B29" s="1027"/>
      <c r="C29" s="2346"/>
      <c r="D29" s="2348"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经济指标</vt:lpstr>
      <vt:lpstr>数据-汇总表</vt:lpstr>
      <vt:lpstr>数据-取费表</vt:lpstr>
      <vt:lpstr>估价对象房地状况</vt:lpstr>
      <vt:lpstr>系统读取表</vt:lpstr>
      <vt:lpstr>结果表</vt:lpstr>
      <vt:lpstr>成本法</vt:lpstr>
      <vt:lpstr>成本法 (元)</vt:lpstr>
      <vt:lpstr>土地比较法-住宅、综合</vt:lpstr>
      <vt:lpstr>晋宁区土地案例</vt:lpstr>
      <vt:lpstr>安宁市土地案例</vt:lpstr>
      <vt:lpstr>假设开发法</vt:lpstr>
      <vt:lpstr>比较法-住宅</vt:lpstr>
      <vt:lpstr>住宅案例</vt:lpstr>
      <vt:lpstr>比较法-商业</vt:lpstr>
      <vt:lpstr>商业案例</vt:lpstr>
      <vt:lpstr>收益法</vt:lpstr>
      <vt:lpstr>收益法 (元)</vt:lpstr>
      <vt:lpstr>收益法（汇总）</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2019-06-27T08:22:04Z</dcterms:modified>
</cp:coreProperties>
</file>