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 i="4" l="1"/>
  <c r="C14" i="66" l="1"/>
  <c r="D29" i="46"/>
  <c r="B14" i="66" s="1"/>
  <c r="B1" i="66" s="1"/>
  <c r="F1" i="46"/>
  <c r="AH5" i="59"/>
  <c r="AG5" i="59"/>
  <c r="AE5" i="59"/>
  <c r="AF5" i="59" s="1"/>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E13" i="59" s="1"/>
  <c r="E14" i="59" s="1"/>
  <c r="E15" i="59" s="1"/>
  <c r="P13" i="59"/>
  <c r="P14" i="59"/>
  <c r="P15" i="59"/>
  <c r="P16" i="59"/>
  <c r="E17" i="59" s="1"/>
  <c r="E18" i="59" s="1"/>
  <c r="E19" i="59" s="1"/>
  <c r="P17" i="59"/>
  <c r="P18" i="59"/>
  <c r="P19" i="59"/>
  <c r="P20" i="59"/>
  <c r="E21" i="59" s="1"/>
  <c r="E22" i="59" s="1"/>
  <c r="E23" i="59" s="1"/>
  <c r="P21" i="59"/>
  <c r="P22" i="59"/>
  <c r="O6" i="59"/>
  <c r="Y3" i="59" s="1"/>
  <c r="Z3" i="59" s="1"/>
  <c r="O5" i="59"/>
  <c r="O7" i="59"/>
  <c r="C7" i="59" s="1"/>
  <c r="O8" i="59"/>
  <c r="O9" i="59"/>
  <c r="O10" i="59"/>
  <c r="O11" i="59"/>
  <c r="C11" i="59" s="1"/>
  <c r="O12" i="59"/>
  <c r="O13" i="59"/>
  <c r="O14" i="59"/>
  <c r="O15" i="59"/>
  <c r="O16" i="59"/>
  <c r="O17" i="59"/>
  <c r="O18" i="59"/>
  <c r="O19" i="59"/>
  <c r="O20" i="59"/>
  <c r="O21" i="59"/>
  <c r="O22" i="59"/>
  <c r="Y5" i="59"/>
  <c r="Z5" i="59" s="1"/>
  <c r="N6" i="59"/>
  <c r="X6" i="59" s="1"/>
  <c r="N5" i="59"/>
  <c r="N7" i="59"/>
  <c r="B7" i="59" s="1"/>
  <c r="B6" i="59" s="1"/>
  <c r="B5" i="59" s="1"/>
  <c r="N8" i="59"/>
  <c r="N9" i="59"/>
  <c r="N10" i="59"/>
  <c r="N11" i="59"/>
  <c r="N12" i="59"/>
  <c r="N13" i="59"/>
  <c r="N14" i="59"/>
  <c r="N15" i="59"/>
  <c r="N16" i="59"/>
  <c r="N17" i="59"/>
  <c r="N18" i="59"/>
  <c r="N19" i="59"/>
  <c r="N20" i="59"/>
  <c r="N21" i="59"/>
  <c r="N22" i="59"/>
  <c r="X5" i="59"/>
  <c r="F7" i="59"/>
  <c r="F6" i="59"/>
  <c r="F5" i="59" s="1"/>
  <c r="E7" i="59"/>
  <c r="E6" i="59" s="1"/>
  <c r="E5" i="59" s="1"/>
  <c r="B2" i="1"/>
  <c r="G19" i="46" s="1"/>
  <c r="D8" i="59"/>
  <c r="B11" i="59"/>
  <c r="B10" i="59" s="1"/>
  <c r="B9" i="59" s="1"/>
  <c r="E11" i="59"/>
  <c r="E10" i="59"/>
  <c r="E9" i="59" s="1"/>
  <c r="F11" i="59"/>
  <c r="F10" i="59" s="1"/>
  <c r="F9" i="59" s="1"/>
  <c r="D12" i="59"/>
  <c r="B13" i="59"/>
  <c r="B14" i="59" s="1"/>
  <c r="B15" i="59" s="1"/>
  <c r="C13" i="59"/>
  <c r="D13" i="59"/>
  <c r="F13" i="59"/>
  <c r="F14" i="59" s="1"/>
  <c r="F15" i="59" s="1"/>
  <c r="C14" i="59"/>
  <c r="D14" i="59" s="1"/>
  <c r="D16" i="59"/>
  <c r="B17" i="59"/>
  <c r="B18" i="59" s="1"/>
  <c r="B19" i="59" s="1"/>
  <c r="C17" i="59"/>
  <c r="D17" i="59"/>
  <c r="F17" i="59"/>
  <c r="F18" i="59" s="1"/>
  <c r="F19" i="59" s="1"/>
  <c r="C18" i="59"/>
  <c r="D18" i="59" s="1"/>
  <c r="D20" i="59"/>
  <c r="B21" i="59"/>
  <c r="B22" i="59" s="1"/>
  <c r="B23" i="59" s="1"/>
  <c r="C21" i="59"/>
  <c r="D21" i="59"/>
  <c r="F21" i="59"/>
  <c r="F22" i="59" s="1"/>
  <c r="F23" i="59" s="1"/>
  <c r="C22" i="59"/>
  <c r="D22" i="59" s="1"/>
  <c r="X3" i="59"/>
  <c r="AB3" i="59"/>
  <c r="Y6" i="59"/>
  <c r="Z6" i="59" s="1"/>
  <c r="AA6" i="59"/>
  <c r="AB6" i="59"/>
  <c r="X7" i="59"/>
  <c r="Y7" i="59"/>
  <c r="Z7" i="59"/>
  <c r="AA7" i="59"/>
  <c r="AB7"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F19" i="4"/>
  <c r="F6" i="1" s="1"/>
  <c r="I20" i="46" s="1"/>
  <c r="C1" i="65"/>
  <c r="H1" i="65" s="1"/>
  <c r="J20" i="46"/>
  <c r="G2" i="46"/>
  <c r="I2" i="46"/>
  <c r="M12" i="46"/>
  <c r="G17" i="46"/>
  <c r="I17" i="46"/>
  <c r="C17" i="46"/>
  <c r="D58" i="46"/>
  <c r="M59" i="46"/>
  <c r="D59" i="46"/>
  <c r="D60" i="46"/>
  <c r="D61" i="46"/>
  <c r="M62" i="46"/>
  <c r="D62" i="46"/>
  <c r="D63" i="46"/>
  <c r="M64" i="46"/>
  <c r="D64" i="46" s="1"/>
  <c r="D65" i="46"/>
  <c r="K66" i="46"/>
  <c r="D66" i="46"/>
  <c r="F38" i="46"/>
  <c r="D5" i="46"/>
  <c r="F35" i="46"/>
  <c r="A6" i="1"/>
  <c r="G1" i="15" s="1"/>
  <c r="J50" i="15"/>
  <c r="J51" i="15" s="1"/>
  <c r="M47" i="15"/>
  <c r="M48" i="44"/>
  <c r="J51" i="44"/>
  <c r="J52" i="44"/>
  <c r="AD5" i="3"/>
  <c r="AH5" i="3"/>
  <c r="I4" i="6" s="1"/>
  <c r="AL5" i="3"/>
  <c r="AP5" i="3"/>
  <c r="G3" i="46"/>
  <c r="N101" i="46" s="1"/>
  <c r="N99" i="46"/>
  <c r="N108" i="46" s="1"/>
  <c r="E22" i="46"/>
  <c r="F22" i="46"/>
  <c r="C18" i="46"/>
  <c r="F33" i="46"/>
  <c r="E101" i="46"/>
  <c r="E102" i="46" s="1"/>
  <c r="E105" i="46"/>
  <c r="E99" i="46"/>
  <c r="E108" i="46" s="1"/>
  <c r="B113" i="46"/>
  <c r="D115" i="46" s="1"/>
  <c r="E115" i="46" s="1"/>
  <c r="F115" i="46" s="1"/>
  <c r="G115" i="46" s="1"/>
  <c r="H115" i="46" s="1"/>
  <c r="F99" i="46"/>
  <c r="F108" i="46" s="1"/>
  <c r="C10" i="46"/>
  <c r="C11" i="46" s="1"/>
  <c r="E15" i="46"/>
  <c r="D47" i="46"/>
  <c r="D48" i="46"/>
  <c r="D49" i="46"/>
  <c r="D50" i="46"/>
  <c r="D51" i="46"/>
  <c r="D52" i="46"/>
  <c r="D53" i="46"/>
  <c r="D54" i="46"/>
  <c r="D55" i="46"/>
  <c r="E47" i="46"/>
  <c r="D69" i="46"/>
  <c r="D70" i="46"/>
  <c r="D71" i="46"/>
  <c r="D72" i="46"/>
  <c r="D73" i="46"/>
  <c r="D74" i="46"/>
  <c r="D75" i="46"/>
  <c r="D76" i="46"/>
  <c r="D77" i="46"/>
  <c r="E69" i="46"/>
  <c r="D80" i="46"/>
  <c r="D81" i="46"/>
  <c r="E80" i="46" s="1"/>
  <c r="D82" i="46"/>
  <c r="D83" i="46"/>
  <c r="D84" i="46"/>
  <c r="D85" i="46"/>
  <c r="D86" i="46"/>
  <c r="D87" i="46"/>
  <c r="E100" i="46"/>
  <c r="F15" i="46"/>
  <c r="F47" i="46"/>
  <c r="N12" i="46"/>
  <c r="F69" i="46"/>
  <c r="F80" i="46"/>
  <c r="F100" i="46"/>
  <c r="F113" i="46"/>
  <c r="H33" i="46"/>
  <c r="H34" i="46"/>
  <c r="H35" i="46"/>
  <c r="H36" i="46"/>
  <c r="H37" i="46"/>
  <c r="H38" i="46"/>
  <c r="H39" i="46"/>
  <c r="C101" i="46"/>
  <c r="C102" i="46" s="1"/>
  <c r="C103" i="46"/>
  <c r="C105" i="46"/>
  <c r="C107" i="46"/>
  <c r="C99" i="46"/>
  <c r="C108" i="46"/>
  <c r="C109" i="46" s="1"/>
  <c r="D101" i="46"/>
  <c r="D102" i="46" s="1"/>
  <c r="D103" i="46"/>
  <c r="D105" i="46"/>
  <c r="D107" i="46"/>
  <c r="D99" i="46"/>
  <c r="D108" i="46"/>
  <c r="D109" i="46" s="1"/>
  <c r="I116" i="46"/>
  <c r="J116" i="46" s="1"/>
  <c r="K116" i="46" s="1"/>
  <c r="L116" i="46" s="1"/>
  <c r="M116" i="46" s="1"/>
  <c r="G118" i="46"/>
  <c r="H118" i="46" s="1"/>
  <c r="I118" i="46"/>
  <c r="J118" i="46" s="1"/>
  <c r="K118" i="46" s="1"/>
  <c r="L118" i="46" s="1"/>
  <c r="M118" i="46" s="1"/>
  <c r="H113" i="46"/>
  <c r="D1" i="46"/>
  <c r="C9" i="46"/>
  <c r="C15" i="46"/>
  <c r="D15" i="46"/>
  <c r="C12" i="46"/>
  <c r="C100" i="46"/>
  <c r="A7" i="46"/>
  <c r="AH6" i="59"/>
  <c r="AG6" i="59"/>
  <c r="AE6" i="59"/>
  <c r="AF6" i="59" s="1"/>
  <c r="AD6" i="59"/>
  <c r="I3" i="59"/>
  <c r="L3" i="59"/>
  <c r="K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E7" i="59"/>
  <c r="AF7" i="59"/>
  <c r="AG7" i="59"/>
  <c r="AH7" i="59"/>
  <c r="AD7" i="59"/>
  <c r="L4" i="9"/>
  <c r="A30" i="51" s="1"/>
  <c r="M4" i="9"/>
  <c r="A30" i="64"/>
  <c r="K59" i="15"/>
  <c r="P62" i="15" s="1"/>
  <c r="P75" i="15"/>
  <c r="Q74" i="44"/>
  <c r="Q61" i="44"/>
  <c r="Q60" i="44"/>
  <c r="Q53" i="44"/>
  <c r="A16" i="55"/>
  <c r="A15" i="55"/>
  <c r="A14" i="55"/>
  <c r="A11" i="55"/>
  <c r="A10" i="55"/>
  <c r="A9" i="55"/>
  <c r="A8" i="55"/>
  <c r="A6" i="54"/>
  <c r="A8" i="54"/>
  <c r="A7" i="54"/>
  <c r="B51" i="63" s="1"/>
  <c r="A28" i="51"/>
  <c r="A27" i="51"/>
  <c r="K75" i="9"/>
  <c r="K6" i="4"/>
  <c r="O76" i="9" s="1"/>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s="1"/>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3" i="65"/>
  <c r="N1" i="65"/>
  <c r="T7"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A21" i="64"/>
  <c r="B75" i="63"/>
  <c r="B73" i="63"/>
  <c r="C57" i="10"/>
  <c r="A28" i="64" s="1"/>
  <c r="A27" i="64"/>
  <c r="A15" i="64"/>
  <c r="A14" i="64"/>
  <c r="A11" i="64"/>
  <c r="A3" i="64"/>
  <c r="A45" i="9"/>
  <c r="A44" i="9"/>
  <c r="K39" i="9" s="1"/>
  <c r="C56" i="10"/>
  <c r="C55" i="10"/>
  <c r="C54" i="10"/>
  <c r="B49" i="63"/>
  <c r="B44" i="63"/>
  <c r="B40" i="63"/>
  <c r="B30" i="63"/>
  <c r="B27" i="63"/>
  <c r="B25" i="63"/>
  <c r="A11" i="51"/>
  <c r="A26" i="64"/>
  <c r="A26" i="51"/>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G5" i="54"/>
  <c r="B34" i="63" s="1"/>
  <c r="E5" i="54"/>
  <c r="B32" i="63" s="1"/>
  <c r="R2" i="54"/>
  <c r="B24" i="63" s="1"/>
  <c r="B19" i="63"/>
  <c r="B49" i="50"/>
  <c r="B5" i="63"/>
  <c r="B40" i="50"/>
  <c r="B3" i="63"/>
  <c r="N4" i="63"/>
  <c r="B21" i="63"/>
  <c r="B67" i="63"/>
  <c r="I19" i="46"/>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O51" i="59" s="1"/>
  <c r="B51" i="59"/>
  <c r="N51" i="59"/>
  <c r="F50" i="59"/>
  <c r="F49" i="59"/>
  <c r="Q49" i="59" s="1"/>
  <c r="B50" i="59"/>
  <c r="N50"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c r="D33" i="59" s="1"/>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U23" i="59"/>
  <c r="S23" i="59"/>
  <c r="U19" i="59"/>
  <c r="S19" i="59"/>
  <c r="S15" i="59"/>
  <c r="U15" i="59"/>
  <c r="B34" i="59"/>
  <c r="B35" i="59" s="1"/>
  <c r="S35" i="59" s="1"/>
  <c r="S51" i="59"/>
  <c r="V15" i="59"/>
  <c r="V19" i="59"/>
  <c r="V23" i="59"/>
  <c r="F26" i="59"/>
  <c r="F27" i="59" s="1"/>
  <c r="V27" i="59" s="1"/>
  <c r="F38" i="59"/>
  <c r="F39" i="59" s="1"/>
  <c r="V39" i="59" s="1"/>
  <c r="F46" i="59"/>
  <c r="F47" i="59" s="1"/>
  <c r="V47" i="59" s="1"/>
  <c r="C34" i="59"/>
  <c r="C35" i="59" s="1"/>
  <c r="C42" i="59"/>
  <c r="D42" i="59" s="1"/>
  <c r="E49" i="59"/>
  <c r="P48" i="59" s="1"/>
  <c r="B49" i="59"/>
  <c r="N48" i="59" s="1"/>
  <c r="Q50" i="59"/>
  <c r="T51" i="59"/>
  <c r="D51" i="59"/>
  <c r="P51" i="59"/>
  <c r="U51" i="59"/>
  <c r="Q51" i="59"/>
  <c r="E54" i="59"/>
  <c r="E53" i="59" s="1"/>
  <c r="D55" i="59"/>
  <c r="C58" i="59"/>
  <c r="E58" i="59"/>
  <c r="E57" i="59" s="1"/>
  <c r="D59" i="59"/>
  <c r="E62" i="59"/>
  <c r="E61" i="59" s="1"/>
  <c r="D63" i="59"/>
  <c r="C70" i="59"/>
  <c r="D70" i="59" s="1"/>
  <c r="U16" i="4"/>
  <c r="S16" i="4"/>
  <c r="Q16" i="4"/>
  <c r="O16" i="4"/>
  <c r="N16" i="4" s="1"/>
  <c r="M16" i="4"/>
  <c r="K16" i="4"/>
  <c r="P49" i="59"/>
  <c r="C69" i="59"/>
  <c r="D69" i="59" s="1"/>
  <c r="D58" i="59"/>
  <c r="C57" i="59"/>
  <c r="D57" i="59"/>
  <c r="N49" i="59"/>
  <c r="C43" i="59"/>
  <c r="T43" i="59" s="1"/>
  <c r="D34" i="59"/>
  <c r="L16" i="4"/>
  <c r="D4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27" i="40"/>
  <c r="AA27" i="40" s="1"/>
  <c r="Q31" i="39"/>
  <c r="Z31" i="39" s="1"/>
  <c r="D105" i="39"/>
  <c r="E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F96" i="40"/>
  <c r="H27" i="40"/>
  <c r="F105" i="39"/>
  <c r="H31" i="39"/>
  <c r="F23" i="15"/>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H81" i="46"/>
  <c r="G99" i="46"/>
  <c r="G108" i="46"/>
  <c r="H99" i="46"/>
  <c r="H108" i="46"/>
  <c r="I99" i="46"/>
  <c r="I108" i="46"/>
  <c r="J99" i="46"/>
  <c r="J108" i="46"/>
  <c r="K99" i="46"/>
  <c r="K108" i="46"/>
  <c r="L99" i="46"/>
  <c r="M99" i="46"/>
  <c r="M108" i="46" s="1"/>
  <c r="L108" i="46"/>
  <c r="K100" i="46"/>
  <c r="D100" i="46"/>
  <c r="L100" i="46"/>
  <c r="K58" i="46"/>
  <c r="J58" i="46" s="1"/>
  <c r="K50" i="46"/>
  <c r="J50" i="46" s="1"/>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M65" i="46"/>
  <c r="N65" i="46" s="1"/>
  <c r="K65" i="46"/>
  <c r="J65" i="46" s="1"/>
  <c r="N64" i="46"/>
  <c r="K64" i="46"/>
  <c r="J64" i="46"/>
  <c r="M63" i="46"/>
  <c r="N63" i="46"/>
  <c r="K63" i="46"/>
  <c r="J63" i="46"/>
  <c r="N62" i="46"/>
  <c r="K62" i="46"/>
  <c r="J62" i="46" s="1"/>
  <c r="M61" i="46"/>
  <c r="N61" i="46" s="1"/>
  <c r="K61" i="46"/>
  <c r="J61" i="46" s="1"/>
  <c r="M60" i="46"/>
  <c r="N60" i="46" s="1"/>
  <c r="K60" i="46"/>
  <c r="J60" i="46" s="1"/>
  <c r="N59" i="46"/>
  <c r="K59" i="46"/>
  <c r="J59" i="46"/>
  <c r="M58" i="46"/>
  <c r="N58" i="46"/>
  <c r="M55" i="46"/>
  <c r="N55" i="46"/>
  <c r="K55" i="46"/>
  <c r="M54" i="46"/>
  <c r="N54" i="46" s="1"/>
  <c r="K54" i="46"/>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N73" i="46"/>
  <c r="J66" i="46"/>
  <c r="J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C42" i="1"/>
  <c r="A12" i="1"/>
  <c r="R12" i="1" s="1"/>
  <c r="A13" i="1"/>
  <c r="B13" i="1" s="1"/>
  <c r="E13" i="1" s="1"/>
  <c r="A7" i="1"/>
  <c r="A8" i="1"/>
  <c r="A9" i="1"/>
  <c r="A10" i="1"/>
  <c r="R10" i="1" s="1"/>
  <c r="A11" i="1"/>
  <c r="T4"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c r="F23" i="4"/>
  <c r="D19" i="4"/>
  <c r="I19" i="4"/>
  <c r="H19" i="4"/>
  <c r="G19" i="4"/>
  <c r="F9" i="1"/>
  <c r="F8" i="1"/>
  <c r="E19" i="4"/>
  <c r="F7" i="1"/>
  <c r="B2" i="52"/>
  <c r="E22" i="52" s="1"/>
  <c r="F41" i="4"/>
  <c r="J52" i="40"/>
  <c r="H61" i="49"/>
  <c r="E19" i="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c r="N67" i="9"/>
  <c r="K44" i="9"/>
  <c r="K43" i="9"/>
  <c r="B31" i="1"/>
  <c r="E10" i="11" s="1"/>
  <c r="B22" i="1"/>
  <c r="C2" i="65" s="1"/>
  <c r="B23" i="1"/>
  <c r="BC11" i="3"/>
  <c r="BD11" i="3"/>
  <c r="C11" i="11"/>
  <c r="C10" i="1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I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31" i="33"/>
  <c r="AA27" i="33"/>
  <c r="AB27" i="33"/>
  <c r="S45" i="21"/>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BT5" i="3"/>
  <c r="J57" i="39"/>
  <c r="H13" i="40"/>
  <c r="U13" i="40" s="1"/>
  <c r="H12" i="48"/>
  <c r="I4" i="4"/>
  <c r="K141" i="21"/>
  <c r="K143" i="21"/>
  <c r="K144" i="21"/>
  <c r="I59" i="40"/>
  <c r="C59" i="40" s="1"/>
  <c r="I60" i="40"/>
  <c r="C60" i="40" s="1"/>
  <c r="W9" i="33"/>
  <c r="H7" i="48"/>
  <c r="H16" i="48"/>
  <c r="H9" i="48"/>
  <c r="H8" i="48"/>
  <c r="AB16" i="35"/>
  <c r="AA43" i="21"/>
  <c r="U43" i="21"/>
  <c r="AA13" i="40"/>
  <c r="E78" i="40"/>
  <c r="F78" i="40"/>
  <c r="G78" i="40" s="1"/>
  <c r="H78" i="40" s="1"/>
  <c r="I78" i="40" s="1"/>
  <c r="J78" i="40"/>
  <c r="K78" i="40" s="1"/>
  <c r="L78" i="40" s="1"/>
  <c r="M78" i="40" s="1"/>
  <c r="BH5" i="3"/>
  <c r="R16" i="4"/>
  <c r="P16" i="4"/>
  <c r="D3" i="35"/>
  <c r="G4" i="4"/>
  <c r="S37" i="34"/>
  <c r="J16" i="35"/>
  <c r="W16" i="35" s="1"/>
  <c r="U42" i="21"/>
  <c r="AC26" i="36"/>
  <c r="W25" i="35"/>
  <c r="H13" i="39"/>
  <c r="AB13" i="39"/>
  <c r="F13" i="39"/>
  <c r="J13" i="39"/>
  <c r="AC13" i="39" s="1"/>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19" i="39"/>
  <c r="S19" i="39" s="1"/>
  <c r="H19" i="39"/>
  <c r="J19" i="39"/>
  <c r="W19" i="39"/>
  <c r="F43" i="39"/>
  <c r="H43" i="39"/>
  <c r="U43" i="39" s="1"/>
  <c r="J43" i="39"/>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J5" i="3"/>
  <c r="BB5"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B41" i="1"/>
  <c r="J42" i="40"/>
  <c r="AC42" i="40"/>
  <c r="J40" i="40"/>
  <c r="AC40" i="40"/>
  <c r="J34" i="40"/>
  <c r="AC34" i="40"/>
  <c r="H16" i="40"/>
  <c r="AB16" i="40"/>
  <c r="H14" i="40"/>
  <c r="U14" i="40"/>
  <c r="F32" i="40"/>
  <c r="AA32" i="40"/>
  <c r="M1" i="46"/>
  <c r="M6" i="46"/>
  <c r="M10" i="46"/>
  <c r="N2" i="46"/>
  <c r="N5" i="46"/>
  <c r="H49" i="46"/>
  <c r="N7" i="46"/>
  <c r="M7" i="46"/>
  <c r="M11" i="46"/>
  <c r="N3" i="46"/>
  <c r="N6" i="46"/>
  <c r="N10" i="46"/>
  <c r="F58" i="46" s="1"/>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D73" i="9"/>
  <c r="N73" i="9"/>
  <c r="AP11" i="1"/>
  <c r="B11" i="1"/>
  <c r="E11" i="1" s="1"/>
  <c r="K11" i="1"/>
  <c r="M11" i="1" s="1"/>
  <c r="B9" i="1"/>
  <c r="E9" i="1" s="1"/>
  <c r="K9" i="1"/>
  <c r="M9" i="1" s="1"/>
  <c r="B7" i="1"/>
  <c r="E7" i="1" s="1"/>
  <c r="K7" i="1"/>
  <c r="M7" i="1" s="1"/>
  <c r="C20" i="43"/>
  <c r="AP6" i="1"/>
  <c r="G11" i="1"/>
  <c r="M22" i="44"/>
  <c r="F32" i="15"/>
  <c r="F59" i="15" s="1"/>
  <c r="F29" i="12"/>
  <c r="F70" i="9"/>
  <c r="D86" i="9"/>
  <c r="M20" i="44"/>
  <c r="F31" i="43"/>
  <c r="C31" i="43" s="1"/>
  <c r="F30" i="44"/>
  <c r="C30" i="44"/>
  <c r="C27" i="43"/>
  <c r="C25" i="12"/>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c r="C53" i="10"/>
  <c r="A25" i="64" s="1"/>
  <c r="A18" i="51"/>
  <c r="B14" i="63" s="1"/>
  <c r="C24" i="12"/>
  <c r="F3" i="35"/>
  <c r="K1" i="43"/>
  <c r="K1" i="12"/>
  <c r="H22" i="46"/>
  <c r="BK5" i="3"/>
  <c r="BO5" i="3"/>
  <c r="BP5" i="3"/>
  <c r="BN5" i="3"/>
  <c r="BC5" i="3"/>
  <c r="E8" i="6"/>
  <c r="BD5" i="3"/>
  <c r="BR5" i="3"/>
  <c r="G28" i="6"/>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8" i="46"/>
  <c r="M3" i="46"/>
  <c r="M5" i="46"/>
  <c r="H6" i="48"/>
  <c r="H15" i="48"/>
  <c r="H5" i="48"/>
  <c r="H14" i="48"/>
  <c r="H13" i="48"/>
  <c r="H11" i="48"/>
  <c r="B78" i="46"/>
  <c r="B67" i="46"/>
  <c r="A4" i="64"/>
  <c r="A4" i="51"/>
  <c r="B6" i="63" s="1"/>
  <c r="C51" i="10"/>
  <c r="H71" i="46"/>
  <c r="H75" i="46"/>
  <c r="H76" i="46"/>
  <c r="I100" i="46"/>
  <c r="N100" i="46"/>
  <c r="H100" i="46"/>
  <c r="H80" i="46"/>
  <c r="B45" i="46"/>
  <c r="AB11" i="46"/>
  <c r="AB13" i="46"/>
  <c r="G100" i="46"/>
  <c r="H84" i="46"/>
  <c r="J100" i="46"/>
  <c r="M100" i="46"/>
  <c r="AA12" i="36"/>
  <c r="U12" i="35"/>
  <c r="AB12" i="35"/>
  <c r="W11" i="35"/>
  <c r="AA11" i="35"/>
  <c r="S14" i="37"/>
  <c r="U13" i="37"/>
  <c r="S13" i="21"/>
  <c r="C24" i="9"/>
  <c r="C25" i="9"/>
  <c r="AP7" i="1"/>
  <c r="G7" i="1"/>
  <c r="AP9" i="1"/>
  <c r="G9" i="1"/>
  <c r="AP8" i="1"/>
  <c r="G8" i="1"/>
  <c r="L5" i="54"/>
  <c r="B39" i="63" s="1"/>
  <c r="K5" i="54"/>
  <c r="B38" i="63" s="1"/>
  <c r="T41" i="4"/>
  <c r="A17" i="64" s="1"/>
  <c r="B46" i="50"/>
  <c r="B4" i="63" s="1"/>
  <c r="C46" i="36"/>
  <c r="D46" i="36" s="1"/>
  <c r="C59" i="34"/>
  <c r="D59" i="34" s="1"/>
  <c r="C48" i="35"/>
  <c r="D48" i="35"/>
  <c r="C52" i="37"/>
  <c r="D52" i="37"/>
  <c r="C67" i="40"/>
  <c r="D65" i="40"/>
  <c r="C72" i="39"/>
  <c r="D70" i="39"/>
  <c r="K17" i="4"/>
  <c r="A22" i="51"/>
  <c r="B16" i="63" s="1"/>
  <c r="H77" i="46"/>
  <c r="H73" i="46"/>
  <c r="H69" i="46"/>
  <c r="H74" i="46"/>
  <c r="H86" i="46"/>
  <c r="H82" i="46"/>
  <c r="H10" i="48"/>
  <c r="H87" i="46"/>
  <c r="H85" i="46"/>
  <c r="H83" i="46"/>
  <c r="O13" i="1"/>
  <c r="P13" i="1" s="1"/>
  <c r="K10" i="1"/>
  <c r="M10" i="1" s="1"/>
  <c r="S11" i="1"/>
  <c r="R11" i="1"/>
  <c r="S13" i="1"/>
  <c r="R13" i="1"/>
  <c r="B6" i="1"/>
  <c r="E6" i="1" s="1"/>
  <c r="B10" i="1"/>
  <c r="E10" i="1" s="1"/>
  <c r="S10" i="1"/>
  <c r="B8" i="1"/>
  <c r="E8" i="1"/>
  <c r="B12" i="1"/>
  <c r="E12" i="1"/>
  <c r="S12" i="1"/>
  <c r="K6" i="1"/>
  <c r="M6" i="1" s="1"/>
  <c r="O6" i="1" s="1"/>
  <c r="C15" i="43"/>
  <c r="O12" i="1"/>
  <c r="P12" i="1"/>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7" i="52"/>
  <c r="E6" i="52"/>
  <c r="E4" i="4" s="1"/>
  <c r="B21" i="55" s="1"/>
  <c r="B72" i="63" s="1"/>
  <c r="B14" i="52"/>
  <c r="E21" i="52"/>
  <c r="B22" i="52"/>
  <c r="B13" i="52"/>
  <c r="B5" i="52"/>
  <c r="E8" i="52"/>
  <c r="B11" i="52"/>
  <c r="E16" i="52"/>
  <c r="E4" i="52"/>
  <c r="D24" i="15"/>
  <c r="AG6" i="1"/>
  <c r="G6" i="1"/>
  <c r="AE11" i="46"/>
  <c r="AE13" i="46" s="1"/>
  <c r="F29" i="6"/>
  <c r="F28" i="6"/>
  <c r="E28" i="6" s="1"/>
  <c r="AJ11" i="46"/>
  <c r="AJ13" i="46" s="1"/>
  <c r="G101" i="46"/>
  <c r="G102" i="46" s="1"/>
  <c r="H101" i="46"/>
  <c r="H102" i="46" s="1"/>
  <c r="I101" i="46"/>
  <c r="J101" i="46"/>
  <c r="J102" i="46" s="1"/>
  <c r="K101" i="46"/>
  <c r="K102" i="46" s="1"/>
  <c r="L101" i="46"/>
  <c r="L102" i="46" s="1"/>
  <c r="M101" i="46"/>
  <c r="M102" i="46" s="1"/>
  <c r="N102" i="46"/>
  <c r="H103" i="46"/>
  <c r="J103" i="46"/>
  <c r="L103" i="46"/>
  <c r="N103" i="46"/>
  <c r="H104" i="46"/>
  <c r="J104" i="46"/>
  <c r="L104" i="46"/>
  <c r="N104" i="46"/>
  <c r="H105" i="46"/>
  <c r="J105" i="46"/>
  <c r="L105" i="46"/>
  <c r="N105" i="46"/>
  <c r="H106" i="46"/>
  <c r="J106" i="46"/>
  <c r="L106" i="46"/>
  <c r="N106" i="46"/>
  <c r="H107" i="46"/>
  <c r="J107" i="46"/>
  <c r="L107" i="46"/>
  <c r="N107" i="46"/>
  <c r="AF11" i="46"/>
  <c r="AF13" i="46" s="1"/>
  <c r="AI11" i="46"/>
  <c r="AI13" i="46" s="1"/>
  <c r="AA11" i="46"/>
  <c r="AA13" i="46" s="1"/>
  <c r="AH11" i="46"/>
  <c r="AD11" i="46"/>
  <c r="Z11" i="46"/>
  <c r="Z13" i="46" s="1"/>
  <c r="Y11" i="46"/>
  <c r="Y13" i="46"/>
  <c r="AG11" i="46"/>
  <c r="AG13" i="46"/>
  <c r="AC11" i="46"/>
  <c r="AC13" i="46"/>
  <c r="Z7" i="46"/>
  <c r="N104" i="4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D21" i="12" s="1"/>
  <c r="C21" i="12" s="1"/>
  <c r="P6" i="1"/>
  <c r="C15" i="12"/>
  <c r="E12" i="6"/>
  <c r="E64" i="39"/>
  <c r="G29" i="6"/>
  <c r="G30" i="6"/>
  <c r="G31" i="6" s="1"/>
  <c r="E14" i="6"/>
  <c r="E66" i="39" s="1"/>
  <c r="E10" i="6"/>
  <c r="E15" i="6"/>
  <c r="E62" i="40" s="1"/>
  <c r="G16" i="1"/>
  <c r="H12" i="40" s="1"/>
  <c r="F30" i="6"/>
  <c r="F31" i="6" s="1"/>
  <c r="E13" i="6"/>
  <c r="E60" i="40" s="1"/>
  <c r="E11" i="6"/>
  <c r="H70" i="46"/>
  <c r="H72" i="46"/>
  <c r="A9" i="64"/>
  <c r="A9" i="51"/>
  <c r="B9" i="63" s="1"/>
  <c r="A25" i="51"/>
  <c r="B18" i="63" s="1"/>
  <c r="A3" i="55"/>
  <c r="B56" i="63"/>
  <c r="E52" i="37"/>
  <c r="F52" i="37" s="1"/>
  <c r="E48" i="35"/>
  <c r="F48" i="35" s="1"/>
  <c r="D72" i="39"/>
  <c r="E70" i="39"/>
  <c r="F70" i="39" s="1"/>
  <c r="D67" i="40"/>
  <c r="E65" i="40"/>
  <c r="F65" i="40" s="1"/>
  <c r="F67" i="40" s="1"/>
  <c r="G66" i="36"/>
  <c r="J18" i="36"/>
  <c r="AE8" i="1"/>
  <c r="AE7" i="1"/>
  <c r="AE6" i="1"/>
  <c r="F33" i="44"/>
  <c r="F31" i="15"/>
  <c r="F58" i="15"/>
  <c r="M17" i="15"/>
  <c r="M19" i="44"/>
  <c r="L109" i="46"/>
  <c r="G109" i="46"/>
  <c r="M109" i="46"/>
  <c r="H109" i="46"/>
  <c r="W18" i="36"/>
  <c r="AC18" i="36"/>
  <c r="F12" i="39"/>
  <c r="AA12" i="39" s="1"/>
  <c r="J12" i="39"/>
  <c r="AC12" i="39" s="1"/>
  <c r="D12" i="11"/>
  <c r="C12" i="11" s="1"/>
  <c r="E59" i="40"/>
  <c r="E29" i="6"/>
  <c r="L20" i="6"/>
  <c r="E58" i="40"/>
  <c r="E63" i="39"/>
  <c r="K14" i="1"/>
  <c r="M14" i="1" s="1"/>
  <c r="T13" i="1" s="1"/>
  <c r="L19" i="6"/>
  <c r="K15" i="1"/>
  <c r="E67" i="39"/>
  <c r="E61" i="40"/>
  <c r="F7" i="21"/>
  <c r="AA7" i="21" s="1"/>
  <c r="J7" i="21"/>
  <c r="H7" i="21"/>
  <c r="AB7" i="21" s="1"/>
  <c r="E72" i="39"/>
  <c r="J22" i="46"/>
  <c r="L27" i="6"/>
  <c r="S7" i="1"/>
  <c r="S16" i="1" s="1"/>
  <c r="S6" i="1"/>
  <c r="S8" i="1"/>
  <c r="S9" i="1"/>
  <c r="AC7" i="21"/>
  <c r="V48" i="21" s="1"/>
  <c r="I48" i="21" s="1"/>
  <c r="G53" i="21" s="1"/>
  <c r="H53" i="21" s="1"/>
  <c r="W7" i="21"/>
  <c r="U7" i="21"/>
  <c r="T48" i="21"/>
  <c r="G48" i="21" s="1"/>
  <c r="S7" i="21"/>
  <c r="R48" i="21"/>
  <c r="R49" i="21" s="1"/>
  <c r="C49" i="21" s="1"/>
  <c r="G65" i="40"/>
  <c r="H65" i="40" s="1"/>
  <c r="H67" i="40" s="1"/>
  <c r="M16" i="1"/>
  <c r="C13" i="43" s="1"/>
  <c r="I52" i="21"/>
  <c r="J52" i="21" s="1"/>
  <c r="E48" i="21"/>
  <c r="G52" i="21"/>
  <c r="H52" i="21" s="1"/>
  <c r="G67" i="40"/>
  <c r="B2" i="66"/>
  <c r="T9" i="1"/>
  <c r="T11" i="1"/>
  <c r="T12" i="1"/>
  <c r="L16" i="1"/>
  <c r="R9" i="1"/>
  <c r="E53" i="21"/>
  <c r="F53" i="21" s="1"/>
  <c r="E52" i="21"/>
  <c r="F52" i="21" s="1"/>
  <c r="C48" i="21"/>
  <c r="B3" i="21"/>
  <c r="B2" i="21" s="1"/>
  <c r="I53" i="21"/>
  <c r="J53" i="21" s="1"/>
  <c r="I65" i="40"/>
  <c r="J65" i="40" s="1"/>
  <c r="K65" i="40" s="1"/>
  <c r="L65" i="40" s="1"/>
  <c r="L67" i="40" s="1"/>
  <c r="R7" i="1"/>
  <c r="R8" i="1"/>
  <c r="R6" i="1"/>
  <c r="R16" i="1" s="1"/>
  <c r="M65" i="40"/>
  <c r="N65" i="40"/>
  <c r="N67" i="40" s="1"/>
  <c r="M67" i="40"/>
  <c r="C45" i="9"/>
  <c r="H14" i="66"/>
  <c r="B7" i="66" s="1"/>
  <c r="D7" i="66" s="1"/>
  <c r="C44" i="9"/>
  <c r="G14" i="66"/>
  <c r="B6" i="66" s="1"/>
  <c r="D6" i="66" s="1"/>
  <c r="O40" i="9"/>
  <c r="K31" i="9" s="1"/>
  <c r="K32" i="9" s="1"/>
  <c r="N69" i="9"/>
  <c r="O39" i="9"/>
  <c r="K29" i="9"/>
  <c r="M86" i="9"/>
  <c r="N86" i="9"/>
  <c r="M84" i="9"/>
  <c r="N84" i="9"/>
  <c r="M88" i="9"/>
  <c r="N88" i="9"/>
  <c r="M87" i="9"/>
  <c r="N87" i="9"/>
  <c r="M85" i="9"/>
  <c r="N85" i="9"/>
  <c r="M83" i="9"/>
  <c r="N83" i="9"/>
  <c r="K30" i="9"/>
  <c r="R6" i="54"/>
  <c r="B50" i="63" s="1"/>
  <c r="N89" i="9"/>
  <c r="O89" i="9" s="1"/>
  <c r="N76" i="9"/>
  <c r="C46" i="9"/>
  <c r="K33" i="9"/>
  <c r="K34" i="9" s="1"/>
  <c r="O41" i="9"/>
  <c r="R8" i="54" s="1"/>
  <c r="B54" i="63" s="1"/>
  <c r="I14" i="66"/>
  <c r="B8" i="66"/>
  <c r="D8" i="66"/>
  <c r="F10" i="67"/>
  <c r="B13" i="67"/>
  <c r="N3" i="65"/>
  <c r="M26" i="15"/>
  <c r="L47" i="15"/>
  <c r="F38" i="15"/>
  <c r="F35" i="15"/>
  <c r="M21" i="15"/>
  <c r="D20" i="9"/>
  <c r="I4" i="65"/>
  <c r="F11" i="67"/>
  <c r="E8" i="67"/>
  <c r="E12" i="67"/>
  <c r="B8" i="67"/>
  <c r="B12" i="67"/>
  <c r="N7" i="65"/>
  <c r="N5" i="65"/>
  <c r="J5" i="65"/>
  <c r="J3" i="65"/>
  <c r="M24" i="15"/>
  <c r="F6" i="15"/>
  <c r="M22" i="15"/>
  <c r="M8" i="15"/>
  <c r="F43" i="15"/>
  <c r="M29" i="15"/>
  <c r="F8" i="67"/>
  <c r="F12" i="67"/>
  <c r="E9" i="67"/>
  <c r="E13" i="67"/>
  <c r="B11" i="67"/>
  <c r="I3" i="65"/>
  <c r="J6" i="65"/>
  <c r="I5" i="65"/>
  <c r="I6" i="65"/>
  <c r="M27" i="15"/>
  <c r="M28" i="15"/>
  <c r="F16" i="15"/>
  <c r="J36" i="15"/>
  <c r="F36" i="15"/>
  <c r="M9" i="15"/>
  <c r="F13" i="15"/>
  <c r="F41" i="15"/>
  <c r="D21" i="9"/>
  <c r="L48" i="15"/>
  <c r="F9" i="67"/>
  <c r="F13" i="67"/>
  <c r="E10" i="67"/>
  <c r="E14" i="67"/>
  <c r="B10" i="67"/>
  <c r="B14" i="67"/>
  <c r="J7" i="65"/>
  <c r="N4" i="65"/>
  <c r="N6" i="65"/>
  <c r="M6" i="15"/>
  <c r="F26" i="15"/>
  <c r="F42" i="15"/>
  <c r="F40" i="15"/>
  <c r="M23" i="15"/>
  <c r="F37" i="15"/>
  <c r="J15" i="15"/>
  <c r="F14" i="67"/>
  <c r="E11" i="67"/>
  <c r="B9" i="67"/>
  <c r="I7" i="65"/>
  <c r="J4" i="65"/>
  <c r="F7" i="15"/>
  <c r="F8" i="15"/>
  <c r="F9" i="15"/>
  <c r="D19" i="9"/>
  <c r="AA5" i="59" l="1"/>
  <c r="H58" i="46"/>
  <c r="H62" i="46"/>
  <c r="H66" i="46"/>
  <c r="H59" i="46"/>
  <c r="H60" i="46"/>
  <c r="H61" i="46"/>
  <c r="H65" i="46"/>
  <c r="H63" i="46"/>
  <c r="H64" i="46"/>
  <c r="C6" i="46"/>
  <c r="E5" i="52"/>
  <c r="B6" i="52"/>
  <c r="B16" i="52"/>
  <c r="B23" i="52"/>
  <c r="E10" i="52"/>
  <c r="C4" i="4" s="1"/>
  <c r="B20" i="55" s="1"/>
  <c r="B70" i="63" s="1"/>
  <c r="E9" i="52"/>
  <c r="B8" i="52"/>
  <c r="B4" i="52"/>
  <c r="B9" i="52"/>
  <c r="B10" i="52"/>
  <c r="B7" i="52"/>
  <c r="E11" i="52"/>
  <c r="C14" i="43"/>
  <c r="C17" i="43"/>
  <c r="AB12" i="40"/>
  <c r="U12" i="40"/>
  <c r="R7" i="54"/>
  <c r="B52" i="63" s="1"/>
  <c r="K67" i="40"/>
  <c r="J67" i="40"/>
  <c r="I67" i="40"/>
  <c r="N16" i="1"/>
  <c r="C29" i="43" s="1"/>
  <c r="T8" i="1"/>
  <c r="T16" i="1" s="1"/>
  <c r="T6" i="1"/>
  <c r="T10" i="1"/>
  <c r="T7" i="1"/>
  <c r="O14" i="1"/>
  <c r="P14" i="1" s="1"/>
  <c r="K16" i="1"/>
  <c r="W12" i="39"/>
  <c r="S12" i="39"/>
  <c r="E67" i="40"/>
  <c r="F12" i="40"/>
  <c r="I102" i="46"/>
  <c r="I109" i="46"/>
  <c r="E30" i="6"/>
  <c r="O10" i="1"/>
  <c r="P10" i="1" s="1"/>
  <c r="F72" i="39"/>
  <c r="G70" i="39"/>
  <c r="E16" i="6"/>
  <c r="E65" i="39"/>
  <c r="J12" i="40"/>
  <c r="H12" i="39"/>
  <c r="P7" i="1"/>
  <c r="O7" i="1"/>
  <c r="O9" i="1"/>
  <c r="P9" i="1" s="1"/>
  <c r="O11" i="1"/>
  <c r="P11" i="1" s="1"/>
  <c r="AA31" i="33"/>
  <c r="S31" i="33"/>
  <c r="U45" i="33"/>
  <c r="AB45" i="33"/>
  <c r="W24" i="36"/>
  <c r="AC24" i="36"/>
  <c r="U27" i="37"/>
  <c r="AB27" i="37"/>
  <c r="Q16" i="1"/>
  <c r="H16" i="1"/>
  <c r="S12" i="21"/>
  <c r="AA12" i="21"/>
  <c r="S28" i="34"/>
  <c r="AA28" i="34"/>
  <c r="AB15" i="37"/>
  <c r="U12" i="37"/>
  <c r="AA23" i="37"/>
  <c r="AC23" i="37"/>
  <c r="AC28" i="33"/>
  <c r="W42" i="21"/>
  <c r="AB30" i="21"/>
  <c r="U30" i="33"/>
  <c r="S22" i="35"/>
  <c r="F9" i="36"/>
  <c r="H9" i="36"/>
  <c r="H24" i="36"/>
  <c r="C92" i="9"/>
  <c r="P8" i="1"/>
  <c r="O8" i="1"/>
  <c r="D22" i="15"/>
  <c r="D23" i="15"/>
  <c r="D35" i="59"/>
  <c r="T35" i="59"/>
  <c r="G5" i="3"/>
  <c r="B3" i="3" s="1"/>
  <c r="AP16" i="1"/>
  <c r="F22" i="11" s="1"/>
  <c r="E26" i="57"/>
  <c r="D25" i="59"/>
  <c r="C26" i="59"/>
  <c r="C38" i="59"/>
  <c r="D37" i="59"/>
  <c r="C46" i="59"/>
  <c r="D45" i="59"/>
  <c r="B54" i="46"/>
  <c r="C27" i="40"/>
  <c r="S27" i="40"/>
  <c r="S21" i="34"/>
  <c r="S18" i="35"/>
  <c r="C66" i="59"/>
  <c r="C62" i="59"/>
  <c r="C54" i="59"/>
  <c r="C50" i="59"/>
  <c r="D29" i="59"/>
  <c r="Q48" i="59"/>
  <c r="AD12" i="46"/>
  <c r="AD13" i="46" s="1"/>
  <c r="AH12" i="46"/>
  <c r="AH13" i="46" s="1"/>
  <c r="K76" i="9"/>
  <c r="K77" i="9" s="1"/>
  <c r="K79" i="9" s="1"/>
  <c r="K81" i="9"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73" i="3"/>
  <c r="AZ473" i="3" s="1"/>
  <c r="BA472" i="3"/>
  <c r="AZ472" i="3" s="1"/>
  <c r="BL469" i="3"/>
  <c r="AZ469" i="3" s="1"/>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L253" i="3"/>
  <c r="AZ253" i="3" s="1"/>
  <c r="BA252" i="3"/>
  <c r="AZ252" i="3" s="1"/>
  <c r="BA254" i="3"/>
  <c r="AZ254" i="3" s="1"/>
  <c r="BL251" i="3"/>
  <c r="AZ251" i="3" s="1"/>
  <c r="BA250" i="3"/>
  <c r="AZ250"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A18" i="3"/>
  <c r="AZ18" i="3" s="1"/>
  <c r="BL15" i="3"/>
  <c r="AZ15" i="3" s="1"/>
  <c r="BA14" i="3"/>
  <c r="N109" i="46"/>
  <c r="C23" i="46" s="1"/>
  <c r="C10" i="59"/>
  <c r="D11" i="59"/>
  <c r="C6" i="59"/>
  <c r="D7" i="59"/>
  <c r="BL17" i="3"/>
  <c r="AZ17" i="3" s="1"/>
  <c r="BA16" i="3"/>
  <c r="AZ16" i="3" s="1"/>
  <c r="BL13" i="3"/>
  <c r="BL5" i="3" s="1"/>
  <c r="E9" i="46"/>
  <c r="E11" i="46"/>
  <c r="E8" i="46"/>
  <c r="E10" i="46"/>
  <c r="E58" i="46"/>
  <c r="B56" i="46" s="1"/>
  <c r="C24" i="46" s="1"/>
  <c r="F101" i="46"/>
  <c r="E107" i="46"/>
  <c r="E103" i="46"/>
  <c r="E17" i="46"/>
  <c r="G22" i="46"/>
  <c r="G1" i="44"/>
  <c r="F34" i="46"/>
  <c r="F36" i="46"/>
  <c r="F37" i="46"/>
  <c r="F39" i="46"/>
  <c r="J17" i="46"/>
  <c r="H17" i="46"/>
  <c r="AA3" i="59"/>
  <c r="C23" i="59"/>
  <c r="C19" i="59"/>
  <c r="C15" i="59"/>
  <c r="D106" i="46"/>
  <c r="D104" i="46"/>
  <c r="C106" i="46"/>
  <c r="C104" i="46"/>
  <c r="D22" i="46"/>
  <c r="C21" i="46" s="1"/>
  <c r="C8" i="66"/>
  <c r="C7" i="66"/>
  <c r="C6" i="66"/>
  <c r="K109" i="46"/>
  <c r="M107" i="46"/>
  <c r="K107" i="46"/>
  <c r="I107" i="46"/>
  <c r="G107" i="46"/>
  <c r="M106" i="46"/>
  <c r="K106" i="46"/>
  <c r="I106" i="46"/>
  <c r="G106" i="46"/>
  <c r="M105" i="46"/>
  <c r="K105" i="46"/>
  <c r="I105" i="46"/>
  <c r="G105" i="46"/>
  <c r="M104" i="46"/>
  <c r="K104" i="46"/>
  <c r="I104" i="46"/>
  <c r="G104" i="46"/>
  <c r="M103" i="46"/>
  <c r="K103" i="46"/>
  <c r="I103" i="46"/>
  <c r="G103" i="46"/>
  <c r="I117" i="46"/>
  <c r="J117" i="46" s="1"/>
  <c r="K117" i="46" s="1"/>
  <c r="L117" i="46" s="1"/>
  <c r="M117"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E109" i="46"/>
  <c r="E106" i="46"/>
  <c r="E104" i="46"/>
  <c r="G52" i="37"/>
  <c r="F7" i="36"/>
  <c r="E46" i="36"/>
  <c r="F46" i="36" s="1"/>
  <c r="G46" i="36" s="1"/>
  <c r="H46" i="36" s="1"/>
  <c r="I46" i="36" s="1"/>
  <c r="J46" i="36" s="1"/>
  <c r="K46" i="36" s="1"/>
  <c r="L46" i="36" s="1"/>
  <c r="M46" i="36" s="1"/>
  <c r="N46" i="36" s="1"/>
  <c r="O46" i="36" s="1"/>
  <c r="H7" i="36"/>
  <c r="J7" i="36"/>
  <c r="E58" i="33"/>
  <c r="F58" i="33" s="1"/>
  <c r="G58" i="33" s="1"/>
  <c r="H58" i="33" s="1"/>
  <c r="I58" i="33" s="1"/>
  <c r="J58" i="33" s="1"/>
  <c r="K58" i="33" s="1"/>
  <c r="L58" i="33" s="1"/>
  <c r="M58" i="33" s="1"/>
  <c r="N58" i="33" s="1"/>
  <c r="O58" i="33" s="1"/>
  <c r="F7" i="35"/>
  <c r="G48" i="35"/>
  <c r="H48" i="35" s="1"/>
  <c r="I48" i="35" s="1"/>
  <c r="J48" i="35" s="1"/>
  <c r="K48" i="35" s="1"/>
  <c r="L48" i="35" s="1"/>
  <c r="M48" i="35" s="1"/>
  <c r="N48" i="35" s="1"/>
  <c r="O48" i="35" s="1"/>
  <c r="J7" i="35"/>
  <c r="H7" i="35"/>
  <c r="F7" i="34"/>
  <c r="E59" i="34"/>
  <c r="F59" i="34" s="1"/>
  <c r="G59" i="34" s="1"/>
  <c r="H59" i="34" s="1"/>
  <c r="I59" i="34" s="1"/>
  <c r="J59" i="34" s="1"/>
  <c r="K59" i="34" s="1"/>
  <c r="L59" i="34" s="1"/>
  <c r="M59" i="34" s="1"/>
  <c r="N59" i="34" s="1"/>
  <c r="O59" i="34" s="1"/>
  <c r="J7" i="34"/>
  <c r="H7" i="34"/>
  <c r="P24" i="46"/>
  <c r="B68" i="40" s="1"/>
  <c r="P25" i="46"/>
  <c r="B73" i="39" s="1"/>
  <c r="P23" i="46"/>
  <c r="P22" i="46"/>
  <c r="O19" i="46"/>
  <c r="C19" i="46"/>
  <c r="P21" i="46"/>
  <c r="J20" i="15"/>
  <c r="L44" i="9"/>
  <c r="C34" i="15"/>
  <c r="F62" i="15"/>
  <c r="C61" i="15" s="1"/>
  <c r="F68" i="15"/>
  <c r="F65" i="15"/>
  <c r="F50" i="15"/>
  <c r="L58" i="15"/>
  <c r="L59" i="15"/>
  <c r="M7" i="15"/>
  <c r="J6" i="15" s="1"/>
  <c r="F49" i="15"/>
  <c r="F63" i="15"/>
  <c r="Q72" i="15"/>
  <c r="I1" i="65"/>
  <c r="F70" i="15"/>
  <c r="F64" i="15"/>
  <c r="F67" i="15"/>
  <c r="C6" i="15"/>
  <c r="C27" i="15"/>
  <c r="J1" i="65"/>
  <c r="C4" i="65"/>
  <c r="B39" i="1" s="1"/>
  <c r="J53" i="15"/>
  <c r="I54" i="15"/>
  <c r="L56" i="15"/>
  <c r="J59" i="15"/>
  <c r="J57" i="15"/>
  <c r="J55" i="15" s="1"/>
  <c r="J58" i="15" s="1"/>
  <c r="Q51" i="15" s="1"/>
  <c r="J60" i="15"/>
  <c r="Q49" i="15" s="1"/>
  <c r="E20" i="46"/>
  <c r="C16" i="15"/>
  <c r="C17" i="15"/>
  <c r="E3" i="65"/>
  <c r="E2" i="65"/>
  <c r="C14" i="15"/>
  <c r="C16" i="46" l="1"/>
  <c r="C5" i="46" s="1"/>
  <c r="C15" i="15"/>
  <c r="C18" i="15"/>
  <c r="D15" i="59"/>
  <c r="T15" i="59"/>
  <c r="D23" i="59"/>
  <c r="M19" i="46" s="1"/>
  <c r="T23" i="59"/>
  <c r="D6" i="59"/>
  <c r="C5" i="59"/>
  <c r="C9" i="59"/>
  <c r="D9" i="59" s="1"/>
  <c r="D10" i="59"/>
  <c r="AZ14" i="3"/>
  <c r="BA5" i="3"/>
  <c r="E27" i="6" s="1"/>
  <c r="C53" i="59"/>
  <c r="D53" i="59" s="1"/>
  <c r="D54" i="59"/>
  <c r="C65" i="59"/>
  <c r="D65" i="59" s="1"/>
  <c r="D66" i="59"/>
  <c r="D46" i="59"/>
  <c r="C47" i="59"/>
  <c r="D38" i="59"/>
  <c r="C39" i="59"/>
  <c r="AB9" i="36"/>
  <c r="U9" i="36"/>
  <c r="O16" i="1"/>
  <c r="AC12" i="40"/>
  <c r="W12" i="40"/>
  <c r="AA12" i="40"/>
  <c r="S12" i="40"/>
  <c r="J7" i="33"/>
  <c r="D19" i="59"/>
  <c r="T19" i="59"/>
  <c r="F102" i="46"/>
  <c r="S2" i="46" s="1"/>
  <c r="F104" i="46"/>
  <c r="F106" i="46"/>
  <c r="F103" i="46"/>
  <c r="F105" i="46"/>
  <c r="F107" i="46"/>
  <c r="C7" i="46"/>
  <c r="F109" i="46"/>
  <c r="AZ13" i="3"/>
  <c r="AZ5" i="3" s="1"/>
  <c r="C49" i="59"/>
  <c r="D50" i="59"/>
  <c r="O50" i="59"/>
  <c r="D62" i="59"/>
  <c r="C61" i="59"/>
  <c r="D61" i="59" s="1"/>
  <c r="D26" i="59"/>
  <c r="C27"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7" i="3"/>
  <c r="E411" i="3"/>
  <c r="E395" i="3"/>
  <c r="E250" i="3"/>
  <c r="E443" i="3"/>
  <c r="E156" i="3"/>
  <c r="E265" i="3"/>
  <c r="E381" i="3"/>
  <c r="E194" i="3"/>
  <c r="E49" i="3"/>
  <c r="AM6" i="3"/>
  <c r="E427" i="3"/>
  <c r="E78" i="3"/>
  <c r="E193" i="3"/>
  <c r="E337" i="3"/>
  <c r="E278" i="3"/>
  <c r="E390" i="3"/>
  <c r="E104" i="3"/>
  <c r="E158" i="3"/>
  <c r="E94" i="3"/>
  <c r="E296" i="3"/>
  <c r="E534" i="3"/>
  <c r="E472" i="3"/>
  <c r="AA6" i="3"/>
  <c r="E127" i="3"/>
  <c r="AD6" i="3"/>
  <c r="AC6" i="3" s="1"/>
  <c r="E266" i="3"/>
  <c r="E299" i="3"/>
  <c r="E215" i="3"/>
  <c r="E327" i="3"/>
  <c r="I6" i="3"/>
  <c r="H6" i="3" s="1"/>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561"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B24" i="36"/>
  <c r="U24" i="36"/>
  <c r="AA9" i="36"/>
  <c r="S9" i="36"/>
  <c r="F24" i="43"/>
  <c r="C26" i="43" s="1"/>
  <c r="D24" i="43" s="1"/>
  <c r="F33" i="12"/>
  <c r="C34" i="12" s="1"/>
  <c r="D33" i="12" s="1"/>
  <c r="F18" i="11"/>
  <c r="C18" i="11" s="1"/>
  <c r="P16" i="1"/>
  <c r="C13" i="12" s="1"/>
  <c r="U12" i="39"/>
  <c r="AB12" i="39"/>
  <c r="H70" i="39"/>
  <c r="G72" i="39"/>
  <c r="F9" i="40"/>
  <c r="J9" i="40"/>
  <c r="H9" i="40"/>
  <c r="C115" i="46"/>
  <c r="D113" i="46"/>
  <c r="S3" i="46"/>
  <c r="S7" i="46"/>
  <c r="S6" i="46"/>
  <c r="S4" i="46"/>
  <c r="S5" i="46"/>
  <c r="AC7" i="34"/>
  <c r="V49" i="34" s="1"/>
  <c r="I49" i="34" s="1"/>
  <c r="W7" i="34"/>
  <c r="AA7" i="34"/>
  <c r="R49" i="34" s="1"/>
  <c r="S7" i="34"/>
  <c r="AC7" i="35"/>
  <c r="V38" i="35" s="1"/>
  <c r="I38" i="35" s="1"/>
  <c r="W7" i="35"/>
  <c r="S7" i="35"/>
  <c r="AA7" i="35"/>
  <c r="R38" i="35" s="1"/>
  <c r="AC7" i="33"/>
  <c r="V48" i="33" s="1"/>
  <c r="I48" i="33" s="1"/>
  <c r="W7" i="33"/>
  <c r="AB7" i="36"/>
  <c r="T36" i="36" s="1"/>
  <c r="G36" i="36" s="1"/>
  <c r="U7" i="36"/>
  <c r="S7" i="36"/>
  <c r="AA7" i="36"/>
  <c r="R36" i="36" s="1"/>
  <c r="AB7" i="34"/>
  <c r="T49" i="34" s="1"/>
  <c r="G49" i="34" s="1"/>
  <c r="U7" i="34"/>
  <c r="AB7" i="35"/>
  <c r="T38" i="35" s="1"/>
  <c r="G38" i="35" s="1"/>
  <c r="U7" i="35"/>
  <c r="H7" i="33"/>
  <c r="F7" i="33"/>
  <c r="W7" i="36"/>
  <c r="AC7" i="36"/>
  <c r="V36" i="36" s="1"/>
  <c r="I36" i="36" s="1"/>
  <c r="H52" i="37"/>
  <c r="F17" i="11"/>
  <c r="C17" i="11" s="1"/>
  <c r="C19" i="11" s="1"/>
  <c r="B40" i="1"/>
  <c r="C19" i="15"/>
  <c r="N17" i="46"/>
  <c r="G20" i="46" s="1"/>
  <c r="C20" i="46" s="1"/>
  <c r="O17" i="46"/>
  <c r="P17" i="46"/>
  <c r="M17" i="46"/>
  <c r="F1" i="15"/>
  <c r="Q53" i="15"/>
  <c r="Q74" i="15"/>
  <c r="Q61" i="15"/>
  <c r="M13" i="44"/>
  <c r="J12" i="44" s="1"/>
  <c r="F11" i="15"/>
  <c r="F13" i="44"/>
  <c r="C12" i="44" s="1"/>
  <c r="M11" i="15"/>
  <c r="J10" i="15" s="1"/>
  <c r="J5" i="15" s="1"/>
  <c r="Q75" i="15"/>
  <c r="Q62" i="15"/>
  <c r="C48" i="15"/>
  <c r="M25" i="44"/>
  <c r="F38" i="44"/>
  <c r="L49" i="44"/>
  <c r="F15" i="44"/>
  <c r="M26" i="44"/>
  <c r="M24" i="44"/>
  <c r="M28" i="44"/>
  <c r="M31" i="44"/>
  <c r="C16" i="44"/>
  <c r="M23" i="44"/>
  <c r="F10" i="44"/>
  <c r="F43" i="44"/>
  <c r="F18" i="44"/>
  <c r="M10" i="44"/>
  <c r="F28" i="44"/>
  <c r="F45" i="44"/>
  <c r="F46" i="44"/>
  <c r="M11" i="44"/>
  <c r="M29" i="44"/>
  <c r="F9" i="44"/>
  <c r="F39" i="44"/>
  <c r="F8" i="44"/>
  <c r="M30" i="44"/>
  <c r="F37" i="44"/>
  <c r="L48" i="44"/>
  <c r="F40" i="44"/>
  <c r="F11" i="44"/>
  <c r="J17" i="44"/>
  <c r="M8" i="44"/>
  <c r="C19" i="44"/>
  <c r="L59" i="44" l="1"/>
  <c r="L60" i="44"/>
  <c r="C36" i="44"/>
  <c r="C8" i="44"/>
  <c r="C7" i="44" s="1"/>
  <c r="M9" i="44"/>
  <c r="J8" i="44" s="1"/>
  <c r="J7" i="44" s="1"/>
  <c r="C29" i="44"/>
  <c r="Q73" i="44"/>
  <c r="J22" i="44"/>
  <c r="C17" i="44"/>
  <c r="C20" i="44"/>
  <c r="J54" i="44"/>
  <c r="J60" i="44"/>
  <c r="J58" i="44"/>
  <c r="J56" i="44" s="1"/>
  <c r="J59" i="44" s="1"/>
  <c r="Q52" i="44" s="1"/>
  <c r="I55" i="44"/>
  <c r="L57" i="44"/>
  <c r="J61" i="44"/>
  <c r="Q50" i="44" s="1"/>
  <c r="AB9" i="40"/>
  <c r="T44" i="40" s="1"/>
  <c r="G44" i="40" s="1"/>
  <c r="U9" i="40"/>
  <c r="AA9" i="40"/>
  <c r="R44" i="40" s="1"/>
  <c r="S9" i="40"/>
  <c r="H72" i="39"/>
  <c r="I70" i="39"/>
  <c r="AY6" i="3"/>
  <c r="E3" i="6"/>
  <c r="D39" i="59"/>
  <c r="T39" i="59"/>
  <c r="D47" i="59"/>
  <c r="T47" i="59"/>
  <c r="K19" i="6"/>
  <c r="K20" i="6"/>
  <c r="M20" i="6" s="1"/>
  <c r="I20" i="6" s="1"/>
  <c r="S20" i="6" s="1"/>
  <c r="E31" i="6"/>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D5" i="59"/>
  <c r="M20" i="46"/>
  <c r="AC9" i="40"/>
  <c r="V44" i="40" s="1"/>
  <c r="I44" i="40" s="1"/>
  <c r="W9" i="40"/>
  <c r="C14" i="12"/>
  <c r="C17" i="12"/>
  <c r="E6" i="3"/>
  <c r="D27" i="59"/>
  <c r="T27" i="59"/>
  <c r="O49" i="59"/>
  <c r="O48" i="59"/>
  <c r="D49" i="59"/>
  <c r="I40" i="36"/>
  <c r="J40" i="36" s="1"/>
  <c r="AA7" i="33"/>
  <c r="R48" i="33" s="1"/>
  <c r="S7" i="33"/>
  <c r="E36" i="36"/>
  <c r="I41" i="36" s="1"/>
  <c r="J41" i="36" s="1"/>
  <c r="R37" i="36"/>
  <c r="R39" i="35"/>
  <c r="E38" i="35"/>
  <c r="I52" i="37"/>
  <c r="AB7" i="33"/>
  <c r="T48" i="33" s="1"/>
  <c r="G48" i="33" s="1"/>
  <c r="U7" i="33"/>
  <c r="G42" i="35"/>
  <c r="H42" i="35" s="1"/>
  <c r="G43" i="35"/>
  <c r="H43" i="35" s="1"/>
  <c r="G53" i="34"/>
  <c r="H53" i="34" s="1"/>
  <c r="G54" i="34"/>
  <c r="H54" i="34" s="1"/>
  <c r="G40" i="36"/>
  <c r="H40" i="36" s="1"/>
  <c r="G41" i="36"/>
  <c r="H41" i="36" s="1"/>
  <c r="I52" i="33"/>
  <c r="J52" i="33" s="1"/>
  <c r="I42" i="35"/>
  <c r="J42" i="35" s="1"/>
  <c r="I43" i="35"/>
  <c r="J43" i="35" s="1"/>
  <c r="R50" i="34"/>
  <c r="E49" i="34"/>
  <c r="I53" i="34"/>
  <c r="J53" i="34" s="1"/>
  <c r="I54" i="34"/>
  <c r="J54" i="34" s="1"/>
  <c r="J18" i="15"/>
  <c r="J24" i="15"/>
  <c r="J26" i="15"/>
  <c r="J29" i="15" s="1"/>
  <c r="F21" i="43"/>
  <c r="F24" i="15"/>
  <c r="C24" i="15" s="1"/>
  <c r="F26" i="12"/>
  <c r="F26" i="44"/>
  <c r="C26" i="44" s="1"/>
  <c r="C52" i="15"/>
  <c r="C47" i="15" s="1"/>
  <c r="C10" i="15"/>
  <c r="C5" i="15" s="1"/>
  <c r="C34" i="44"/>
  <c r="C40" i="44"/>
  <c r="T3" i="46"/>
  <c r="V3" i="46" s="1"/>
  <c r="T4" i="46"/>
  <c r="V4" i="46" s="1"/>
  <c r="T6" i="46"/>
  <c r="V6" i="46" s="1"/>
  <c r="T8" i="46"/>
  <c r="V8" i="46" s="1"/>
  <c r="T10" i="46"/>
  <c r="V10" i="46" s="1"/>
  <c r="T12" i="46"/>
  <c r="V12" i="46" s="1"/>
  <c r="T14" i="46"/>
  <c r="V14" i="46" s="1"/>
  <c r="T16" i="46"/>
  <c r="V16" i="46" s="1"/>
  <c r="C29" i="46"/>
  <c r="C33" i="46"/>
  <c r="C34" i="46"/>
  <c r="C35" i="46"/>
  <c r="C36" i="46"/>
  <c r="C37" i="46"/>
  <c r="C38" i="46"/>
  <c r="C39" i="46"/>
  <c r="T2" i="46"/>
  <c r="V2" i="46" s="1"/>
  <c r="T7" i="46"/>
  <c r="V7" i="46" s="1"/>
  <c r="T5" i="46"/>
  <c r="V5" i="46" s="1"/>
  <c r="T9" i="46"/>
  <c r="V9" i="46" s="1"/>
  <c r="T11" i="46"/>
  <c r="V11" i="46" s="1"/>
  <c r="T13" i="46"/>
  <c r="V13" i="46" s="1"/>
  <c r="T15" i="46"/>
  <c r="V15" i="46" s="1"/>
  <c r="C20" i="15"/>
  <c r="C26" i="15" s="1"/>
  <c r="C20" i="11"/>
  <c r="C21" i="11" s="1"/>
  <c r="C22" i="11" s="1"/>
  <c r="C23" i="11" s="1"/>
  <c r="B2" i="11" s="1"/>
  <c r="C18" i="44"/>
  <c r="L52" i="44"/>
  <c r="C21" i="44" l="1"/>
  <c r="C22" i="44" s="1"/>
  <c r="C28" i="44" s="1"/>
  <c r="J20" i="44"/>
  <c r="J28" i="44"/>
  <c r="J31" i="44" s="1"/>
  <c r="Q67" i="44" s="1"/>
  <c r="J26" i="44"/>
  <c r="I48" i="40"/>
  <c r="J48" i="40" s="1"/>
  <c r="L38" i="9"/>
  <c r="D16" i="43"/>
  <c r="C16" i="43" s="1"/>
  <c r="C18" i="43" s="1"/>
  <c r="C19" i="43" s="1"/>
  <c r="C25" i="43" s="1"/>
  <c r="C24" i="43" s="1"/>
  <c r="C21" i="4"/>
  <c r="O5" i="54" s="1"/>
  <c r="B45" i="63" s="1"/>
  <c r="D10" i="11"/>
  <c r="D16" i="12"/>
  <c r="E6" i="6"/>
  <c r="D45" i="9"/>
  <c r="D44" i="9"/>
  <c r="D46" i="9"/>
  <c r="J70" i="39"/>
  <c r="I72" i="39"/>
  <c r="Q76" i="44"/>
  <c r="Q63" i="44"/>
  <c r="K27" i="6"/>
  <c r="M19" i="6"/>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R45" i="40"/>
  <c r="E44" i="40"/>
  <c r="G48" i="40"/>
  <c r="H48" i="40" s="1"/>
  <c r="G49" i="40"/>
  <c r="H49" i="40" s="1"/>
  <c r="Q54" i="44"/>
  <c r="F1" i="44"/>
  <c r="Q75" i="44"/>
  <c r="Q62" i="44"/>
  <c r="C23" i="15"/>
  <c r="C29" i="15" s="1"/>
  <c r="E54" i="34"/>
  <c r="F54" i="34" s="1"/>
  <c r="E53" i="34"/>
  <c r="F53" i="34" s="1"/>
  <c r="J52" i="37"/>
  <c r="E43" i="35"/>
  <c r="F43" i="35" s="1"/>
  <c r="E42" i="35"/>
  <c r="F42" i="35" s="1"/>
  <c r="C37" i="36"/>
  <c r="B3" i="36" s="1"/>
  <c r="B2" i="36" s="1"/>
  <c r="C36" i="36"/>
  <c r="C50" i="34"/>
  <c r="B3" i="34" s="1"/>
  <c r="B2" i="34" s="1"/>
  <c r="C49" i="34"/>
  <c r="G52" i="33"/>
  <c r="H52" i="33" s="1"/>
  <c r="G53" i="33"/>
  <c r="H53" i="33" s="1"/>
  <c r="C38" i="35"/>
  <c r="C39" i="35"/>
  <c r="B3" i="35" s="1"/>
  <c r="B2" i="35" s="1"/>
  <c r="E40" i="36"/>
  <c r="F40" i="36" s="1"/>
  <c r="E41" i="36"/>
  <c r="F41" i="36" s="1"/>
  <c r="R49" i="33"/>
  <c r="E48" i="33"/>
  <c r="Q69" i="44"/>
  <c r="L58" i="44"/>
  <c r="L61" i="44" s="1"/>
  <c r="C65" i="15"/>
  <c r="C59" i="15"/>
  <c r="E39" i="46"/>
  <c r="G39" i="46"/>
  <c r="I39" i="46" s="1"/>
  <c r="E37" i="46"/>
  <c r="G37" i="46"/>
  <c r="I37" i="46" s="1"/>
  <c r="E35" i="46"/>
  <c r="G35" i="46"/>
  <c r="I35" i="46" s="1"/>
  <c r="E33" i="46"/>
  <c r="G33" i="46"/>
  <c r="I33" i="46" s="1"/>
  <c r="C27" i="12"/>
  <c r="D26" i="12" s="1"/>
  <c r="C32" i="12" s="1"/>
  <c r="D30" i="12" s="1"/>
  <c r="C23" i="43"/>
  <c r="D21" i="43" s="1"/>
  <c r="Q58" i="44"/>
  <c r="B4" i="11"/>
  <c r="B3" i="11"/>
  <c r="B5" i="11"/>
  <c r="E38" i="46"/>
  <c r="G38" i="46"/>
  <c r="I38" i="46" s="1"/>
  <c r="E36" i="46"/>
  <c r="G36" i="46"/>
  <c r="I36" i="46" s="1"/>
  <c r="E34" i="46"/>
  <c r="G34" i="46"/>
  <c r="I34" i="46" s="1"/>
  <c r="E29" i="46"/>
  <c r="C30" i="46"/>
  <c r="E30" i="46" s="1"/>
  <c r="C38" i="15"/>
  <c r="C32" i="15"/>
  <c r="F7" i="67"/>
  <c r="C22" i="43" l="1"/>
  <c r="C21" i="43" s="1"/>
  <c r="C28" i="43" s="1"/>
  <c r="C30" i="43" s="1"/>
  <c r="C32" i="43" s="1"/>
  <c r="B2" i="43" s="1"/>
  <c r="B5" i="43" s="1"/>
  <c r="Q49" i="44"/>
  <c r="Q55" i="44" s="1"/>
  <c r="C25" i="44"/>
  <c r="C31" i="44" s="1"/>
  <c r="C35" i="44" s="1"/>
  <c r="C33" i="44" s="1"/>
  <c r="C45" i="40"/>
  <c r="C44" i="40"/>
  <c r="M27" i="6"/>
  <c r="I19" i="6"/>
  <c r="K70" i="39"/>
  <c r="J72" i="39"/>
  <c r="C16" i="12"/>
  <c r="C18" i="12" s="1"/>
  <c r="D19" i="12"/>
  <c r="C19" i="12" s="1"/>
  <c r="E48" i="40"/>
  <c r="F48" i="40" s="1"/>
  <c r="E49" i="40"/>
  <c r="F49" i="40" s="1"/>
  <c r="K38" i="9"/>
  <c r="E63" i="40"/>
  <c r="C22" i="4"/>
  <c r="D26" i="6"/>
  <c r="D11" i="6"/>
  <c r="H25" i="6"/>
  <c r="D5" i="6"/>
  <c r="H22" i="6"/>
  <c r="D15" i="6"/>
  <c r="H26" i="6"/>
  <c r="E68" i="39"/>
  <c r="H19" i="6"/>
  <c r="H27" i="6" s="1"/>
  <c r="D19" i="6"/>
  <c r="D21" i="6"/>
  <c r="D25" i="6"/>
  <c r="D10" i="6"/>
  <c r="D13" i="6"/>
  <c r="H21" i="6"/>
  <c r="H24" i="6"/>
  <c r="D6" i="6"/>
  <c r="D23" i="6"/>
  <c r="D14" i="6"/>
  <c r="D28" i="6"/>
  <c r="D30" i="6" s="1"/>
  <c r="D20" i="6"/>
  <c r="D8" i="6"/>
  <c r="D16" i="6" s="1"/>
  <c r="H23" i="6"/>
  <c r="E45" i="9"/>
  <c r="F45" i="9"/>
  <c r="E44" i="9"/>
  <c r="F46" i="9"/>
  <c r="E46" i="9"/>
  <c r="D24" i="6"/>
  <c r="R24" i="6" s="1"/>
  <c r="D22" i="6"/>
  <c r="R22" i="6" s="1"/>
  <c r="D12" i="6"/>
  <c r="H20" i="6"/>
  <c r="D9" i="6"/>
  <c r="D29" i="6"/>
  <c r="F44" i="9"/>
  <c r="D13" i="11"/>
  <c r="C13" i="11" s="1"/>
  <c r="D22" i="12"/>
  <c r="C22" i="12" s="1"/>
  <c r="C20" i="12" s="1"/>
  <c r="I49" i="40"/>
  <c r="J49" i="40" s="1"/>
  <c r="C13" i="15"/>
  <c r="J35" i="15" s="1"/>
  <c r="C36" i="15"/>
  <c r="J14" i="15"/>
  <c r="J22" i="15" s="1"/>
  <c r="Q50" i="15"/>
  <c r="C33" i="15"/>
  <c r="C31" i="15" s="1"/>
  <c r="J19" i="15"/>
  <c r="J17" i="15" s="1"/>
  <c r="C56" i="15"/>
  <c r="C60" i="15" s="1"/>
  <c r="C58" i="15" s="1"/>
  <c r="E52" i="33"/>
  <c r="F52" i="33" s="1"/>
  <c r="E53" i="33"/>
  <c r="F53" i="33" s="1"/>
  <c r="I53" i="33"/>
  <c r="J53" i="33" s="1"/>
  <c r="C27" i="46"/>
  <c r="C49" i="33"/>
  <c r="B3" i="33" s="1"/>
  <c r="B2" i="33" s="1"/>
  <c r="C48" i="33"/>
  <c r="K52" i="37"/>
  <c r="E4" i="67"/>
  <c r="C26" i="46"/>
  <c r="Q68" i="44"/>
  <c r="Q77" i="44" s="1"/>
  <c r="Q59" i="44"/>
  <c r="Q64" i="44" s="1"/>
  <c r="L47" i="44"/>
  <c r="E7" i="67"/>
  <c r="J21" i="44" l="1"/>
  <c r="J19" i="44" s="1"/>
  <c r="J16" i="44"/>
  <c r="C55" i="15"/>
  <c r="C64" i="15" s="1"/>
  <c r="C63" i="15"/>
  <c r="C15" i="44"/>
  <c r="C43" i="44" s="1"/>
  <c r="C38" i="44"/>
  <c r="Q51" i="44"/>
  <c r="R20" i="6"/>
  <c r="R26" i="6"/>
  <c r="R23" i="6"/>
  <c r="R25" i="6"/>
  <c r="R19" i="6"/>
  <c r="R27" i="6" s="1"/>
  <c r="D27" i="6"/>
  <c r="D31" i="6" s="1"/>
  <c r="A6" i="51"/>
  <c r="B7" i="63" s="1"/>
  <c r="A6" i="64"/>
  <c r="N5" i="54"/>
  <c r="B43" i="63" s="1"/>
  <c r="A20" i="64"/>
  <c r="A20" i="51"/>
  <c r="B15" i="63" s="1"/>
  <c r="C23" i="12"/>
  <c r="C35" i="12" s="1"/>
  <c r="C33" i="12" s="1"/>
  <c r="L70" i="39"/>
  <c r="K72" i="39"/>
  <c r="F63" i="40"/>
  <c r="B2" i="40" s="1"/>
  <c r="B61" i="40"/>
  <c r="F61" i="40" s="1"/>
  <c r="B54" i="40"/>
  <c r="F54" i="40" s="1"/>
  <c r="B53" i="40"/>
  <c r="F53" i="40" s="1"/>
  <c r="B56" i="40"/>
  <c r="F56" i="40" s="1"/>
  <c r="B58" i="40"/>
  <c r="F58" i="40" s="1"/>
  <c r="B55" i="40"/>
  <c r="F55" i="40" s="1"/>
  <c r="B57" i="40"/>
  <c r="F57" i="40" s="1"/>
  <c r="B60" i="40"/>
  <c r="F60" i="40" s="1"/>
  <c r="B59" i="40"/>
  <c r="F59" i="40" s="1"/>
  <c r="B62" i="40"/>
  <c r="F62" i="40" s="1"/>
  <c r="R21" i="6"/>
  <c r="I27" i="6"/>
  <c r="S19" i="6"/>
  <c r="S27" i="6" s="1"/>
  <c r="C37" i="15"/>
  <c r="C30" i="15" s="1"/>
  <c r="C39" i="15" s="1"/>
  <c r="C40" i="15" s="1"/>
  <c r="J13" i="15"/>
  <c r="J23" i="15" s="1"/>
  <c r="J16" i="15" s="1"/>
  <c r="J25" i="15" s="1"/>
  <c r="Q71" i="15"/>
  <c r="B3" i="43"/>
  <c r="B4" i="43"/>
  <c r="L52" i="37"/>
  <c r="E3" i="67"/>
  <c r="B2" i="46"/>
  <c r="B7" i="67"/>
  <c r="C19" i="9"/>
  <c r="L51" i="15"/>
  <c r="J15" i="44" l="1"/>
  <c r="J25" i="44" s="1"/>
  <c r="J24" i="44"/>
  <c r="C57" i="15"/>
  <c r="C66" i="15" s="1"/>
  <c r="C67" i="15" s="1"/>
  <c r="C46" i="15" s="1"/>
  <c r="Q70" i="15"/>
  <c r="Q72" i="44"/>
  <c r="C39" i="44"/>
  <c r="C32" i="44" s="1"/>
  <c r="C42" i="44" s="1"/>
  <c r="Q71" i="44" s="1"/>
  <c r="Q70" i="44"/>
  <c r="J39" i="15"/>
  <c r="J40" i="15" s="1"/>
  <c r="C28" i="12"/>
  <c r="C26" i="12" s="1"/>
  <c r="C31" i="12" s="1"/>
  <c r="C30" i="12" s="1"/>
  <c r="C36" i="12" s="1"/>
  <c r="B2" i="12" s="1"/>
  <c r="I6" i="6"/>
  <c r="I5" i="6"/>
  <c r="B5" i="40"/>
  <c r="B3" i="40"/>
  <c r="B4" i="40"/>
  <c r="M70" i="39"/>
  <c r="L72" i="39"/>
  <c r="Q69" i="15"/>
  <c r="M52" i="37"/>
  <c r="Q68" i="15"/>
  <c r="L57" i="15"/>
  <c r="L60" i="15" s="1"/>
  <c r="B2" i="67"/>
  <c r="D22" i="9"/>
  <c r="L43" i="9"/>
  <c r="G19" i="9"/>
  <c r="C70" i="15"/>
  <c r="Q66" i="15"/>
  <c r="C43" i="15"/>
  <c r="Q48" i="15"/>
  <c r="Q54" i="15" s="1"/>
  <c r="Q57" i="15"/>
  <c r="J42" i="15"/>
  <c r="J43" i="15" s="1"/>
  <c r="D14" i="66"/>
  <c r="D4" i="46"/>
  <c r="B4" i="46"/>
  <c r="B3" i="46"/>
  <c r="C21" i="9"/>
  <c r="C20" i="9"/>
  <c r="J18" i="44" l="1"/>
  <c r="J27" i="44" s="1"/>
  <c r="C44" i="44"/>
  <c r="C45" i="44" s="1"/>
  <c r="B2" i="44" s="1"/>
  <c r="B4" i="44" s="1"/>
  <c r="B5" i="44"/>
  <c r="N70" i="39"/>
  <c r="N72" i="39" s="1"/>
  <c r="M72" i="39"/>
  <c r="H9" i="39" s="1"/>
  <c r="B5" i="12"/>
  <c r="B3" i="12"/>
  <c r="B4" i="12"/>
  <c r="F9" i="39"/>
  <c r="N52" i="37"/>
  <c r="G21" i="9"/>
  <c r="G20" i="9"/>
  <c r="F14" i="66"/>
  <c r="E14" i="66"/>
  <c r="B5" i="66"/>
  <c r="C32" i="9"/>
  <c r="G22" i="9"/>
  <c r="N43" i="9"/>
  <c r="Q58" i="15"/>
  <c r="Q63" i="15" s="1"/>
  <c r="Q67" i="15"/>
  <c r="Q76" i="15" s="1"/>
  <c r="L46" i="15"/>
  <c r="B2" i="15" s="1"/>
  <c r="B3" i="15" s="1"/>
  <c r="B3" i="67"/>
  <c r="B4" i="67"/>
  <c r="B3" i="44" l="1"/>
  <c r="U9" i="39"/>
  <c r="AB9" i="39"/>
  <c r="T49" i="39" s="1"/>
  <c r="G49" i="39" s="1"/>
  <c r="J9" i="39"/>
  <c r="AA9" i="39"/>
  <c r="R49" i="39" s="1"/>
  <c r="S9" i="39"/>
  <c r="O52" i="37"/>
  <c r="J7" i="37" s="1"/>
  <c r="F7" i="37"/>
  <c r="H7" i="37"/>
  <c r="C42" i="9"/>
  <c r="C33" i="9"/>
  <c r="C35" i="9"/>
  <c r="F42" i="9" s="1"/>
  <c r="O38" i="9"/>
  <c r="O43" i="9"/>
  <c r="C34" i="9"/>
  <c r="C5" i="66"/>
  <c r="D5" i="66"/>
  <c r="R50" i="39" l="1"/>
  <c r="E49" i="39"/>
  <c r="G53" i="39"/>
  <c r="H53" i="39" s="1"/>
  <c r="AC9" i="39"/>
  <c r="V49" i="39" s="1"/>
  <c r="I49" i="39" s="1"/>
  <c r="I53" i="39" s="1"/>
  <c r="J53" i="39" s="1"/>
  <c r="W9" i="39"/>
  <c r="S7" i="37"/>
  <c r="AA7" i="37"/>
  <c r="R42" i="37" s="1"/>
  <c r="AB7" i="37"/>
  <c r="T42" i="37" s="1"/>
  <c r="G42" i="37" s="1"/>
  <c r="U7" i="37"/>
  <c r="AC7" i="37"/>
  <c r="V42" i="37" s="1"/>
  <c r="I42" i="37" s="1"/>
  <c r="W7" i="37"/>
  <c r="M38" i="9"/>
  <c r="K27" i="9" s="1"/>
  <c r="E42" i="9"/>
  <c r="P5" i="54" s="1"/>
  <c r="B46" i="63" s="1"/>
  <c r="K25" i="9"/>
  <c r="K26" i="9"/>
  <c r="N38" i="9"/>
  <c r="K28" i="9" s="1"/>
  <c r="D42" i="9"/>
  <c r="Q5" i="54" s="1"/>
  <c r="B47" i="63" s="1"/>
  <c r="R5" i="54"/>
  <c r="B48" i="63" s="1"/>
  <c r="D63" i="9"/>
  <c r="N68" i="9"/>
  <c r="G54" i="39" l="1"/>
  <c r="H54" i="39" s="1"/>
  <c r="C50" i="39"/>
  <c r="C49" i="39"/>
  <c r="I54" i="39"/>
  <c r="J54" i="39" s="1"/>
  <c r="E53" i="39"/>
  <c r="F53" i="39" s="1"/>
  <c r="E54" i="39"/>
  <c r="F54" i="39" s="1"/>
  <c r="E42" i="37"/>
  <c r="I47" i="37" s="1"/>
  <c r="J47" i="37" s="1"/>
  <c r="R43" i="37"/>
  <c r="I46" i="37"/>
  <c r="J46" i="37" s="1"/>
  <c r="G46" i="37"/>
  <c r="H46" i="37" s="1"/>
  <c r="G47" i="37"/>
  <c r="H47" i="37" s="1"/>
  <c r="C96" i="9"/>
  <c r="C91" i="9" s="1"/>
  <c r="C103" i="9"/>
  <c r="D77" i="9"/>
  <c r="N75" i="9" s="1"/>
  <c r="C111" i="9"/>
  <c r="C104" i="9" s="1"/>
  <c r="D71" i="9"/>
  <c r="D66" i="9" s="1"/>
  <c r="N72" i="9" s="1"/>
  <c r="C90" i="9"/>
  <c r="D70" i="9"/>
  <c r="C82" i="9"/>
  <c r="C81" i="9" s="1"/>
  <c r="C85" i="9" s="1"/>
  <c r="C86" i="9" s="1"/>
  <c r="D72" i="9" s="1"/>
  <c r="B64" i="39" l="1"/>
  <c r="F64" i="39" s="1"/>
  <c r="B65" i="39"/>
  <c r="F65" i="39" s="1"/>
  <c r="B58" i="39"/>
  <c r="F58" i="39" s="1"/>
  <c r="B62" i="39"/>
  <c r="F62" i="39" s="1"/>
  <c r="B67" i="39"/>
  <c r="F67" i="39" s="1"/>
  <c r="B66" i="39"/>
  <c r="F66" i="39" s="1"/>
  <c r="B61" i="39"/>
  <c r="F61" i="39" s="1"/>
  <c r="B59" i="39"/>
  <c r="F59" i="39" s="1"/>
  <c r="B63" i="39"/>
  <c r="F63" i="39" s="1"/>
  <c r="B60" i="39"/>
  <c r="F60" i="39" s="1"/>
  <c r="F68" i="39"/>
  <c r="B2" i="39" s="1"/>
  <c r="C97" i="9"/>
  <c r="C99" i="9" s="1"/>
  <c r="C43" i="37"/>
  <c r="B3" i="37" s="1"/>
  <c r="B2" i="37" s="1"/>
  <c r="C42" i="37"/>
  <c r="E47" i="37"/>
  <c r="F47" i="37" s="1"/>
  <c r="E46" i="37"/>
  <c r="F46" i="37" s="1"/>
  <c r="C98" i="9"/>
  <c r="E98" i="9" s="1"/>
  <c r="E99" i="9" s="1"/>
  <c r="C113" i="9"/>
  <c r="B3" i="39" l="1"/>
  <c r="B4" i="39"/>
  <c r="B5" i="39"/>
  <c r="C114" i="9"/>
  <c r="E114" i="9" s="1"/>
  <c r="E115"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<sst xmlns="http://schemas.openxmlformats.org/spreadsheetml/2006/main" count="6827" uniqueCount="3003">
  <si>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</si>
  <si>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</si>
  <si>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</si>
  <si>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</si>
  <si>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</si>
  <si>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</si>
  <si>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</si>
  <si>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</si>
  <si>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</si>
  <si>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</si>
  <si>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</si>
  <si>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</si>
  <si>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</si>
  <si>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</si>
  <si>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</si>
  <si>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</si>
  <si>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</si>
  <si>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</si>
  <si>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</si>
  <si>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</si>
  <si>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</si>
  <si>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</si>
  <si>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</si>
  <si>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</si>
  <si>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</si>
  <si>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</si>
  <si>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</si>
  <si>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</si>
  <si>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</si>
  <si>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</si>
  <si>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</si>
  <si>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</si>
  <si>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</si>
  <si>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</si>
  <si>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</si>
  <si>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</si>
  <si>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</si>
  <si>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</si>
  <si>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</si>
  <si>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</si>
  <si>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</si>
  <si>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</si>
  <si>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</si>
  <si>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</si>
  <si>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</si>
  <si>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</si>
  <si>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</si>
  <si>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</si>
  <si>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</si>
  <si>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</si>
  <si>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</si>
  <si>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</si>
  <si>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</si>
  <si>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</si>
  <si>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</si>
  <si>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</si>
  <si>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</si>
  <si>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</si>
  <si>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</si>
  <si>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</si>
  <si>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</si>
  <si>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</si>
  <si>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</si>
  <si>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</si>
  <si>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</si>
  <si>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</si>
  <si>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</si>
  <si>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</si>
  <si>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</si>
  <si>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</si>
  <si>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</si>
  <si>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</si>
  <si>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</si>
  <si>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</si>
  <si>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</si>
  <si>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</si>
  <si>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</si>
  <si>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</si>
  <si>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</si>
  <si>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</si>
  <si>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</si>
  <si>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</si>
  <si>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</si>
  <si>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</si>
  <si>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</si>
  <si>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</si>
  <si>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</si>
  <si>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</si>
  <si>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</si>
  <si>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</si>
  <si>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</si>
  <si>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</si>
  <si>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</si>
  <si>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</si>
  <si>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</si>
  <si>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</si>
  <si>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</si>
  <si>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</si>
  <si>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</si>
  <si>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</si>
  <si>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</si>
  <si>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</si>
  <si>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</si>
  <si>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</si>
  <si>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</si>
  <si>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</si>
  <si>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</si>
  <si>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</si>
  <si>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</si>
  <si>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</si>
  <si>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</si>
  <si>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</si>
  <si>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</si>
  <si>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</si>
  <si>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</si>
  <si>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</si>
  <si>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</si>
  <si>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</si>
  <si>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</si>
  <si>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</si>
  <si>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</si>
  <si>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</si>
  <si>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</si>
  <si>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</si>
  <si>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</si>
  <si>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</si>
  <si>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</si>
  <si>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</si>
  <si>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</si>
  <si>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</si>
  <si>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</si>
  <si>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</si>
  <si>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</si>
  <si>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</si>
  <si>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</si>
  <si>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</si>
  <si>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</si>
  <si>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</si>
  <si>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</si>
  <si>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</si>
  <si>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</si>
  <si>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</si>
  <si>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</si>
  <si>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</si>
  <si>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</si>
  <si>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</si>
  <si>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</si>
  <si>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</si>
  <si>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</si>
  <si>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</si>
  <si>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</si>
  <si>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</si>
  <si>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</si>
  <si>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</si>
  <si>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</si>
  <si>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</si>
  <si>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</si>
  <si>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</si>
  <si>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</si>
  <si>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</si>
  <si>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</si>
  <si>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</si>
  <si>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</si>
  <si>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</si>
  <si>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</si>
  <si>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</si>
  <si>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</si>
  <si>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</si>
  <si>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</si>
  <si>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</si>
  <si>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</si>
  <si>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</si>
  <si>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</si>
  <si>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</si>
  <si>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</si>
  <si>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</si>
  <si>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</si>
  <si>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</si>
  <si>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</si>
  <si>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</si>
  <si>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</si>
  <si>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</si>
  <si>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</si>
  <si>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</si>
  <si>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</si>
  <si>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</si>
  <si>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</si>
  <si>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</si>
  <si>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</si>
  <si>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</si>
  <si>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</si>
  <si>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</si>
  <si>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</si>
  <si>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</si>
  <si>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</si>
  <si>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</si>
  <si>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</si>
  <si>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</si>
  <si>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</si>
  <si>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</si>
  <si>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</si>
  <si>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</si>
  <si>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</si>
  <si>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</si>
  <si>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</si>
  <si>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</si>
  <si>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</si>
  <si>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</si>
  <si>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</si>
  <si>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</si>
  <si>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</si>
  <si>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</si>
  <si>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</si>
  <si>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</si>
  <si>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</si>
  <si>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</si>
  <si>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</si>
  <si>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</si>
  <si>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</si>
  <si>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</si>
  <si>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</si>
  <si>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</si>
  <si>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</si>
  <si>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</si>
  <si>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</si>
  <si>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</si>
  <si>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</si>
  <si>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</si>
  <si>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</si>
  <si>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</si>
  <si>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</si>
  <si>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</si>
  <si>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</si>
  <si>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</si>
  <si>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</si>
  <si>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</si>
  <si>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</si>
  <si>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</si>
  <si>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</si>
  <si>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</si>
  <si>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</si>
  <si>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</si>
  <si>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</si>
  <si>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</si>
  <si>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</si>
  <si>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</si>
  <si>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</si>
  <si>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</si>
  <si>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</si>
  <si>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</si>
  <si>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</si>
  <si>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</si>
  <si>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</si>
  <si>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</si>
  <si>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</si>
  <si>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</si>
  <si>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</si>
  <si>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</si>
  <si>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</si>
  <si>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</si>
  <si>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</si>
  <si>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</si>
  <si>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</si>
  <si>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</si>
  <si>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</si>
  <si>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</si>
  <si>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</si>
  <si>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</si>
  <si>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</si>
  <si>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</si>
  <si>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</si>
  <si>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</si>
  <si>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</si>
  <si>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</si>
  <si>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</si>
  <si>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</si>
  <si>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</si>
  <si>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</si>
  <si>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</si>
  <si>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</si>
  <si>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</si>
  <si>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</si>
  <si>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</si>
  <si>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</si>
  <si>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</si>
  <si>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</si>
  <si>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</si>
  <si>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</si>
  <si>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</si>
  <si>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</si>
  <si>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</si>
  <si>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</si>
  <si>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</si>
  <si>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</si>
  <si>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</si>
  <si>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</si>
  <si>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</si>
  <si>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</si>
  <si>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</si>
  <si>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</si>
  <si>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</si>
  <si>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</si>
  <si>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</si>
  <si>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</si>
  <si>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</si>
  <si>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</si>
  <si>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</si>
  <si>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</si>
  <si>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</si>
  <si>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</si>
  <si>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</si>
  <si>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</si>
  <si>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</si>
  <si>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</si>
  <si>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</si>
  <si>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</si>
  <si>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</si>
  <si>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</si>
  <si>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</si>
  <si>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</si>
  <si>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</si>
  <si>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</si>
  <si>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</si>
  <si>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</si>
  <si>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</si>
  <si>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</si>
  <si>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</si>
  <si>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</si>
  <si>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</si>
  <si>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</si>
  <si>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</si>
  <si>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</si>
  <si>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</si>
  <si>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</si>
  <si>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</si>
  <si>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</si>
  <si>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</si>
  <si>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</si>
  <si>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</si>
  <si>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</si>
  <si>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</si>
  <si>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</si>
  <si>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</si>
  <si>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</si>
  <si>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</si>
  <si>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</si>
  <si>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</si>
  <si>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</si>
  <si>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</si>
  <si>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</si>
  <si>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</si>
  <si>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</si>
  <si>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</si>
  <si>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</si>
  <si>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</si>
  <si>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</si>
  <si>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</si>
  <si>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</si>
  <si>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</si>
  <si>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</si>
  <si>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</si>
  <si>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</si>
  <si>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</si>
  <si>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</si>
  <si>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</si>
  <si>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</si>
  <si>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</si>
  <si>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</si>
  <si>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</si>
  <si>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</si>
  <si>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</si>
  <si>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</si>
  <si>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</si>
  <si>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</si>
  <si>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</si>
  <si>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</si>
  <si>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</si>
  <si>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</si>
  <si>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</si>
  <si>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</si>
  <si>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</si>
  <si>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</si>
  <si>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</si>
  <si>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</si>
  <si>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</si>
  <si>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</si>
  <si>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</si>
  <si>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</si>
  <si>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</si>
  <si>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</si>
  <si>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</si>
  <si>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</si>
  <si>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</si>
  <si>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</si>
  <si>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</si>
  <si>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</si>
  <si>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</si>
  <si>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</si>
  <si>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</si>
  <si>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</si>
  <si>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</si>
  <si>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</si>
  <si>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</si>
  <si>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</si>
  <si>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</si>
  <si>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</si>
  <si>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</si>
  <si>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</si>
  <si>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</si>
  <si>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</si>
  <si>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</si>
  <si>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</si>
  <si>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</si>
  <si>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</si>
  <si>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</si>
  <si>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</si>
  <si>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</si>
  <si>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</si>
  <si>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</si>
  <si>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</si>
  <si>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</si>
  <si>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</si>
  <si>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</si>
  <si>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</si>
  <si>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</si>
  <si>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</si>
  <si>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</si>
  <si>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</si>
  <si>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</si>
  <si>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</si>
  <si>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</si>
  <si>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</si>
  <si>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</si>
  <si>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</si>
  <si>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</si>
  <si>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</si>
  <si>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</si>
  <si>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</si>
  <si>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</si>
  <si>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</si>
  <si>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</si>
  <si>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</si>
  <si>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</si>
  <si>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</si>
  <si>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</si>
  <si>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</si>
  <si>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</si>
  <si>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</si>
  <si>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</si>
  <si>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</si>
  <si>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</si>
  <si>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</si>
  <si>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</si>
  <si>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</si>
  <si>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</si>
  <si>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</si>
  <si>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</si>
  <si>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</si>
  <si>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</si>
  <si>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</si>
  <si>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</si>
  <si>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</si>
  <si>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</si>
  <si>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</si>
  <si>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</si>
  <si>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</si>
  <si>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</si>
  <si>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</si>
  <si>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</si>
  <si>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</si>
  <si>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</si>
  <si>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</si>
  <si>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</si>
  <si>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</si>
  <si>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</si>
  <si>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</si>
  <si>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</si>
  <si>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</si>
  <si>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</si>
  <si>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</si>
  <si>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</si>
  <si>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</si>
  <si>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</si>
  <si>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</si>
  <si>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</si>
  <si>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</si>
  <si>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</si>
  <si>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</si>
  <si>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</si>
  <si>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</si>
  <si>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</si>
  <si>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</si>
  <si>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</si>
  <si>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</si>
  <si>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</si>
  <si>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</si>
  <si>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</si>
  <si>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</si>
  <si>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</si>
  <si>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</si>
  <si>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</si>
  <si>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</si>
  <si>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</si>
  <si>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</si>
  <si>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</si>
  <si>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</si>
  <si>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</si>
  <si>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</si>
  <si>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</si>
  <si>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</si>
  <si>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</si>
  <si>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</si>
  <si>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</si>
  <si>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</si>
  <si>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</si>
  <si>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</si>
  <si>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</si>
  <si>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</si>
  <si>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</si>
  <si>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</si>
  <si>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</si>
  <si>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</si>
  <si>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</si>
  <si>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</si>
  <si>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</si>
  <si>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</si>
  <si>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</si>
  <si>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</si>
  <si>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</si>
  <si>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</si>
  <si>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</si>
  <si>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</si>
  <si>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</si>
  <si>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</si>
  <si>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</si>
  <si>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</si>
  <si>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</si>
  <si>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</si>
  <si>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</si>
  <si>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</si>
  <si>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</si>
  <si>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</si>
  <si>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</si>
  <si>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</si>
  <si>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</si>
  <si>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</si>
  <si>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</si>
  <si>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</si>
  <si>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</si>
  <si>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</si>
  <si>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</si>
  <si>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</si>
  <si>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</si>
  <si>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</si>
  <si>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</si>
  <si>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</si>
  <si>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</si>
  <si>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</si>
  <si>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</si>
  <si>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</si>
  <si>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</si>
  <si>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</si>
  <si>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</si>
  <si>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</si>
  <si>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</si>
  <si>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</si>
  <si>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</si>
  <si>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</si>
  <si>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</si>
  <si>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</si>
  <si>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</si>
  <si>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</si>
  <si>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</si>
  <si>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</si>
  <si>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</si>
  <si>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</si>
  <si>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</si>
  <si>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</si>
  <si>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</si>
  <si>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</si>
  <si>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</si>
  <si>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</si>
  <si>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</si>
  <si>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</si>
  <si>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</si>
  <si>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</si>
  <si>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</si>
  <si>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</si>
  <si>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</si>
  <si>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</si>
  <si>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</si>
  <si>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</si>
  <si>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</si>
  <si>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</si>
  <si>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</si>
  <si>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</si>
  <si>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</si>
  <si>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</si>
  <si>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</si>
  <si>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</si>
  <si>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</si>
  <si>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</si>
  <si>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</si>
  <si>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</si>
  <si>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</si>
  <si>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</si>
  <si>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</si>
  <si>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</si>
  <si>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</si>
  <si>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</si>
  <si>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</si>
  <si>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</si>
  <si>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</si>
  <si>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</si>
  <si>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</si>
  <si>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</si>
  <si>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</si>
  <si>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</si>
  <si>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</si>
  <si>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</si>
  <si>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</si>
  <si>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</si>
  <si>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</si>
  <si>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</si>
  <si>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</si>
  <si>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</si>
  <si>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</si>
  <si>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</si>
  <si>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</si>
  <si>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</si>
  <si>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</si>
  <si>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</si>
  <si>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</si>
  <si>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</si>
  <si>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</si>
  <si>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</si>
  <si>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</si>
  <si>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</si>
  <si>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</si>
  <si>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</si>
  <si>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</si>
  <si>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</si>
  <si>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</si>
  <si>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</si>
  <si>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</si>
  <si>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</si>
  <si>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</si>
  <si>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</si>
  <si>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</si>
  <si>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</si>
  <si>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</si>
  <si>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</si>
  <si>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</si>
  <si>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</si>
  <si>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</si>
  <si>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</si>
  <si>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</si>
  <si>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</si>
  <si>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</si>
  <si>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</si>
  <si>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</si>
  <si>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</si>
  <si>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</si>
  <si>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</si>
  <si>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</si>
  <si>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</si>
  <si>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</si>
  <si>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</si>
  <si>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</si>
  <si>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</si>
  <si>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</si>
  <si>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</si>
  <si>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</si>
  <si>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</si>
  <si>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</si>
  <si>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</si>
  <si>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</si>
  <si>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</si>
  <si>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</si>
  <si>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</si>
  <si>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</si>
  <si>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</si>
  <si>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</si>
  <si>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</si>
  <si>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</si>
  <si>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</si>
  <si>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</si>
  <si>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</si>
  <si>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</si>
  <si>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</si>
  <si>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</si>
  <si>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</si>
  <si>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</si>
  <si>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</si>
  <si>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</si>
  <si>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</si>
  <si>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</si>
  <si>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</si>
  <si>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</si>
  <si>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</si>
  <si>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</si>
  <si>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</si>
  <si>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</si>
  <si>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</si>
  <si>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</si>
  <si>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</si>
  <si>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</si>
  <si>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</si>
  <si>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</si>
  <si>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</si>
  <si>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</si>
  <si>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</si>
  <si>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</si>
  <si>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</si>
  <si>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</si>
  <si>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</si>
  <si>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</si>
  <si>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</si>
  <si>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</si>
  <si>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</si>
  <si>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</si>
  <si>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</si>
  <si>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</si>
  <si>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</si>
  <si>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</si>
  <si>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</si>
  <si>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</si>
  <si>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</si>
  <si>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</si>
  <si>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</si>
  <si>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</si>
  <si>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</si>
  <si>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</si>
  <si>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</si>
  <si>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</si>
  <si>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</si>
  <si>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</si>
  <si>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</si>
  <si>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</si>
  <si>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</si>
  <si>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</si>
  <si>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</si>
  <si>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</si>
  <si>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</si>
  <si>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</si>
  <si>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</si>
  <si>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</si>
  <si>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</si>
  <si>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</si>
  <si>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</si>
  <si>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</si>
  <si>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</si>
  <si>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</si>
  <si>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</si>
  <si>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</si>
  <si>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</si>
  <si>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</si>
  <si>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</si>
  <si>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</si>
  <si>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</si>
  <si>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</si>
  <si>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</si>
  <si>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</si>
  <si>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</si>
  <si>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</si>
  <si>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</si>
  <si>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</si>
  <si>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</si>
  <si>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</si>
  <si>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</si>
  <si>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</si>
  <si>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</si>
  <si>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</si>
  <si>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</si>
  <si>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</si>
  <si>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</si>
  <si>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</si>
  <si>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</si>
  <si>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</si>
  <si>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</si>
  <si>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</si>
  <si>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</si>
  <si>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</si>
  <si>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</si>
  <si>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</si>
  <si>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</si>
  <si>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</si>
  <si>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</si>
  <si>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</si>
  <si>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</si>
  <si>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</si>
  <si>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</si>
  <si>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</si>
  <si>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</si>
  <si>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</si>
  <si>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</si>
  <si>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</si>
  <si>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</si>
  <si>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</si>
  <si>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</si>
  <si>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</si>
  <si>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</si>
  <si>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</si>
  <si>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</si>
  <si>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</si>
  <si>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</si>
  <si>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</si>
  <si>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</si>
  <si>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</si>
  <si>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</si>
  <si>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</si>
  <si>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</si>
  <si>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</si>
  <si>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</si>
  <si>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</si>
  <si>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</si>
  <si>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</si>
  <si>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</si>
  <si>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</si>
  <si>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</si>
  <si>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</si>
  <si>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</si>
  <si>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</si>
  <si>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</si>
  <si>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</si>
  <si>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</si>
  <si>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</si>
  <si>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</si>
  <si>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</si>
  <si>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</si>
  <si>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</si>
  <si>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</si>
  <si>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</si>
  <si>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</si>
  <si>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</si>
  <si>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</si>
  <si>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</si>
  <si>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</si>
  <si>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</si>
  <si>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</si>
  <si>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</si>
  <si>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</si>
  <si>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</si>
  <si>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</si>
  <si>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</si>
  <si>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</si>
  <si>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</si>
  <si>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</si>
  <si>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</si>
  <si>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</si>
  <si>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</si>
  <si>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</si>
  <si>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</si>
  <si>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</si>
  <si>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</si>
  <si>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</si>
  <si>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</si>
  <si>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</si>
  <si>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</si>
  <si>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</si>
  <si>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</si>
  <si>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</si>
  <si>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</si>
  <si>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</si>
  <si>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</si>
  <si>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</si>
  <si>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</si>
  <si>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</si>
  <si>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</si>
  <si>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</si>
  <si>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</si>
  <si>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</si>
  <si>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</si>
  <si>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</si>
  <si>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</si>
  <si>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</si>
  <si>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</si>
  <si>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</si>
  <si>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</si>
  <si>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</si>
  <si>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</si>
  <si>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</si>
  <si>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</si>
  <si>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</si>
  <si>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</si>
  <si>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</si>
  <si>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</si>
  <si>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</si>
  <si>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</si>
  <si>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</si>
  <si>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</si>
  <si>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</si>
  <si>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</si>
  <si>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</si>
  <si>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</si>
  <si>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</si>
  <si>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</si>
  <si>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</si>
  <si>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</si>
  <si>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</si>
  <si>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</si>
  <si>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</si>
  <si>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</si>
  <si>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</si>
  <si>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</si>
  <si>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</si>
  <si>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</si>
  <si>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</si>
  <si>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</si>
  <si>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</si>
  <si>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</si>
  <si>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</si>
  <si>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</si>
  <si>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</si>
  <si>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</si>
  <si>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</si>
  <si>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</si>
  <si>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</si>
  <si>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</si>
  <si>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</si>
  <si>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</si>
  <si>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</si>
  <si>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</si>
  <si>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</si>
  <si>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</si>
  <si>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</si>
  <si>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</si>
  <si>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</si>
  <si>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</si>
  <si>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</si>
  <si>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</si>
  <si>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</si>
  <si>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</si>
  <si>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</si>
  <si>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</si>
  <si>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</si>
  <si>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</si>
  <si>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</si>
  <si>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</si>
  <si>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</si>
  <si>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</si>
  <si>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</si>
  <si>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</si>
  <si>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</si>
  <si>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</si>
  <si>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</si>
  <si>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</si>
  <si>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</si>
  <si>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</si>
  <si>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</si>
  <si>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</si>
  <si>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</si>
  <si>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</si>
  <si>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</si>
  <si>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</si>
  <si>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</si>
  <si>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</si>
  <si>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</si>
  <si>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</si>
  <si>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</si>
  <si>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</si>
  <si>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</si>
  <si>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</si>
  <si>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</si>
  <si>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</si>
  <si>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</si>
  <si>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</si>
  <si>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</si>
  <si>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</si>
  <si>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</si>
  <si>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</si>
  <si>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</si>
  <si>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</si>
  <si>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</si>
  <si>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</si>
  <si>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</si>
  <si>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</si>
  <si>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</si>
  <si>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</si>
  <si>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</si>
  <si>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</si>
  <si>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</si>
  <si>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</si>
  <si>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</si>
  <si>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</si>
  <si>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</si>
  <si>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</si>
  <si>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</si>
  <si>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</si>
  <si>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</si>
  <si>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</si>
  <si>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</si>
  <si>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</si>
  <si>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</si>
  <si>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</si>
  <si>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</si>
  <si>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</si>
  <si>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</si>
  <si>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</si>
  <si>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</si>
  <si>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</si>
  <si>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</si>
  <si>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</si>
  <si>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</si>
  <si>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</si>
  <si>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</si>
  <si>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</si>
  <si>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</si>
  <si>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</si>
  <si>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</si>
  <si>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</si>
  <si>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</si>
  <si>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</si>
  <si>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</si>
  <si>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</si>
  <si>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</si>
  <si>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</si>
  <si>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</si>
  <si>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</si>
  <si>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</si>
  <si>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</si>
  <si>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</si>
  <si>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</si>
  <si>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</si>
  <si>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</si>
  <si>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</si>
  <si>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</si>
  <si>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</si>
  <si>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</si>
  <si>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</si>
  <si>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</si>
  <si>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</si>
  <si>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</si>
  <si>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</si>
  <si>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</si>
  <si>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</si>
  <si>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</si>
  <si>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</si>
  <si>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</si>
  <si>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</si>
  <si>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</si>
  <si>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</si>
  <si>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</si>
  <si>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</si>
  <si>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</si>
  <si>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</si>
  <si>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</si>
  <si>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</si>
  <si>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</si>
  <si>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</si>
  <si>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</si>
  <si>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</si>
  <si>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</si>
  <si>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</si>
  <si>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</si>
  <si>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</si>
  <si>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</si>
  <si>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</si>
  <si>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</si>
  <si>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</si>
  <si>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</si>
  <si>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</si>
  <si>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</si>
  <si>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</si>
  <si>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</si>
  <si>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</si>
  <si>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</si>
  <si>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</si>
  <si>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</si>
  <si>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</si>
  <si>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</si>
  <si>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</si>
  <si>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</si>
  <si>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</si>
  <si>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</si>
  <si>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</si>
  <si>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</si>
  <si>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</si>
  <si>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</si>
  <si>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</si>
  <si>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</si>
  <si>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</si>
  <si>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</si>
  <si>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</si>
  <si>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</si>
  <si>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</si>
  <si>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</si>
  <si>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</si>
  <si>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</si>
  <si>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</si>
  <si>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</si>
  <si>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</si>
  <si>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</si>
  <si>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</si>
  <si>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</si>
  <si>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</si>
  <si>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</si>
  <si>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</si>
  <si>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</si>
  <si>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</si>
  <si>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</si>
  <si>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</si>
  <si>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</si>
  <si>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</si>
  <si>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</si>
  <si>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</si>
  <si>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</si>
  <si>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</si>
  <si>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</si>
  <si>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</si>
  <si>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</si>
  <si>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</si>
  <si>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</si>
  <si>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</si>
  <si>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</si>
  <si>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</si>
  <si>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</si>
  <si>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</si>
  <si>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</si>
  <si>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</si>
  <si>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</si>
  <si>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</si>
  <si>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</si>
  <si>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</si>
  <si>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</si>
  <si>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</si>
  <si>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</si>
  <si>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</si>
  <si>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</si>
  <si>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</si>
  <si>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</si>
  <si>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</si>
  <si>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</si>
  <si>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</si>
  <si>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</si>
  <si>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</si>
  <si>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</si>
  <si>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</si>
  <si>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</si>
  <si>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</si>
  <si>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</si>
  <si>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</si>
  <si>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</si>
  <si>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</si>
  <si>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</si>
  <si>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</si>
  <si>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</si>
  <si>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</si>
  <si>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</si>
  <si>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</si>
  <si>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</si>
  <si>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</si>
  <si>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</si>
  <si>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</si>
  <si>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</si>
  <si>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</si>
  <si>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</si>
  <si>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</si>
  <si>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</si>
  <si>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</si>
  <si>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</si>
  <si>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</si>
  <si>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</si>
  <si>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</si>
  <si>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</si>
  <si>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</si>
  <si>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</si>
  <si>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</si>
  <si>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</si>
  <si>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</si>
  <si>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</si>
  <si>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</si>
  <si>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</si>
  <si>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</si>
  <si>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</si>
  <si>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</si>
  <si>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</si>
  <si>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</si>
  <si>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</si>
  <si>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</si>
  <si>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</si>
  <si>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</si>
  <si>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</si>
  <si>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</si>
  <si>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</si>
  <si>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</si>
  <si>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</si>
  <si>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</si>
  <si>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</si>
  <si>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</si>
  <si>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</si>
  <si>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</si>
  <si>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</si>
  <si>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</si>
  <si>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</si>
  <si>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</si>
  <si>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</si>
  <si>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</si>
  <si>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</si>
  <si>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</si>
  <si>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</si>
  <si>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</si>
  <si>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</si>
  <si>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</si>
  <si>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</si>
  <si>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</si>
  <si>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</si>
  <si>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</si>
  <si>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</si>
  <si>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</si>
  <si>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</si>
  <si>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</si>
  <si>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</si>
  <si>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</si>
  <si>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</si>
  <si>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</si>
  <si>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</si>
  <si>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</si>
  <si>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</si>
  <si>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</si>
  <si>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</si>
  <si>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</si>
  <si>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</si>
  <si>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</si>
  <si>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</si>
  <si>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</si>
  <si>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</si>
  <si>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</si>
  <si>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</si>
  <si>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</si>
  <si>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</si>
  <si>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</si>
  <si>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</si>
  <si>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</si>
  <si>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</si>
  <si>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</si>
  <si>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</si>
  <si>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</si>
  <si>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</si>
  <si>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</si>
  <si>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</si>
  <si>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</si>
  <si>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</si>
  <si>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</si>
  <si>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</si>
  <si>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</si>
  <si>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</si>
  <si>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</si>
  <si>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</si>
  <si>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</si>
  <si>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</si>
  <si>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</si>
  <si>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</si>
  <si>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</si>
  <si>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</si>
  <si>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</si>
  <si>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</si>
  <si>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</si>
  <si>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</si>
  <si>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</si>
  <si>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</si>
  <si>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</si>
  <si>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</si>
  <si>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</si>
  <si>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</si>
  <si>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</si>
  <si>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</si>
  <si>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</si>
  <si>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</si>
  <si>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</si>
  <si>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</si>
  <si>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</si>
  <si>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</si>
  <si>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</si>
  <si>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</si>
  <si>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</si>
  <si>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</si>
  <si>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</si>
  <si>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</si>
  <si>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</si>
  <si>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</si>
  <si>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</si>
  <si>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</si>
  <si>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</si>
  <si>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</si>
  <si>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</si>
  <si>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</si>
  <si>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</si>
  <si>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</si>
  <si>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</si>
  <si>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</si>
  <si>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</si>
  <si>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</si>
  <si>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</si>
  <si>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</si>
  <si>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</si>
  <si>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</si>
  <si>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</si>
  <si>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</si>
  <si>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</si>
  <si>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</si>
  <si>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</si>
  <si>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</si>
  <si>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</si>
  <si>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</si>
  <si>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</si>
  <si>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</si>
  <si>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</si>
  <si>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</si>
  <si>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</si>
  <si>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</si>
  <si>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</si>
  <si>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</si>
  <si>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</si>
  <si>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</si>
  <si>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</si>
  <si>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</si>
  <si>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</si>
  <si>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</si>
  <si>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</si>
  <si>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</si>
  <si>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</si>
  <si>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</si>
  <si>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</si>
  <si>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</si>
  <si>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</si>
  <si>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</si>
  <si>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</si>
  <si>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</si>
  <si>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</si>
  <si>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</si>
  <si>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</si>
  <si>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</si>
  <si>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</si>
  <si>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</si>
  <si>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</si>
  <si>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</si>
  <si>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</si>
  <si>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</si>
  <si>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</si>
  <si>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</si>
  <si>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</si>
  <si>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</si>
  <si>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</si>
  <si>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</si>
  <si>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</si>
  <si>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</si>
  <si>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</si>
  <si>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</si>
  <si>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</si>
  <si>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</si>
  <si>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</si>
  <si>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</si>
  <si>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</si>
  <si>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</si>
  <si>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</si>
  <si>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</si>
  <si>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</si>
  <si>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</si>
  <si>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</si>
  <si>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</si>
  <si>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</si>
  <si>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</si>
  <si>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</si>
  <si>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</si>
  <si>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</si>
  <si>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</si>
  <si>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</si>
  <si>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</si>
  <si>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</si>
  <si>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</si>
  <si>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</si>
  <si>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</si>
  <si>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</si>
  <si>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</si>
  <si>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</si>
  <si>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</si>
  <si>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</si>
  <si>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</si>
  <si>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</si>
  <si>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</si>
  <si>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</si>
  <si>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</si>
  <si>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</si>
  <si>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</si>
  <si>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</si>
  <si>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</si>
  <si>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</si>
  <si>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</si>
  <si>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</si>
  <si>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</si>
  <si>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</si>
  <si>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</si>
  <si>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</si>
  <si>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</si>
  <si>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</si>
  <si>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</si>
  <si>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</si>
  <si>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</si>
  <si>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</si>
  <si>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</si>
  <si>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</si>
  <si>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</si>
  <si>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</si>
  <si>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</si>
  <si>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</si>
  <si>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</si>
  <si>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</si>
  <si>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</si>
  <si>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</si>
  <si>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</si>
  <si>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</si>
  <si>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</si>
  <si>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</si>
  <si>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</si>
  <si>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</si>
  <si>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</si>
  <si>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</si>
  <si>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</si>
  <si>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</si>
  <si>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</si>
  <si>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</si>
  <si>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</si>
  <si>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</si>
  <si>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</si>
  <si>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</si>
  <si>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</si>
  <si>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</si>
  <si>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</si>
  <si>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</si>
  <si>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</si>
  <si>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</si>
  <si>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</si>
  <si>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</si>
  <si>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</si>
  <si>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</si>
  <si>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</si>
  <si>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</si>
  <si>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</si>
  <si>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</si>
  <si>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</si>
  <si>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</si>
  <si>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</si>
  <si>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</si>
  <si>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</si>
  <si>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</si>
  <si>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</si>
  <si>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</si>
  <si>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</si>
  <si>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</si>
  <si>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</si>
  <si>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</si>
  <si>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</si>
  <si>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</si>
  <si>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</si>
  <si>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</si>
  <si>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</si>
  <si>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</si>
  <si>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</si>
  <si>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</si>
  <si>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</si>
  <si>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</si>
  <si>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</si>
  <si>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</si>
  <si>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</si>
  <si>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</si>
  <si>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</si>
  <si>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</si>
  <si>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</si>
  <si>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</si>
  <si>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</si>
  <si>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</si>
  <si>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</si>
  <si>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</si>
  <si>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</si>
  <si>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</si>
  <si>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</si>
  <si>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</si>
  <si>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</si>
  <si>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</si>
  <si>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</si>
  <si>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</si>
  <si>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</si>
  <si>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</si>
  <si>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</si>
  <si>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</si>
  <si>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</si>
  <si>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</si>
  <si>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</si>
  <si>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</si>
  <si>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</si>
  <si>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</si>
  <si>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</si>
  <si>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</si>
  <si>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</si>
  <si>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</si>
  <si>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</si>
  <si>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</si>
  <si>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</si>
  <si>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</si>
  <si>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</si>
  <si>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</si>
  <si>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</si>
  <si>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</si>
  <si>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</si>
  <si>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</si>
  <si>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</si>
  <si>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</si>
  <si>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</si>
  <si>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</si>
  <si>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</si>
  <si>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</si>
  <si>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</si>
  <si>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</si>
  <si>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</si>
  <si>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</si>
  <si>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</si>
  <si>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</si>
  <si>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</si>
  <si>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</si>
  <si>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</si>
  <si>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</si>
  <si>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</si>
  <si>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</si>
  <si>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</si>
  <si>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</si>
  <si>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</si>
  <si>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</si>
  <si>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</si>
  <si>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</si>
  <si>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</si>
  <si>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</si>
  <si>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</si>
  <si>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</si>
  <si>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</si>
  <si>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</si>
  <si>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</si>
  <si>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</si>
  <si>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</si>
  <si>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</si>
  <si>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</si>
  <si>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</si>
  <si>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</si>
  <si>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</si>
  <si>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</si>
  <si>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</si>
  <si>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</si>
  <si>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</si>
  <si>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</si>
  <si>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</si>
  <si>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</si>
  <si>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</si>
  <si>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</si>
  <si>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</si>
  <si>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</si>
  <si>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</si>
  <si>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</si>
  <si>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</si>
  <si>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</si>
  <si>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</si>
  <si>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</si>
  <si>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</si>
  <si>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</si>
  <si>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</si>
  <si>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</si>
  <si>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</si>
  <si>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</si>
  <si>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</si>
  <si>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</si>
  <si>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</si>
  <si>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</si>
  <si>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</si>
  <si>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</si>
  <si>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</si>
  <si>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</si>
  <si>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</si>
  <si>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</si>
  <si>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</si>
  <si>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</si>
  <si>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</si>
  <si>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</si>
  <si>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</si>
  <si>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</si>
  <si>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</si>
  <si>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</si>
  <si>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</si>
  <si>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</si>
  <si>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</si>
  <si>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</si>
  <si>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</si>
  <si>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</si>
  <si>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</si>
  <si>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</si>
  <si>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</si>
  <si>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</si>
  <si>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</si>
  <si>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</si>
  <si>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</si>
  <si>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</si>
  <si>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</si>
  <si>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</si>
  <si>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</si>
  <si>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</si>
  <si>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</si>
  <si>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</si>
  <si>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</si>
  <si>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</si>
  <si>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</si>
  <si>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</si>
  <si>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</si>
  <si>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</si>
  <si>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</si>
  <si>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</si>
  <si>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</si>
  <si>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</si>
  <si>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</si>
  <si>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</si>
  <si>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</si>
  <si>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</si>
  <si>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</si>
  <si>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</si>
  <si>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</si>
  <si>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</si>
  <si>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</si>
  <si>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</si>
  <si>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</si>
  <si>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</si>
  <si>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</si>
  <si>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</si>
  <si>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</si>
  <si>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</si>
  <si>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</si>
  <si>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</si>
  <si>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</si>
  <si>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</si>
  <si>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</si>
  <si>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</si>
  <si>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</si>
  <si>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</si>
  <si>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</si>
  <si>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</si>
  <si>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</si>
  <si>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</si>
  <si>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</si>
  <si>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</si>
  <si>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</si>
  <si>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</si>
  <si>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</si>
  <si>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</si>
  <si>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</si>
  <si>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</si>
  <si>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</si>
  <si>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</si>
  <si>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</si>
  <si>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</si>
  <si>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</si>
  <si>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</si>
  <si>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</si>
  <si>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</si>
  <si>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</si>
  <si>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</si>
  <si>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</si>
  <si>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</si>
  <si>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</si>
  <si>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</si>
  <si>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</si>
  <si>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</si>
  <si>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</si>
  <si>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</si>
  <si>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</si>
  <si>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</si>
  <si>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</si>
  <si>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</si>
  <si>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</si>
  <si>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</si>
  <si>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</si>
  <si>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</si>
  <si>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</si>
  <si>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</si>
  <si>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</si>
  <si>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</si>
  <si>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</si>
  <si>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</si>
  <si>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</si>
  <si>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</si>
  <si>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</si>
  <si>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</si>
  <si>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</si>
  <si>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</si>
  <si>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</si>
  <si>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</si>
  <si>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</si>
  <si>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</si>
  <si>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</si>
  <si>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</si>
  <si>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</si>
  <si>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</si>
  <si>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</si>
  <si>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</si>
  <si>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</si>
  <si>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</si>
  <si>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</si>
  <si>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</si>
  <si>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</si>
  <si>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</si>
  <si>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</si>
  <si>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</si>
  <si>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</si>
  <si>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</si>
  <si>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</si>
  <si>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</si>
  <si>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</si>
  <si>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</si>
  <si>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</si>
  <si>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</si>
  <si>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</si>
  <si>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</si>
  <si>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</si>
  <si>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</si>
  <si>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</si>
  <si>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</si>
  <si>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</si>
  <si>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</si>
  <si>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</si>
  <si>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</si>
  <si>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</si>
  <si>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</si>
  <si>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</si>
  <si>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</si>
  <si>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</si>
  <si>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</si>
  <si>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</si>
  <si>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</si>
  <si>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</si>
  <si>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</si>
  <si>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</si>
  <si>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</si>
  <si>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</si>
  <si>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</si>
  <si>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</si>
  <si>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</si>
  <si>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</si>
  <si>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</si>
  <si>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</si>
  <si>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</si>
  <si>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</si>
  <si>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</si>
  <si>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</si>
  <si>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</si>
  <si>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</si>
  <si>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</si>
  <si>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</si>
  <si>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</si>
  <si>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</si>
  <si>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</si>
  <si>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</si>
  <si>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</si>
  <si>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</si>
  <si>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</si>
  <si>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</si>
  <si>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</si>
  <si>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</si>
  <si>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</si>
  <si>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</si>
  <si>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</si>
  <si>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</si>
  <si>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</si>
  <si>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</si>
  <si>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</si>
  <si>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</si>
  <si>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</si>
  <si>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</si>
  <si>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</si>
  <si>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</si>
  <si>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</si>
  <si>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</si>
  <si>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</si>
  <si>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</si>
  <si>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</si>
  <si>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</si>
  <si>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</si>
  <si>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</si>
  <si>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</si>
  <si>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</si>
  <si>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</si>
  <si>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</si>
  <si>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</si>
  <si>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</si>
  <si>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</si>
  <si>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</si>
  <si>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</si>
  <si>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</si>
  <si>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</si>
  <si>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</si>
  <si>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</si>
  <si>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</si>
  <si>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</si>
  <si>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</si>
  <si>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</si>
  <si>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</si>
  <si>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</si>
  <si>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</si>
  <si>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</si>
  <si>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</si>
  <si>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</si>
  <si>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</si>
  <si>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</si>
  <si>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</si>
  <si>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</si>
  <si>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</si>
  <si>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</si>
  <si>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</si>
  <si>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</si>
  <si>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</si>
  <si>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</si>
  <si>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</si>
  <si>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</si>
  <si>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</si>
  <si>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</si>
  <si>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</si>
  <si>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</si>
  <si>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</si>
  <si>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</si>
  <si>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</si>
  <si>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</si>
  <si>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</si>
  <si>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</si>
  <si>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</si>
  <si>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</si>
  <si>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</si>
  <si>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</si>
  <si>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</si>
  <si>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</si>
  <si>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</si>
  <si>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</si>
  <si>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</si>
  <si>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</si>
  <si>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</si>
  <si>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</si>
  <si>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</si>
  <si>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</si>
  <si>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</si>
  <si>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</si>
  <si>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</si>
  <si>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</si>
  <si>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</si>
  <si>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</si>
  <si>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</si>
  <si>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</si>
  <si>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</si>
  <si>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</si>
  <si>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</si>
  <si>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</si>
  <si>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</si>
  <si>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</si>
  <si>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</si>
  <si>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</si>
  <si>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</si>
  <si>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</si>
  <si>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</si>
  <si>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</si>
  <si>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</si>
  <si>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</si>
  <si>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</si>
  <si>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</si>
  <si>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</si>
  <si>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</si>
  <si>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</si>
  <si>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</si>
  <si>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</si>
  <si>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</si>
  <si>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</si>
  <si>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</si>
  <si>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</si>
  <si>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</si>
  <si>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</si>
  <si>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</si>
  <si>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</si>
  <si>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</si>
  <si>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</si>
  <si>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</si>
  <si>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</si>
  <si>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</si>
  <si>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</si>
  <si>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</si>
  <si>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</si>
  <si>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</si>
  <si>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</si>
  <si>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</si>
  <si>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</si>
  <si>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</si>
  <si>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</si>
  <si>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</si>
  <si>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</si>
  <si>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</si>
  <si>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</si>
  <si>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</si>
  <si>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</si>
  <si>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</si>
  <si>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</si>
  <si>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</si>
  <si>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</si>
  <si>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</si>
  <si>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</si>
  <si>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</si>
  <si>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</si>
  <si>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</si>
  <si>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</si>
  <si>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</si>
  <si>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</si>
  <si>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</si>
  <si>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</si>
  <si>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</si>
  <si>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</si>
  <si>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</si>
  <si>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</si>
  <si>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</si>
  <si>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</si>
  <si>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</si>
  <si>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</si>
  <si>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</si>
  <si>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</si>
  <si>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</si>
  <si>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</si>
  <si>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</si>
  <si>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</si>
  <si>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</si>
  <si>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</si>
  <si>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</si>
  <si>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</si>
  <si>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</si>
  <si>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</si>
  <si>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</si>
  <si>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</si>
  <si>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</si>
  <si>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</si>
  <si>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</si>
  <si>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</si>
  <si>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</si>
  <si>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</si>
  <si>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</si>
  <si>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</si>
  <si>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</si>
  <si>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</si>
  <si>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</si>
  <si>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</si>
  <si>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</si>
  <si>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</si>
  <si>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</si>
  <si>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</si>
  <si>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</si>
  <si>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</si>
  <si>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</si>
  <si>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</si>
  <si>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</si>
  <si>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</si>
  <si>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</si>
  <si>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</si>
  <si>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</si>
  <si>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</si>
  <si>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</si>
  <si>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</si>
  <si>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</si>
  <si>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</si>
  <si>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</si>
  <si>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</si>
  <si>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</si>
  <si>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</si>
  <si>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</si>
  <si>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</si>
  <si>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</si>
  <si>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</si>
  <si>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</si>
  <si>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</si>
  <si>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</si>
  <si>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</si>
  <si>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</si>
  <si>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</si>
  <si>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</si>
  <si>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</si>
  <si>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</si>
  <si>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</si>
  <si>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</si>
  <si>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</si>
  <si>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</si>
  <si>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</si>
  <si>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</si>
  <si>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</si>
  <si>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</si>
  <si>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</si>
  <si>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</si>
  <si>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</si>
  <si>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</si>
  <si>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</si>
  <si>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</si>
  <si>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</si>
  <si>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</si>
  <si>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</si>
  <si>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</si>
  <si>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</si>
  <si>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</si>
  <si>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</si>
  <si>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</si>
  <si>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</si>
  <si>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</si>
  <si>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</si>
  <si>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</si>
  <si>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</si>
  <si>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</si>
  <si>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</si>
  <si>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</si>
  <si>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</si>
  <si>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</si>
  <si>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</si>
  <si>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</si>
  <si>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</si>
  <si>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</si>
  <si>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</si>
  <si>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</si>
  <si>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</si>
  <si>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</si>
  <si>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</si>
  <si>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</si>
  <si>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</si>
  <si>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</si>
  <si>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</si>
  <si>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</si>
  <si>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</si>
  <si>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</si>
  <si>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</si>
  <si>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</si>
  <si>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</si>
  <si>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</si>
  <si>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</si>
  <si>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</si>
  <si>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</si>
  <si>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</si>
  <si>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</si>
  <si>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</si>
  <si>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</si>
  <si>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</si>
  <si>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</si>
  <si>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</si>
  <si>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</si>
  <si>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</si>
  <si>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</si>
  <si>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</si>
  <si>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</si>
  <si>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</si>
  <si>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</si>
  <si>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</si>
  <si>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</si>
  <si>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</si>
  <si>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</si>
  <si>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</si>
  <si>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</si>
  <si>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</si>
  <si>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</si>
  <si>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</si>
  <si>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</si>
  <si>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</si>
  <si>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</si>
  <si>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</si>
  <si>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</si>
  <si>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</si>
  <si>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</si>
  <si>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</si>
  <si>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</si>
  <si>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</si>
  <si>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</si>
  <si>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</si>
  <si>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</si>
  <si>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</si>
  <si>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</si>
  <si>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</si>
  <si>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</si>
  <si>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</si>
  <si>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</si>
  <si>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</si>
  <si>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</si>
  <si>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</si>
  <si>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</si>
  <si>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</si>
  <si>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</si>
  <si>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</si>
  <si>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</si>
  <si>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</si>
  <si>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</si>
  <si>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</si>
  <si>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</si>
  <si>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</si>
  <si>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</si>
  <si>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</si>
  <si>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</si>
  <si>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</si>
  <si>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</si>
  <si>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</si>
  <si>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</si>
  <si>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</si>
  <si>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</si>
  <si>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</si>
  <si>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</si>
  <si>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</si>
  <si>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</si>
  <si>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</si>
  <si>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</si>
  <si>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</si>
  <si>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</si>
  <si>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</si>
  <si>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</si>
  <si>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</si>
  <si>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</si>
  <si>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</si>
  <si>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</si>
  <si>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</si>
  <si>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</si>
  <si>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</si>
  <si>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</si>
  <si>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</si>
  <si>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</si>
  <si>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</si>
  <si>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</si>
  <si>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</si>
  <si>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</si>
  <si>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</si>
  <si>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</si>
  <si>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</si>
  <si>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</si>
  <si>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</si>
  <si>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</si>
  <si>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</si>
  <si>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</si>
  <si>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</si>
  <si>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</si>
  <si>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</si>
  <si>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</si>
  <si>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</si>
  <si>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</si>
  <si>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</si>
  <si>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</si>
  <si>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</si>
  <si>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</si>
  <si>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</si>
  <si>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</si>
  <si>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</si>
  <si>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</si>
  <si>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</si>
  <si>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</si>
  <si>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</si>
  <si>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</si>
  <si>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</si>
  <si>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</si>
  <si>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</si>
  <si>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</si>
  <si>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</si>
  <si>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</si>
  <si>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</si>
  <si>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</si>
  <si>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</si>
  <si>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</si>
  <si>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</si>
  <si>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</si>
  <si>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</si>
  <si>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</si>
  <si>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</si>
  <si>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</si>
  <si>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</si>
  <si>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</si>
  <si>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</si>
  <si>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</si>
  <si>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</si>
  <si>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</si>
  <si>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</si>
  <si>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</si>
  <si>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</si>
  <si>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</si>
  <si>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</si>
  <si>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</si>
  <si>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</si>
  <si>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</si>
  <si>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</si>
  <si>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</si>
  <si>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</si>
  <si>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</si>
  <si>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</si>
  <si>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</si>
  <si>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</si>
  <si>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</si>
  <si>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</si>
  <si>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</si>
  <si>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</si>
  <si>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</si>
  <si>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</si>
  <si>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</si>
  <si>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</si>
  <si>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</si>
  <si>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</si>
  <si>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</si>
  <si>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</si>
  <si>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</si>
  <si>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</si>
  <si>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</si>
  <si>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</si>
  <si>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</si>
  <si>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</si>
  <si>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</si>
  <si>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</si>
  <si>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</si>
  <si>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</si>
  <si>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</si>
  <si>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</si>
  <si>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</si>
  <si>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</si>
  <si>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</si>
  <si>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</si>
  <si>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</si>
  <si>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</si>
  <si>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</si>
  <si>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</si>
  <si>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</si>
  <si>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</si>
  <si>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</si>
  <si>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</si>
  <si>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</si>
  <si>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</si>
  <si>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</si>
  <si>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</si>
  <si>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</si>
  <si>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</si>
  <si>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</si>
  <si>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</si>
  <si>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</si>
  <si>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</si>
  <si>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</si>
  <si>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</si>
  <si>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</si>
  <si>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</si>
  <si>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</si>
  <si>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</si>
  <si>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</si>
  <si>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</si>
  <si>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</si>
  <si>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</si>
  <si>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</si>
  <si>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</si>
  <si>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</si>
  <si>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</si>
  <si>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</si>
  <si>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</si>
  <si>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</si>
  <si>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</si>
  <si>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</si>
  <si>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</si>
  <si>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</si>
  <si>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</si>
  <si>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</si>
  <si>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</si>
  <si>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</si>
  <si>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</si>
  <si>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</si>
  <si>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</si>
  <si>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</si>
  <si>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</si>
  <si>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</si>
  <si>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</si>
  <si>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</si>
  <si>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</si>
  <si>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</si>
  <si>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</si>
  <si>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</si>
  <si>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</si>
  <si>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</si>
  <si>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</si>
  <si>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</si>
  <si>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</si>
  <si>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</si>
  <si>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</si>
  <si>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</si>
  <si>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</si>
  <si>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</si>
  <si>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</si>
  <si>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</si>
  <si>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</si>
  <si>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</si>
  <si>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</si>
  <si>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</si>
  <si>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</si>
  <si>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</si>
  <si>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</si>
  <si>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</si>
  <si>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</si>
  <si>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</si>
  <si>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</si>
  <si>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</si>
  <si>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</si>
  <si>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</si>
  <si>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</si>
  <si>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</si>
  <si>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</si>
  <si>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</si>
  <si>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</si>
  <si>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</si>
  <si>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</si>
  <si>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</si>
  <si>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</si>
  <si>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</si>
  <si>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</si>
  <si>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</si>
  <si>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</si>
  <si>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</si>
  <si>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</si>
  <si>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</si>
  <si>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</si>
  <si>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</si>
  <si>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</si>
  <si>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</si>
  <si>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</si>
  <si>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</si>
  <si>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</si>
  <si>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</si>
  <si>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</si>
  <si>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</si>
  <si>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</si>
  <si>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</si>
  <si>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</si>
  <si>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</si>
  <si>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</si>
  <si>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</si>
  <si>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</si>
  <si>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</si>
  <si>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</si>
  <si>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</si>
  <si>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</si>
  <si>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</si>
  <si>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</si>
  <si>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</si>
  <si>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</si>
  <si>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</si>
  <si>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</si>
  <si>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</si>
  <si>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</si>
  <si>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</si>
  <si>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</si>
  <si>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</si>
  <si>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</si>
  <si>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</si>
  <si>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</si>
  <si>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</si>
  <si>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</si>
  <si>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</si>
  <si>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</si>
  <si>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</si>
  <si>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</si>
  <si>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</si>
  <si>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</si>
  <si>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</si>
  <si>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</si>
  <si>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</si>
  <si>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</si>
  <si>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</si>
  <si>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</si>
  <si>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</si>
  <si>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</si>
  <si>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</si>
  <si>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</si>
  <si>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</si>
  <si>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</si>
  <si>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</si>
  <si>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</si>
  <si>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</si>
  <si>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</si>
  <si>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</si>
  <si>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</si>
  <si>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</si>
  <si>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</si>
  <si>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</si>
  <si>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</si>
  <si>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</si>
  <si>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</si>
  <si>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</si>
  <si>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</si>
  <si>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</si>
  <si>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</si>
  <si>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</si>
  <si>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</si>
  <si>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</si>
  <si>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</si>
  <si>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</si>
  <si>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</si>
  <si>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</si>
  <si>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</si>
  <si>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</si>
  <si>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</si>
  <si>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</si>
  <si>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</si>
  <si>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</si>
  <si>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</si>
  <si>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</si>
  <si>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</si>
  <si>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</si>
  <si>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</si>
  <si>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</si>
  <si>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</si>
  <si>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</si>
  <si>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</si>
  <si>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</si>
  <si>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</si>
  <si>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</si>
  <si>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</si>
  <si>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</si>
  <si>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</si>
  <si>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</si>
  <si>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</si>
  <si>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</si>
  <si>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</si>
  <si>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</si>
  <si>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</si>
  <si>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</si>
  <si>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</si>
  <si>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</si>
  <si>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</si>
  <si>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</si>
  <si>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</si>
  <si>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</si>
  <si>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</si>
  <si>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</si>
  <si>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</si>
  <si>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</si>
  <si>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</si>
  <si>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</si>
  <si>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</si>
  <si>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</si>
  <si>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</si>
  <si>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</si>
  <si>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</si>
  <si>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</si>
  <si>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</si>
  <si>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</si>
  <si>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</si>
  <si>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</si>
  <si>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</si>
  <si>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</si>
  <si>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</si>
  <si>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</si>
  <si>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</si>
  <si>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</si>
  <si>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</si>
  <si>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</si>
  <si>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</si>
  <si>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</si>
  <si>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</si>
  <si>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</si>
  <si>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</si>
  <si>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</si>
  <si>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</si>
  <si>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</si>
  <si>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</si>
  <si>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</si>
  <si>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</si>
  <si>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</si>
  <si>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</si>
  <si>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</si>
  <si>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</si>
  <si>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</si>
  <si>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</si>
  <si>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</si>
  <si>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</si>
  <si>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</si>
  <si>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</si>
  <si>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</si>
  <si>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</si>
  <si>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</si>
  <si>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</si>
  <si>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</si>
  <si>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</si>
  <si>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</si>
  <si>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</si>
  <si>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</si>
  <si>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</si>
  <si>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</si>
  <si>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</si>
  <si>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</si>
  <si>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</si>
  <si>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</si>
  <si>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</si>
  <si>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</si>
  <si>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</si>
  <si>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</si>
  <si>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</si>
  <si>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</si>
  <si>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</si>
  <si>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</si>
  <si>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</si>
  <si>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</si>
  <si>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</si>
  <si>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</si>
  <si>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</si>
  <si>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</si>
  <si>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</si>
  <si>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</si>
  <si>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</si>
  <si>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</si>
  <si>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</si>
  <si>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</si>
  <si>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</si>
  <si>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</si>
  <si>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</si>
  <si>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</si>
  <si>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</si>
  <si>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</si>
  <si>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</si>
  <si>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</si>
  <si>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</si>
  <si>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</si>
  <si>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</si>
  <si>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</si>
  <si>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</si>
  <si>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</si>
  <si>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</si>
  <si>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</si>
  <si>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</si>
  <si>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</si>
  <si>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</si>
  <si>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</si>
  <si>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</si>
  <si>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</si>
  <si>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</si>
  <si>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</si>
  <si>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</si>
  <si>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</si>
  <si>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</si>
  <si>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</si>
  <si>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</si>
  <si>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</si>
  <si>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</si>
  <si>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</si>
  <si>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</si>
  <si>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</si>
  <si>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</si>
  <si>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</si>
  <si>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</si>
  <si>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</si>
  <si>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</si>
  <si>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</si>
  <si>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</si>
  <si>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</si>
  <si>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</si>
  <si>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</si>
  <si>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</si>
  <si>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</si>
  <si>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</si>
  <si>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</si>
  <si>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</si>
  <si>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</si>
  <si>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</si>
  <si>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</si>
  <si>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</si>
  <si>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</si>
  <si>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</si>
  <si>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</si>
  <si>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</si>
  <si>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</si>
  <si>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</si>
  <si>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</si>
  <si>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</si>
  <si>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</si>
  <si>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</si>
  <si>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</si>
  <si>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</si>
  <si>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</si>
  <si>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</si>
  <si>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</si>
  <si>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</si>
  <si>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</si>
  <si>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</si>
  <si>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</si>
  <si>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</si>
  <si>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</si>
  <si>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</si>
  <si>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</si>
  <si>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</si>
  <si>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</si>
  <si>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</si>
  <si>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</si>
  <si>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</si>
  <si>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</si>
  <si>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</si>
  <si>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</si>
  <si>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</si>
  <si>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</si>
  <si>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</si>
  <si>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</si>
  <si>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</si>
  <si>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</si>
  <si>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</si>
  <si>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</si>
  <si>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</si>
  <si>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</si>
  <si>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</si>
  <si>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</si>
  <si>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</si>
  <si>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</si>
  <si>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</si>
  <si>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</si>
  <si>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</si>
  <si>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</si>
  <si>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</si>
  <si>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</si>
  <si>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</si>
  <si>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</si>
  <si>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</si>
  <si>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</si>
  <si>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</si>
  <si>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</si>
  <si>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</si>
  <si>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</si>
  <si>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</si>
  <si>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</si>
  <si>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</si>
  <si>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</si>
  <si>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</si>
  <si>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</si>
  <si>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</si>
  <si>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</si>
  <si>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</si>
  <si>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</si>
  <si>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</si>
  <si>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</si>
  <si>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</si>
  <si>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</si>
  <si>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</si>
  <si>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</si>
  <si>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</si>
  <si>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</si>
  <si>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</si>
  <si>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</si>
  <si>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</si>
  <si>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</si>
  <si>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</si>
  <si>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</si>
  <si>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</si>
  <si>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</si>
  <si>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</si>
  <si>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</si>
  <si>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</si>
  <si>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</si>
  <si>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</si>
  <si>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</si>
  <si>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</si>
  <si>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</si>
  <si>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</si>
  <si>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</si>
  <si>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</si>
  <si>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</si>
  <si>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</si>
  <si>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</si>
  <si>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</si>
  <si>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</si>
  <si>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</si>
  <si>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</si>
  <si>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</si>
  <si>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</si>
  <si>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</si>
  <si>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</si>
  <si>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</si>
  <si>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</si>
  <si>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</si>
  <si>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</si>
  <si>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</si>
  <si>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</si>
  <si>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</si>
  <si>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</si>
  <si>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</si>
  <si>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</si>
  <si>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</si>
  <si>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</si>
  <si>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</si>
  <si>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</si>
  <si>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</si>
  <si>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</si>
  <si>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</si>
  <si>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</si>
  <si>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</si>
  <si>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</si>
  <si>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</si>
  <si>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</si>
  <si>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</si>
  <si>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</si>
  <si>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</si>
  <si>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</si>
  <si>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</si>
  <si>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</si>
  <si>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</si>
  <si>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</si>
  <si>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</si>
  <si>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</si>
  <si>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</si>
  <si>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</si>
  <si>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</si>
  <si>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</si>
  <si>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</si>
  <si>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</si>
  <si>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</si>
  <si>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</si>
  <si>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</si>
  <si>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</si>
  <si>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</si>
  <si>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</si>
  <si>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</si>
  <si>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</si>
  <si>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</si>
  <si>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</si>
  <si>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</si>
  <si>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</si>
  <si>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</si>
  <si>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</si>
  <si>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</si>
  <si>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</si>
  <si>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</si>
  <si>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</si>
  <si>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</si>
  <si>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</si>
  <si>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</si>
  <si>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</si>
  <si>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</si>
  <si>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</si>
  <si>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</si>
  <si>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</si>
  <si>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</si>
  <si>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</si>
  <si>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</si>
  <si>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</si>
  <si>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</si>
  <si>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</si>
  <si>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</si>
  <si>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</si>
  <si>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</si>
  <si>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</si>
  <si>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</si>
  <si>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</si>
  <si>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</si>
  <si>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</si>
  <si>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</si>
  <si>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</si>
  <si>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</si>
  <si>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</si>
  <si>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</si>
  <si>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</si>
  <si>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</si>
  <si>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</si>
  <si>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</si>
  <si>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</si>
  <si>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</si>
  <si>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</si>
  <si>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</si>
  <si>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</si>
  <si>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</si>
  <si>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</si>
  <si>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</si>
  <si>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</si>
  <si>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</si>
  <si>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</si>
  <si>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</si>
  <si>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</si>
  <si>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</si>
  <si>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</si>
  <si>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</si>
  <si>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</si>
  <si>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</si>
  <si>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</si>
  <si>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</si>
  <si>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</si>
  <si>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</si>
  <si>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</si>
  <si>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</si>
  <si>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</si>
  <si>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</si>
  <si>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</si>
  <si>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</si>
  <si>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</si>
  <si>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</si>
  <si>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</si>
  <si>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</si>
  <si>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</si>
  <si>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</si>
  <si>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</si>
  <si>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</si>
  <si>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</si>
  <si>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</si>
  <si>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</si>
  <si>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</si>
  <si>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</si>
  <si>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</si>
  <si>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</si>
  <si>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</si>
  <si>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</si>
  <si>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</si>
  <si>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</si>
  <si>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</si>
  <si>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</si>
  <si>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</si>
  <si>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</si>
  <si>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</si>
  <si>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</si>
  <si>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</si>
  <si>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</si>
  <si>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</si>
  <si>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</si>
  <si>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</si>
  <si>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</si>
  <si>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</si>
  <si>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</si>
  <si>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</si>
  <si>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</si>
  <si>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</si>
  <si>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</si>
  <si>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</si>
  <si>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</si>
  <si>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</si>
  <si>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</si>
  <si>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</si>
  <si>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</si>
  <si>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</si>
  <si>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</si>
  <si>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</si>
  <si>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</si>
  <si>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</si>
  <si>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</si>
  <si>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</si>
  <si>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</si>
  <si>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</si>
  <si>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</si>
  <si>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</si>
  <si>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</si>
  <si>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</si>
  <si>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</si>
  <si>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</si>
  <si>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</si>
  <si>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</si>
  <si>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</si>
  <si>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</si>
  <si>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</si>
  <si>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</si>
  <si>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</si>
  <si>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</si>
  <si>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</si>
  <si>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</si>
  <si>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</si>
  <si>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</si>
  <si>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</si>
  <si>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</si>
  <si>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</si>
  <si>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</si>
  <si>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</si>
  <si>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</si>
  <si>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</si>
  <si>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</si>
  <si>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</si>
  <si>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</si>
  <si>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</si>
  <si>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</si>
  <si>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</si>
  <si>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</si>
  <si>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</si>
  <si>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</si>
  <si>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</si>
  <si>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</si>
  <si>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</si>
  <si>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</si>
  <si>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</si>
  <si>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</si>
  <si>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</si>
  <si>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</si>
  <si>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</si>
  <si>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</si>
  <si>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</si>
  <si>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</si>
  <si>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</si>
  <si>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</si>
  <si>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</si>
  <si>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</si>
  <si>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</si>
  <si>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</si>
  <si>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</si>
  <si>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</si>
  <si>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</si>
  <si>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</si>
  <si>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</si>
  <si>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</si>
  <si>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</si>
  <si>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</si>
  <si>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</si>
  <si>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</si>
  <si>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</si>
  <si>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</si>
  <si>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</si>
  <si>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</si>
  <si>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</si>
  <si>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</si>
  <si>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</si>
  <si>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</si>
  <si>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</si>
  <si>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</si>
  <si>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</si>
  <si>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</si>
  <si>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</si>
  <si>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</si>
  <si>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</si>
  <si>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</si>
  <si>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</si>
  <si>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</si>
  <si>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</si>
  <si>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</si>
  <si>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</si>
  <si>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</si>
  <si>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</si>
  <si>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</si>
  <si>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</si>
  <si>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</si>
  <si>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</si>
  <si>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</si>
  <si>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</si>
  <si>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</si>
  <si>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</si>
  <si>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</si>
  <si>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</si>
  <si>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</si>
  <si>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</si>
  <si>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</si>
  <si>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</si>
  <si>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</si>
  <si>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</si>
  <si>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</si>
  <si>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</si>
  <si>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</si>
  <si>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</si>
  <si>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</si>
  <si>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</si>
  <si>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</si>
  <si>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</si>
  <si>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</si>
  <si>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</si>
  <si>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</si>
  <si>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</si>
  <si>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</si>
  <si>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</si>
  <si>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</si>
  <si>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</si>
  <si>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</si>
  <si>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</si>
  <si>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</si>
  <si>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</si>
  <si>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</si>
  <si>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</si>
  <si>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</si>
  <si>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</si>
  <si>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</si>
  <si>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</si>
  <si>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</si>
  <si>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</si>
  <si>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</si>
  <si>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</si>
  <si>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</si>
  <si>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</si>
  <si>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</si>
  <si>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</si>
  <si>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</si>
  <si>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</si>
  <si>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</si>
  <si>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</si>
  <si>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</si>
  <si>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</si>
  <si>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</si>
  <si>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</si>
  <si>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</si>
  <si>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</si>
  <si>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</si>
  <si>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</si>
  <si>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</si>
  <si>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</si>
  <si>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</si>
  <si>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</si>
  <si>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</si>
  <si>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</si>
  <si>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</si>
  <si>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企业</t>
  </si>
  <si>
    <t>北京农村商业银行股份有限公司</t>
    <phoneticPr fontId="6" type="noConversion"/>
  </si>
  <si>
    <t>核定资产</t>
  </si>
  <si>
    <t>市场价格</t>
  </si>
  <si>
    <t>出让</t>
  </si>
  <si>
    <t>商务金融用地（办公类）</t>
  </si>
  <si>
    <t>自定义容积率</t>
  </si>
  <si>
    <t>五通一平</t>
  </si>
  <si>
    <t>一致</t>
  </si>
  <si>
    <t>按公示增长率计算</t>
  </si>
  <si>
    <t>容积率修正</t>
  </si>
  <si>
    <t>一般</t>
  </si>
  <si>
    <t>较差</t>
  </si>
  <si>
    <t>较好</t>
  </si>
  <si>
    <t>陈颖</t>
  </si>
  <si>
    <t>叶凌</t>
  </si>
  <si>
    <t>北京农商银行怀柔支行</t>
    <phoneticPr fontId="6" type="noConversion"/>
  </si>
  <si>
    <t>桥梓镇岐庄村29号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</si>
</sst>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182" fontId="149" fillId="0" borderId="2" xfId="3"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22</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72"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北京市桥梓镇岐庄村29号出让国有建设用地使用权市场价格预评估</v>
      </c>
      <c r="AX2" s="2898"/>
      <c r="AZ2" s="2898"/>
      <c r="BA2" s="2899"/>
      <c r="BC2" s="2899"/>
    </row>
    <row r="3" spans="1:55" s="2900" customFormat="1">
      <c r="A3" s="2879" t="s">
        <v>2664</v>
      </c>
      <c r="B3" s="2882" t="str">
        <f>'预评函-封皮'!B40</f>
        <v>北京农商银行怀柔支行</v>
      </c>
    </row>
    <row r="4" spans="1:55" s="2881" customFormat="1">
      <c r="A4" s="2879" t="s">
        <v>2665</v>
      </c>
      <c r="B4" s="2880" t="str">
        <f>'预评函-封皮'!B46</f>
        <v>陈颖、叶凌</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受贵公司委托，我公司对北京市桥梓镇岐庄村29号出让国有建设用地使用权市场价格进行了预评估。</v>
      </c>
      <c r="AM6" s="2904"/>
    </row>
    <row r="7" spans="1:55" s="2878" customFormat="1">
      <c r="A7" s="2879" t="s">
        <v>2660</v>
      </c>
      <c r="B7" s="2880" t="e">
        <f>'预评函-1'!A6</f>
        <v>#DIV/0!</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2018年9月27日（评估专业人员勘察现场之日）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e">
        <f>'预评函-1'!A20</f>
        <v>#DIV/0!</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2048年12月22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9月27日，在规划利用条件下、设定土地开发程度为红线外“七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估价期日：2018年9月27日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t="e">
        <f>'预评函-2'!N5</f>
        <v>#DIV/0!</v>
      </c>
    </row>
    <row r="44" spans="1:2">
      <c r="A44" s="2879" t="s">
        <v>2743</v>
      </c>
      <c r="B44" s="2880" t="str">
        <f>'预评函-2'!O3</f>
        <v>规划建筑面积/㎡</v>
      </c>
    </row>
    <row r="45" spans="1:2">
      <c r="A45" s="2879" t="s">
        <v>2725</v>
      </c>
      <c r="B45" s="2880">
        <f>'预评函-2'!O5</f>
        <v>0</v>
      </c>
    </row>
    <row r="46" spans="1:2">
      <c r="A46" s="2879" t="s">
        <v>2726</v>
      </c>
      <c r="B46" s="2880" t="e">
        <f ca="1">'预评函-2'!P5</f>
        <v>#DIV/0!</v>
      </c>
    </row>
    <row r="47" spans="1:2">
      <c r="A47" s="2879" t="s">
        <v>2727</v>
      </c>
      <c r="B47" s="2880" t="e">
        <f ca="1">'预评函-2'!Q5</f>
        <v>#DIV/0!</v>
      </c>
    </row>
    <row r="48" spans="1:2">
      <c r="A48" s="2879" t="s">
        <v>2728</v>
      </c>
      <c r="B48" s="2880" t="e">
        <f ca="1">'预评函-2'!R5</f>
        <v>#DIV/0!</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陈颖</v>
      </c>
    </row>
    <row r="70" spans="1:2">
      <c r="A70" s="2879" t="s">
        <v>2693</v>
      </c>
      <c r="B70" s="2886">
        <f ca="1">'预评函-3'!B20</f>
        <v>2004110096</v>
      </c>
    </row>
    <row r="71" spans="1:2">
      <c r="A71" s="2879" t="s">
        <v>2694</v>
      </c>
      <c r="B71" s="2880" t="str">
        <f>'预评函-3'!A21</f>
        <v>叶凌</v>
      </c>
    </row>
    <row r="72" spans="1:2" s="2894" customFormat="1" ht="15" thickBot="1">
      <c r="A72" s="2901" t="s">
        <v>2694</v>
      </c>
      <c r="B72" s="2907">
        <f ca="1">'预评函-3'!B21</f>
        <v>94010078</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4" sqref="E4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2" t="str">
        <f>IF(B10="北京市","北京市",C10)&amp;F10&amp;B16&amp;"国有建设用地使用权"&amp;B9&amp;"预评估"</f>
        <v>北京市桥梓镇岐庄村29号出让国有建设用地使用权市场价格预评估</v>
      </c>
      <c r="C1" s="3213"/>
      <c r="D1" s="3213"/>
      <c r="E1" s="3213"/>
      <c r="F1" s="3213"/>
      <c r="G1" s="3213"/>
      <c r="H1" s="3213"/>
      <c r="I1" s="3214"/>
      <c r="J1" s="1694"/>
      <c r="K1" s="2456" t="str">
        <f>IF(B10="北京市","北京市",C10)&amp;F10&amp;B16&amp;"国有建设用地使用权"&amp;B9</f>
        <v>北京市桥梓镇岐庄村29号出让国有建设用地使用权市场价格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北京市桥梓镇岐庄村29号出让国有建设用地使用权</v>
      </c>
      <c r="L2" s="1723"/>
      <c r="M2" s="1723"/>
      <c r="N2" s="1694"/>
      <c r="O2" s="1695"/>
      <c r="P2" s="1694"/>
      <c r="Q2" s="1694"/>
      <c r="R2" s="1694"/>
      <c r="S2" s="1694"/>
      <c r="T2" s="1694"/>
      <c r="U2" s="1694"/>
    </row>
    <row r="3" spans="1:21">
      <c r="A3" s="1661" t="s">
        <v>1942</v>
      </c>
      <c r="B3" s="1662">
        <v>43370</v>
      </c>
      <c r="C3" s="1663" t="s">
        <v>1998</v>
      </c>
      <c r="D3" s="1662">
        <f>B3</f>
        <v>43370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2999</v>
      </c>
      <c r="C4" s="1846">
        <f ca="1">SUMIF(土地估价师,B4,估价师及机构信息!E3:E24)</f>
        <v>2004110096</v>
      </c>
      <c r="D4" s="1843" t="s">
        <v>3000</v>
      </c>
      <c r="E4" s="1846">
        <f ca="1">SUMIF(土地估价师,D4,估价师及机构信息!E3:E24)</f>
        <v>94010078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1944</v>
      </c>
      <c r="B5" s="1789" t="s">
        <v>3001</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18"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19"/>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3002</v>
      </c>
      <c r="G10" s="1745"/>
      <c r="H10" s="1746"/>
      <c r="I10" s="1667"/>
      <c r="J10" s="1694"/>
      <c r="K10" s="1774"/>
      <c r="L10" s="1723"/>
      <c r="M10" s="1723"/>
      <c r="N10" s="1694"/>
      <c r="O10" s="1695"/>
      <c r="P10" s="1694"/>
      <c r="Q10" s="1694"/>
      <c r="R10" s="1694"/>
      <c r="S10" s="1694"/>
      <c r="T10" s="1694"/>
      <c r="U10" s="1694"/>
    </row>
    <row r="11" spans="1:21" ht="42.75">
      <c r="A11" s="1697" t="s">
        <v>2003</v>
      </c>
      <c r="B11" s="1698" t="s">
        <v>2985</v>
      </c>
      <c r="C11" s="1679" t="s">
        <v>2986</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5"/>
      <c r="C12" s="3216"/>
      <c r="D12" s="3217"/>
      <c r="E12" s="1699" t="s">
        <v>2064</v>
      </c>
      <c r="F12" s="3233" t="s">
        <v>2891</v>
      </c>
      <c r="G12" s="3234"/>
      <c r="H12" s="3234"/>
      <c r="I12" s="3235"/>
      <c r="J12" s="1694"/>
      <c r="K12" s="1774"/>
      <c r="L12" s="1723"/>
      <c r="M12" s="1723"/>
      <c r="N12" s="1694"/>
      <c r="O12" s="1695"/>
      <c r="P12" s="1694"/>
      <c r="Q12" s="1694"/>
      <c r="R12" s="1694"/>
      <c r="S12" s="1694"/>
      <c r="T12" s="1694"/>
      <c r="U12" s="1694"/>
    </row>
    <row r="13" spans="1:21">
      <c r="A13" s="1687" t="s">
        <v>2062</v>
      </c>
      <c r="B13" s="3215"/>
      <c r="C13" s="3216"/>
      <c r="D13" s="3217"/>
      <c r="E13" s="1699" t="s">
        <v>2064</v>
      </c>
      <c r="F13" s="3233" t="s">
        <v>2892</v>
      </c>
      <c r="G13" s="3234"/>
      <c r="H13" s="3234"/>
      <c r="I13" s="3235"/>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7" t="s">
        <v>1952</v>
      </c>
      <c r="E16" s="1722"/>
      <c r="F16" s="1722" t="s">
        <v>1678</v>
      </c>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办公2048年12月22日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c r="F17" s="1700">
        <v>54414</v>
      </c>
      <c r="G17" s="1700"/>
      <c r="H17" s="1700"/>
      <c r="I17" s="1700"/>
      <c r="J17" s="1694"/>
      <c r="K17" s="2456" t="str">
        <f>CONCATENATE(K16,L16,M16,N16,O16,P16,Q16,R16,S16,T16,,U16)</f>
        <v>办公2048年12月22日</v>
      </c>
      <c r="L17" s="1723"/>
      <c r="M17" s="1723"/>
      <c r="N17" s="1694"/>
      <c r="O17" s="1695"/>
      <c r="P17" s="1694"/>
      <c r="Q17" s="1694"/>
      <c r="R17" s="1694"/>
      <c r="S17" s="1694"/>
      <c r="T17" s="1694"/>
      <c r="U17" s="1694"/>
    </row>
    <row r="18" spans="1:21">
      <c r="A18" s="1763"/>
      <c r="B18" s="1682"/>
      <c r="C18" s="1683" t="s">
        <v>1959</v>
      </c>
      <c r="D18" s="1684"/>
      <c r="E18" s="1684"/>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f>IF(B16="出让",IF(F17="","",ROUNDDOWN(MIN((F17-$D$3)/365,F18),2)),F18)</f>
        <v>30.25</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0"/>
      <c r="E20" s="3231"/>
      <c r="F20" s="3231"/>
      <c r="G20" s="3231"/>
      <c r="H20" s="3231"/>
      <c r="I20" s="3232"/>
      <c r="J20" s="1694"/>
      <c r="K20" s="1774"/>
      <c r="L20" s="1723"/>
      <c r="M20" s="1723"/>
      <c r="N20" s="1694"/>
      <c r="O20" s="1695"/>
      <c r="P20" s="1694"/>
      <c r="Q20" s="1694"/>
      <c r="R20" s="1694"/>
      <c r="S20" s="1694"/>
      <c r="T20" s="1694"/>
      <c r="U20" s="1694"/>
    </row>
    <row r="21" spans="1:21">
      <c r="A21" s="1763" t="s">
        <v>1961</v>
      </c>
      <c r="B21" s="1764" t="s">
        <v>1962</v>
      </c>
      <c r="C21" s="1759">
        <f>'数据-汇总表'!E3</f>
        <v>0</v>
      </c>
      <c r="D21" s="1760" t="s">
        <v>1963</v>
      </c>
      <c r="E21" s="3220" t="s">
        <v>2001</v>
      </c>
      <c r="F21" s="3221"/>
      <c r="G21" s="3221"/>
      <c r="H21" s="3221"/>
      <c r="I21" s="3222"/>
      <c r="J21" s="1694"/>
      <c r="K21" s="1774"/>
      <c r="L21" s="1723"/>
      <c r="M21" s="1723"/>
      <c r="N21" s="1694"/>
      <c r="O21" s="1695"/>
      <c r="P21" s="1694"/>
      <c r="Q21" s="1694"/>
      <c r="R21" s="1694"/>
      <c r="S21" s="1694"/>
      <c r="T21" s="1694"/>
      <c r="U21" s="1694"/>
    </row>
    <row r="22" spans="1:21">
      <c r="A22" s="3150" t="s">
        <v>952</v>
      </c>
      <c r="B22" s="1661" t="s">
        <v>1964</v>
      </c>
      <c r="C22" s="1686" t="e">
        <f>'数据-汇总表'!D3</f>
        <v>#DIV/0!</v>
      </c>
      <c r="D22" s="1687" t="s">
        <v>1963</v>
      </c>
      <c r="E22" s="3220" t="s">
        <v>2893</v>
      </c>
      <c r="F22" s="3221"/>
      <c r="G22" s="3221"/>
      <c r="H22" s="3221"/>
      <c r="I22" s="3222"/>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3" t="s">
        <v>1969</v>
      </c>
      <c r="C24" s="3224"/>
      <c r="D24" s="3225" t="s">
        <v>1970</v>
      </c>
      <c r="E24" s="3226"/>
      <c r="F24" s="1708" t="s">
        <v>1971</v>
      </c>
      <c r="G24" s="1694"/>
      <c r="H24" s="1694"/>
      <c r="I24" s="1707"/>
      <c r="J24" s="1694"/>
      <c r="K24" s="3211"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8" t="s">
        <v>2004</v>
      </c>
      <c r="B31" s="1764" t="s">
        <v>2005</v>
      </c>
      <c r="C31" s="3236"/>
      <c r="D31" s="3237"/>
      <c r="E31" s="1694"/>
      <c r="F31" s="1694"/>
      <c r="G31" s="1694"/>
      <c r="H31" s="1694"/>
      <c r="I31" s="1707"/>
      <c r="J31" s="1694"/>
      <c r="K31" s="2459"/>
      <c r="L31" s="1694"/>
      <c r="M31" s="1694"/>
      <c r="N31" s="1694"/>
      <c r="O31" s="1694"/>
      <c r="P31" s="1694"/>
      <c r="Q31" s="1694"/>
      <c r="R31" s="1694"/>
      <c r="S31" s="1694"/>
      <c r="T31" s="1694"/>
      <c r="U31" s="1694"/>
    </row>
    <row r="32" spans="1:21">
      <c r="A32" s="3238"/>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8"/>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9"/>
      <c r="B34" s="1661" t="s">
        <v>2008</v>
      </c>
      <c r="C34" s="3240"/>
      <c r="D34" s="3241"/>
      <c r="E34" s="1694"/>
      <c r="F34" s="1694"/>
      <c r="G34" s="1694"/>
      <c r="H34" s="1694"/>
      <c r="I34" s="1707"/>
      <c r="J34" s="1694"/>
      <c r="K34" s="2459"/>
      <c r="L34" s="1694"/>
      <c r="M34" s="1694"/>
      <c r="N34" s="1694"/>
      <c r="O34" s="1694"/>
      <c r="P34" s="1694"/>
      <c r="Q34" s="1694"/>
      <c r="R34" s="1694"/>
      <c r="S34" s="1694"/>
      <c r="T34" s="1694"/>
      <c r="U34" s="1694"/>
    </row>
    <row r="35" spans="1:21">
      <c r="A35" s="3242" t="s">
        <v>847</v>
      </c>
      <c r="B35" s="1722"/>
      <c r="C35" s="1776" t="str">
        <f>IF(B35="场地平整","——","具体情况：")</f>
        <v>具体情况：</v>
      </c>
      <c r="D35" s="3244"/>
      <c r="E35" s="3245"/>
      <c r="F35" s="3245"/>
      <c r="G35" s="3245"/>
      <c r="H35" s="3245"/>
      <c r="I35" s="3246"/>
      <c r="J35" s="1694"/>
      <c r="K35" s="1775"/>
      <c r="L35" s="1723"/>
      <c r="M35" s="1723"/>
      <c r="N35" s="1694"/>
      <c r="O35" s="1695"/>
      <c r="P35" s="1694"/>
      <c r="Q35" s="1694"/>
      <c r="R35" s="1694"/>
      <c r="S35" s="1694"/>
      <c r="T35" s="1694"/>
      <c r="U35" s="1694"/>
    </row>
    <row r="36" spans="1:21">
      <c r="A36" s="3238"/>
      <c r="B36" s="3247" t="s">
        <v>2057</v>
      </c>
      <c r="C36" s="3248"/>
      <c r="D36" s="1792"/>
      <c r="E36" s="3249"/>
      <c r="F36" s="3249"/>
      <c r="G36" s="1687" t="str">
        <f>IF(B35="场地未平整","估价结果处理","")</f>
        <v/>
      </c>
      <c r="H36" s="3250"/>
      <c r="I36" s="3250"/>
      <c r="J36" s="1694"/>
      <c r="K36" s="1775"/>
      <c r="L36" s="1723"/>
      <c r="M36" s="1723"/>
      <c r="N36" s="1694"/>
      <c r="O36" s="1695"/>
      <c r="P36" s="1694"/>
      <c r="Q36" s="1694"/>
      <c r="R36" s="1694"/>
      <c r="S36" s="1694"/>
      <c r="T36" s="1694"/>
      <c r="U36" s="1694"/>
    </row>
    <row r="37" spans="1:21" ht="28.5">
      <c r="A37" s="3238"/>
      <c r="B37" s="322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8"/>
      <c r="B38" s="3228"/>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9"/>
      <c r="B39" s="322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10" t="s">
        <v>1988</v>
      </c>
      <c r="T40" s="1731" t="str">
        <f>NUMBERSTRING(7-K40,1)&amp;"通"</f>
        <v>七通</v>
      </c>
      <c r="U40" s="1694"/>
    </row>
    <row r="41" spans="1:21">
      <c r="A41" s="1663"/>
      <c r="B41" s="3243" t="s">
        <v>1722</v>
      </c>
      <c r="C41" s="3243"/>
      <c r="D41" s="3243"/>
      <c r="E41" s="324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0"/>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t="s">
        <v>1420</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t="s">
        <v>1256</v>
      </c>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255</v>
      </c>
      <c r="B3" s="22">
        <f>IF(C3="否",G5-AT5,G5)</f>
        <v>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t="e">
        <f>IF(C3="是",ROUND($A$3*AT5/$B$3,2),0)</f>
        <v>#DIV/0!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c r="J10" s="51"/>
      <c r="K10" s="3022"/>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c r="E13" s="27" t="e">
        <f t="shared" ref="E13:E20" si="6">IF($C$3="是",ROUND($A$3*G13/$B$3,2),ROUND($A$3*(G13-AT13)/$B$3,2))</f>
        <v>#DIV/0!</v>
      </c>
      <c r="F13" s="81"/>
      <c r="G13" s="82">
        <f t="shared" ref="G13:G20" si="7">H13+AC13+AT13</f>
        <v>0</v>
      </c>
      <c r="H13" s="33">
        <f t="shared" ref="H13:H20" si="8">SUMIF(I$12:AB$12,"总值",I13:AB13)</f>
        <v>0</v>
      </c>
      <c r="I13" s="3019"/>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t="e">
        <f t="shared" si="6"/>
        <v>#DIV/0!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t="e">
        <f t="shared" si="6"/>
        <v>#DIV/0!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t="e">
        <f t="shared" si="6"/>
        <v>#DIV/0!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t="e">
        <f t="shared" si="6"/>
        <v>#DIV/0!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t="e">
        <f t="shared" si="6"/>
        <v>#DIV/0!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t="e">
        <f t="shared" si="6"/>
        <v>#DIV/0!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t="e">
        <f t="shared" si="6"/>
        <v>#DIV/0!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t="e">
        <f t="shared" ref="E21:E112" si="33">IF($C$3="是",ROUND($A$3*G21/$B$3,2),ROUND($A$3*(G21-AT21)/$B$3,2))</f>
        <v>#DIV/0!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t="e">
        <f t="shared" si="33"/>
        <v>#DIV/0!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t="e">
        <f t="shared" si="33"/>
        <v>#DIV/0!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t="e">
        <f t="shared" si="33"/>
        <v>#DIV/0!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t="e">
        <f t="shared" si="33"/>
        <v>#DIV/0!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t="e">
        <f t="shared" si="33"/>
        <v>#DIV/0!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t="e">
        <f t="shared" si="33"/>
        <v>#DIV/0!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t="e">
        <f t="shared" si="33"/>
        <v>#DIV/0!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t="e">
        <f t="shared" si="33"/>
        <v>#DIV/0!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t="e">
        <f t="shared" si="33"/>
        <v>#DIV/0!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t="e">
        <f t="shared" si="33"/>
        <v>#DIV/0!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t="e">
        <f t="shared" si="33"/>
        <v>#DIV/0!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t="e">
        <f t="shared" si="33"/>
        <v>#DIV/0!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t="e">
        <f t="shared" si="33"/>
        <v>#DIV/0!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t="e">
        <f t="shared" si="33"/>
        <v>#DIV/0!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t="e">
        <f t="shared" si="33"/>
        <v>#DIV/0!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t="e">
        <f t="shared" si="33"/>
        <v>#DIV/0!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t="e">
        <f t="shared" si="33"/>
        <v>#DIV/0!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t="e">
        <f t="shared" si="33"/>
        <v>#DIV/0!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t="e">
        <f t="shared" si="33"/>
        <v>#DIV/0!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t="e">
        <f t="shared" si="33"/>
        <v>#DIV/0!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t="e">
        <f t="shared" si="33"/>
        <v>#DIV/0!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t="e">
        <f t="shared" si="33"/>
        <v>#DIV/0!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t="e">
        <f t="shared" si="33"/>
        <v>#DIV/0!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t="e">
        <f t="shared" si="33"/>
        <v>#DIV/0!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t="e">
        <f t="shared" si="33"/>
        <v>#DIV/0!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t="e">
        <f t="shared" si="33"/>
        <v>#DIV/0!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t="e">
        <f t="shared" si="33"/>
        <v>#DIV/0!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t="e">
        <f t="shared" si="33"/>
        <v>#DIV/0!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t="e">
        <f t="shared" si="33"/>
        <v>#DIV/0!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t="e">
        <f t="shared" si="33"/>
        <v>#DIV/0!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t="e">
        <f t="shared" si="33"/>
        <v>#DIV/0!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t="e">
        <f t="shared" si="33"/>
        <v>#DIV/0!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t="e">
        <f t="shared" si="33"/>
        <v>#DIV/0!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t="e">
        <f t="shared" si="33"/>
        <v>#DIV/0!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t="e">
        <f t="shared" ref="E113:E144" si="87">IF($C$3="是",ROUND($A$3*G113/$B$3,2),ROUND($A$3*(G113-AT113)/$B$3,2))</f>
        <v>#DIV/0!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t="e">
        <f t="shared" si="87"/>
        <v>#DIV/0!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t="e">
        <f t="shared" si="87"/>
        <v>#DIV/0!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t="e">
        <f t="shared" si="87"/>
        <v>#DIV/0!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t="e">
        <f t="shared" si="87"/>
        <v>#DIV/0!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t="e">
        <f t="shared" si="87"/>
        <v>#DIV/0!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t="e">
        <f t="shared" si="87"/>
        <v>#DIV/0!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t="e">
        <f t="shared" si="87"/>
        <v>#DIV/0!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t="e">
        <f t="shared" si="87"/>
        <v>#DIV/0!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t="e">
        <f t="shared" si="87"/>
        <v>#DIV/0!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t="e">
        <f t="shared" si="87"/>
        <v>#DIV/0!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t="e">
        <f t="shared" si="87"/>
        <v>#DIV/0!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t="e">
        <f t="shared" si="87"/>
        <v>#DIV/0!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t="e">
        <f t="shared" si="87"/>
        <v>#DIV/0!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t="e">
        <f t="shared" si="87"/>
        <v>#DIV/0!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t="e">
        <f t="shared" si="87"/>
        <v>#DIV/0!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t="e">
        <f t="shared" si="87"/>
        <v>#DIV/0!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t="e">
        <f t="shared" si="87"/>
        <v>#DIV/0!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t="e">
        <f t="shared" si="87"/>
        <v>#DIV/0!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t="e">
        <f t="shared" si="87"/>
        <v>#DIV/0!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t="e">
        <f t="shared" si="87"/>
        <v>#DIV/0!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t="e">
        <f t="shared" si="87"/>
        <v>#DIV/0!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t="e">
        <f t="shared" si="87"/>
        <v>#DIV/0!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t="e">
        <f t="shared" si="87"/>
        <v>#DIV/0!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t="e">
        <f t="shared" si="87"/>
        <v>#DIV/0!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t="e">
        <f t="shared" si="87"/>
        <v>#DIV/0!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t="e">
        <f t="shared" si="87"/>
        <v>#DIV/0!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t="e">
        <f t="shared" si="87"/>
        <v>#DIV/0!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t="e">
        <f t="shared" si="87"/>
        <v>#DIV/0!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t="e">
        <f t="shared" si="87"/>
        <v>#DIV/0!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t="e">
        <f t="shared" si="87"/>
        <v>#DIV/0!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t="e">
        <f t="shared" si="87"/>
        <v>#DIV/0!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t="e">
        <f t="shared" ref="E145:E176" si="116">IF($C$3="是",ROUND($A$3*G145/$B$3,2),ROUND($A$3*(G145-AT145)/$B$3,2))</f>
        <v>#DIV/0!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t="e">
        <f t="shared" si="116"/>
        <v>#DIV/0!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t="e">
        <f t="shared" si="116"/>
        <v>#DIV/0!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t="e">
        <f t="shared" ref="E205:E296" si="149">IF($C$3="是",ROUND($A$3*G205/$B$3,2),ROUND($A$3*(G205-AT205)/$B$3,2))</f>
        <v>#DIV/0!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t="e">
        <f t="shared" si="149"/>
        <v>#DIV/0!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t="e">
        <f t="shared" si="149"/>
        <v>#DIV/0!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t="e">
        <f t="shared" si="149"/>
        <v>#DIV/0!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t="e">
        <f t="shared" si="149"/>
        <v>#DIV/0!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t="e">
        <f t="shared" si="149"/>
        <v>#DIV/0!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t="e">
        <f t="shared" si="149"/>
        <v>#DIV/0!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t="e">
        <f t="shared" si="149"/>
        <v>#DIV/0!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t="e">
        <f t="shared" si="149"/>
        <v>#DIV/0!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t="e">
        <f t="shared" si="149"/>
        <v>#DIV/0!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t="e">
        <f t="shared" si="149"/>
        <v>#DIV/0!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t="e">
        <f t="shared" si="149"/>
        <v>#DIV/0!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t="e">
        <f t="shared" si="149"/>
        <v>#DIV/0!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t="e">
        <f t="shared" si="149"/>
        <v>#DIV/0!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t="e">
        <f t="shared" si="149"/>
        <v>#DIV/0!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t="e">
        <f t="shared" si="149"/>
        <v>#DIV/0!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t="e">
        <f t="shared" si="149"/>
        <v>#DIV/0!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t="e">
        <f t="shared" si="149"/>
        <v>#DIV/0!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t="e">
        <f t="shared" si="149"/>
        <v>#DIV/0!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t="e">
        <f t="shared" si="149"/>
        <v>#DIV/0!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t="e">
        <f t="shared" si="149"/>
        <v>#DIV/0!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t="e">
        <f t="shared" si="149"/>
        <v>#DIV/0!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t="e">
        <f t="shared" si="149"/>
        <v>#DIV/0!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t="e">
        <f t="shared" si="149"/>
        <v>#DIV/0!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t="e">
        <f t="shared" si="149"/>
        <v>#DIV/0!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t="e">
        <f t="shared" si="149"/>
        <v>#DIV/0!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t="e">
        <f t="shared" si="149"/>
        <v>#DIV/0!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t="e">
        <f t="shared" si="149"/>
        <v>#DIV/0!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t="e">
        <f t="shared" si="149"/>
        <v>#DIV/0!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t="e">
        <f t="shared" si="149"/>
        <v>#DIV/0!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t="e">
        <f t="shared" si="149"/>
        <v>#DIV/0!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t="e">
        <f t="shared" si="149"/>
        <v>#DIV/0!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t="e">
        <f t="shared" si="149"/>
        <v>#DIV/0!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t="e">
        <f t="shared" si="149"/>
        <v>#DIV/0!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t="e">
        <f t="shared" si="149"/>
        <v>#DIV/0!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t="e">
        <f t="shared" ref="E297:E328" si="203">IF($C$3="是",ROUND($A$3*G297/$B$3,2),ROUND($A$3*(G297-AT297)/$B$3,2))</f>
        <v>#DIV/0!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t="e">
        <f t="shared" si="203"/>
        <v>#DIV/0!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t="e">
        <f t="shared" si="203"/>
        <v>#DIV/0!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t="e">
        <f t="shared" si="203"/>
        <v>#DIV/0!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t="e">
        <f t="shared" si="203"/>
        <v>#DIV/0!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t="e">
        <f t="shared" si="203"/>
        <v>#DIV/0!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t="e">
        <f t="shared" si="203"/>
        <v>#DIV/0!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t="e">
        <f t="shared" si="203"/>
        <v>#DIV/0!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t="e">
        <f t="shared" si="203"/>
        <v>#DIV/0!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t="e">
        <f t="shared" si="203"/>
        <v>#DIV/0!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t="e">
        <f t="shared" si="203"/>
        <v>#DIV/0!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t="e">
        <f t="shared" si="203"/>
        <v>#DIV/0!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t="e">
        <f t="shared" si="203"/>
        <v>#DIV/0!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t="e">
        <f t="shared" si="203"/>
        <v>#DIV/0!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t="e">
        <f t="shared" si="203"/>
        <v>#DIV/0!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t="e">
        <f t="shared" si="203"/>
        <v>#DIV/0!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t="e">
        <f t="shared" si="203"/>
        <v>#DIV/0!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t="e">
        <f t="shared" si="203"/>
        <v>#DIV/0!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t="e">
        <f t="shared" si="203"/>
        <v>#DIV/0!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t="e">
        <f t="shared" si="203"/>
        <v>#DIV/0!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t="e">
        <f t="shared" si="203"/>
        <v>#DIV/0!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t="e">
        <f t="shared" si="203"/>
        <v>#DIV/0!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t="e">
        <f t="shared" si="203"/>
        <v>#DIV/0!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t="e">
        <f t="shared" si="203"/>
        <v>#DIV/0!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t="e">
        <f t="shared" si="203"/>
        <v>#DIV/0!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t="e">
        <f t="shared" si="203"/>
        <v>#DIV/0!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t="e">
        <f t="shared" si="203"/>
        <v>#DIV/0!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t="e">
        <f t="shared" si="203"/>
        <v>#DIV/0!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t="e">
        <f t="shared" si="203"/>
        <v>#DIV/0!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t="e">
        <f t="shared" si="203"/>
        <v>#DIV/0!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t="e">
        <f t="shared" si="203"/>
        <v>#DIV/0!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t="e">
        <f t="shared" si="203"/>
        <v>#DIV/0!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t="e">
        <f t="shared" ref="E329:E360" si="232">IF($C$3="是",ROUND($A$3*G329/$B$3,2),ROUND($A$3*(G329-AT329)/$B$3,2))</f>
        <v>#DIV/0!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t="e">
        <f t="shared" si="232"/>
        <v>#DIV/0!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t="e">
        <f t="shared" si="232"/>
        <v>#DIV/0!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t="e">
        <f t="shared" ref="E389:E480" si="265">IF($C$3="是",ROUND($A$3*G389/$B$3,2),ROUND($A$3*(G389-AT389)/$B$3,2))</f>
        <v>#DIV/0!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t="e">
        <f t="shared" si="265"/>
        <v>#DIV/0!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t="e">
        <f t="shared" si="265"/>
        <v>#DIV/0!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t="e">
        <f t="shared" si="265"/>
        <v>#DIV/0!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t="e">
        <f t="shared" si="265"/>
        <v>#DIV/0!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t="e">
        <f t="shared" si="265"/>
        <v>#DIV/0!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t="e">
        <f t="shared" si="265"/>
        <v>#DIV/0!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t="e">
        <f t="shared" si="265"/>
        <v>#DIV/0!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t="e">
        <f t="shared" si="265"/>
        <v>#DIV/0!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t="e">
        <f t="shared" si="265"/>
        <v>#DIV/0!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t="e">
        <f t="shared" si="265"/>
        <v>#DIV/0!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t="e">
        <f t="shared" si="265"/>
        <v>#DIV/0!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t="e">
        <f t="shared" si="265"/>
        <v>#DIV/0!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t="e">
        <f t="shared" si="265"/>
        <v>#DIV/0!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t="e">
        <f t="shared" si="265"/>
        <v>#DIV/0!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t="e">
        <f t="shared" si="265"/>
        <v>#DIV/0!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t="e">
        <f t="shared" si="265"/>
        <v>#DIV/0!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t="e">
        <f t="shared" si="265"/>
        <v>#DIV/0!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t="e">
        <f t="shared" si="265"/>
        <v>#DIV/0!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t="e">
        <f t="shared" si="265"/>
        <v>#DIV/0!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t="e">
        <f t="shared" si="265"/>
        <v>#DIV/0!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t="e">
        <f t="shared" si="265"/>
        <v>#DIV/0!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t="e">
        <f t="shared" si="265"/>
        <v>#DIV/0!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t="e">
        <f t="shared" si="265"/>
        <v>#DIV/0!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t="e">
        <f t="shared" si="265"/>
        <v>#DIV/0!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t="e">
        <f t="shared" si="265"/>
        <v>#DIV/0!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t="e">
        <f t="shared" si="265"/>
        <v>#DIV/0!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t="e">
        <f t="shared" si="265"/>
        <v>#DIV/0!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t="e">
        <f t="shared" si="265"/>
        <v>#DIV/0!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t="e">
        <f t="shared" si="265"/>
        <v>#DIV/0!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t="e">
        <f t="shared" si="265"/>
        <v>#DIV/0!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t="e">
        <f t="shared" si="265"/>
        <v>#DIV/0!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t="e">
        <f t="shared" si="265"/>
        <v>#DIV/0!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t="e">
        <f t="shared" si="265"/>
        <v>#DIV/0!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t="e">
        <f t="shared" si="265"/>
        <v>#DIV/0!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t="e">
        <f t="shared" ref="E481:E504" si="319">IF($C$3="是",ROUND($A$3*G481/$B$3,2),ROUND($A$3*(G481-AT481)/$B$3,2))</f>
        <v>#DIV/0!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t="e">
        <f t="shared" si="319"/>
        <v>#DIV/0!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t="e">
        <f t="shared" si="319"/>
        <v>#DIV/0!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t="e">
        <f t="shared" si="319"/>
        <v>#DIV/0!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t="e">
        <f t="shared" si="319"/>
        <v>#DIV/0!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t="e">
        <f t="shared" si="319"/>
        <v>#DIV/0!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t="e">
        <f t="shared" si="319"/>
        <v>#DIV/0!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t="e">
        <f t="shared" si="319"/>
        <v>#DIV/0!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t="e">
        <f t="shared" si="319"/>
        <v>#DIV/0!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t="e">
        <f t="shared" si="319"/>
        <v>#DIV/0!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t="e">
        <f t="shared" si="319"/>
        <v>#DIV/0!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t="e">
        <f t="shared" si="319"/>
        <v>#DIV/0!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t="e">
        <f t="shared" si="319"/>
        <v>#DIV/0!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t="e">
        <f t="shared" si="319"/>
        <v>#DIV/0!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t="e">
        <f t="shared" si="319"/>
        <v>#DIV/0!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t="e">
        <f t="shared" si="319"/>
        <v>#DIV/0!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t="e">
        <f t="shared" si="319"/>
        <v>#DIV/0!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t="e">
        <f t="shared" si="319"/>
        <v>#DIV/0!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t="e">
        <f t="shared" si="319"/>
        <v>#DIV/0!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t="e">
        <f t="shared" si="319"/>
        <v>#DIV/0!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t="e">
        <f t="shared" si="319"/>
        <v>#DIV/0!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t="e">
        <f t="shared" si="319"/>
        <v>#DIV/0!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t="e">
        <f t="shared" si="319"/>
        <v>#DIV/0!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t="e">
        <f t="shared" si="319"/>
        <v>#DIV/0!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t="e">
        <f t="shared" ref="E505:E536" si="323">IF($C$3="是",ROUND($A$3*G505/$B$3,2),ROUND($A$3*(G505-AT505)/$B$3,2))</f>
        <v>#DIV/0!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t="e">
        <f t="shared" si="323"/>
        <v>#DIV/0!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t="e">
        <f t="shared" si="323"/>
        <v>#DIV/0!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t="e">
        <f t="shared" si="323"/>
        <v>#DIV/0!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t="e">
        <f t="shared" si="323"/>
        <v>#DIV/0!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t="e">
        <f t="shared" si="323"/>
        <v>#DIV/0!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t="e">
        <f t="shared" si="323"/>
        <v>#DIV/0!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t="e">
        <f t="shared" si="323"/>
        <v>#DIV/0!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t="e">
        <f t="shared" si="323"/>
        <v>#DIV/0!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t="e">
        <f t="shared" si="323"/>
        <v>#DIV/0!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t="e">
        <f t="shared" si="323"/>
        <v>#DIV/0!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2" t="s">
        <v>203</v>
      </c>
      <c r="B2" s="3262"/>
      <c r="C2" s="3262"/>
      <c r="D2" s="1976" t="s">
        <v>204</v>
      </c>
      <c r="E2" s="106" t="s">
        <v>205</v>
      </c>
      <c r="F2" s="1985"/>
      <c r="G2" s="1198"/>
      <c r="H2" s="1199"/>
      <c r="I2" s="1200" t="s">
        <v>857</v>
      </c>
      <c r="J2" s="1985"/>
      <c r="K2" s="1985"/>
      <c r="L2" s="1985"/>
    </row>
    <row r="3" spans="1:16" ht="15.75" thickBot="1">
      <c r="A3" s="3263" t="s">
        <v>206</v>
      </c>
      <c r="B3" s="3263"/>
      <c r="C3" s="3263"/>
      <c r="D3" s="107" t="e">
        <f>'数据-基础表'!AY6</f>
        <v>#DIV/0!</v>
      </c>
      <c r="E3" s="107">
        <f>'数据-基础表'!AZ5</f>
        <v>0</v>
      </c>
      <c r="F3" s="1985"/>
      <c r="G3" s="280" t="s">
        <v>858</v>
      </c>
      <c r="H3" s="275" t="s">
        <v>859</v>
      </c>
      <c r="I3" s="1977">
        <f>ROUND('数据-基础表'!B3/'数据-基础表'!A3,2)</f>
        <v>0</v>
      </c>
      <c r="J3" s="1985"/>
      <c r="K3" s="1985"/>
      <c r="L3" s="1985"/>
    </row>
    <row r="4" spans="1:16" ht="15">
      <c r="A4" s="3264"/>
      <c r="B4" s="3265"/>
      <c r="C4" s="3266"/>
      <c r="D4" s="108" t="s">
        <v>204</v>
      </c>
      <c r="E4" s="109" t="s">
        <v>205</v>
      </c>
      <c r="F4" s="1985"/>
      <c r="G4" s="1201"/>
      <c r="H4" s="275" t="s">
        <v>860</v>
      </c>
      <c r="I4" s="1977">
        <f>ROUND(SUMIF('数据-基础表'!I9:AS9,"地上",'数据-基础表'!I5:AS5)/'数据-基础表'!A3,2)</f>
        <v>0</v>
      </c>
      <c r="J4" s="1985"/>
      <c r="K4" s="1985"/>
      <c r="L4" s="1985"/>
    </row>
    <row r="5" spans="1:16">
      <c r="A5" s="110" t="s">
        <v>207</v>
      </c>
      <c r="B5" s="3267" t="s">
        <v>230</v>
      </c>
      <c r="C5" s="3267"/>
      <c r="D5" s="111" t="e">
        <f>ROUND($D$3*E5/$E$3,2)</f>
        <v>#DIV/0!</v>
      </c>
      <c r="E5" s="112">
        <f>SUMIF('数据-基础表'!$11:$11,"住宅",'数据-基础表'!$5:$5)</f>
        <v>0</v>
      </c>
      <c r="F5" s="1985"/>
      <c r="G5" s="280" t="s">
        <v>861</v>
      </c>
      <c r="H5" s="275" t="s">
        <v>859</v>
      </c>
      <c r="I5" s="1977" t="e">
        <f>ROUND(E31/D31,2)</f>
        <v>#DIV/0!</v>
      </c>
      <c r="J5" s="1985"/>
      <c r="K5" s="1985"/>
      <c r="L5" s="1985"/>
    </row>
    <row r="6" spans="1:16" ht="15" thickBot="1">
      <c r="A6" s="113"/>
      <c r="B6" s="3267" t="s">
        <v>208</v>
      </c>
      <c r="C6" s="3267"/>
      <c r="D6" s="111" t="e">
        <f>ROUND($D$3*E6/$E$3,2)</f>
        <v>#DIV/0!</v>
      </c>
      <c r="E6" s="112">
        <f>E3-E5</f>
        <v>0</v>
      </c>
      <c r="F6" s="1985"/>
      <c r="G6" s="1201"/>
      <c r="H6" s="275" t="s">
        <v>860</v>
      </c>
      <c r="I6" s="1977" t="e">
        <f>ROUND(F31/D31,2)</f>
        <v>#DIV/0!</v>
      </c>
      <c r="J6" s="1985"/>
      <c r="K6" s="1985"/>
      <c r="L6" s="1985"/>
    </row>
    <row r="7" spans="1:16" ht="15">
      <c r="A7" s="3259"/>
      <c r="B7" s="3260"/>
      <c r="C7" s="3261"/>
      <c r="D7" s="108" t="s">
        <v>204</v>
      </c>
      <c r="E7" s="114" t="s">
        <v>231</v>
      </c>
      <c r="F7" s="1985"/>
      <c r="G7" s="1156" t="s">
        <v>1646</v>
      </c>
      <c r="H7" s="1157"/>
      <c r="I7" s="1847">
        <v>0.5</v>
      </c>
      <c r="J7" s="1985"/>
      <c r="K7" s="1985"/>
      <c r="L7" s="1985"/>
    </row>
    <row r="8" spans="1:16">
      <c r="A8" s="110" t="s">
        <v>209</v>
      </c>
      <c r="B8" s="115" t="s">
        <v>210</v>
      </c>
      <c r="C8" s="111" t="s">
        <v>211</v>
      </c>
      <c r="D8" s="111" t="e">
        <f t="shared" ref="D8:D15" si="0">ROUND($D$3*E8/$E$3,2)</f>
        <v>#DIV/0!</v>
      </c>
      <c r="E8" s="116">
        <f>SUMIF('数据-基础表'!BB10:BK10,"地上",'数据-基础表'!BB5:BK5)</f>
        <v>0</v>
      </c>
      <c r="F8" s="1985"/>
      <c r="G8" s="1987"/>
      <c r="H8" s="1987"/>
      <c r="I8" s="1985"/>
      <c r="J8" s="1985"/>
      <c r="K8" s="1985"/>
      <c r="L8" s="1985"/>
    </row>
    <row r="9" spans="1:16">
      <c r="A9" s="117"/>
      <c r="B9" s="118"/>
      <c r="C9" s="111" t="s">
        <v>212</v>
      </c>
      <c r="D9" s="111" t="e">
        <f t="shared" si="0"/>
        <v>#DIV/0!</v>
      </c>
      <c r="E9" s="119">
        <v>0</v>
      </c>
      <c r="F9" s="1985"/>
      <c r="G9" s="1987"/>
      <c r="H9" s="1987"/>
      <c r="I9" s="1985"/>
      <c r="J9" s="1985"/>
      <c r="K9" s="1985"/>
      <c r="L9" s="1985"/>
    </row>
    <row r="10" spans="1:16">
      <c r="A10" s="117"/>
      <c r="B10" s="118"/>
      <c r="C10" s="111" t="s">
        <v>213</v>
      </c>
      <c r="D10" s="111" t="e">
        <f t="shared" si="0"/>
        <v>#DIV/0!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t="e">
        <f t="shared" si="0"/>
        <v>#DIV/0!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t="e">
        <f t="shared" si="0"/>
        <v>#DIV/0!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t="e">
        <f t="shared" si="0"/>
        <v>#DIV/0!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t="e">
        <f t="shared" si="0"/>
        <v>#DIV/0!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t="e">
        <f t="shared" si="0"/>
        <v>#DIV/0!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t="e">
        <f>SUM(D8:D15)</f>
        <v>#DIV/0!</v>
      </c>
      <c r="E16" s="120">
        <f>SUM(E8:E15)</f>
        <v>0</v>
      </c>
      <c r="F16" s="1985"/>
      <c r="G16" s="1987"/>
      <c r="H16" s="968" t="s">
        <v>219</v>
      </c>
      <c r="I16" s="969"/>
      <c r="J16" s="1985"/>
      <c r="K16" s="3253" t="s">
        <v>2569</v>
      </c>
      <c r="L16" s="3254"/>
      <c r="M16" s="3254"/>
      <c r="N16" s="3254"/>
      <c r="O16" s="3254"/>
      <c r="P16" s="3255"/>
    </row>
    <row r="17" spans="1:19" ht="15">
      <c r="A17" s="121" t="s">
        <v>216</v>
      </c>
      <c r="B17" s="122" t="s">
        <v>217</v>
      </c>
      <c r="C17" s="2299" t="s">
        <v>2316</v>
      </c>
      <c r="D17" s="108" t="s">
        <v>204</v>
      </c>
      <c r="E17" s="124" t="s">
        <v>205</v>
      </c>
      <c r="F17" s="125"/>
      <c r="G17" s="1366"/>
      <c r="H17" s="970" t="s">
        <v>218</v>
      </c>
      <c r="I17" s="971" t="s">
        <v>2315</v>
      </c>
      <c r="J17" s="1985"/>
      <c r="K17" s="3256" t="s">
        <v>2570</v>
      </c>
      <c r="L17" s="3257"/>
      <c r="M17" s="3258"/>
      <c r="N17" s="3256" t="s">
        <v>2571</v>
      </c>
      <c r="O17" s="3257"/>
      <c r="P17" s="3258"/>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c r="D19" s="111" t="e">
        <f t="shared" ref="D19:D26" si="1">ROUND($D$3*E19/$E$3,2)</f>
        <v>#DIV/0!</v>
      </c>
      <c r="E19" s="134">
        <f t="shared" ref="E19:E26" si="2">SUM(F19:G19)</f>
        <v>0</v>
      </c>
      <c r="F19" s="135"/>
      <c r="G19" s="1368"/>
      <c r="H19" s="974" t="e">
        <f>ROUND($D$3*I19/$E$3,2)</f>
        <v>#DIV/0!</v>
      </c>
      <c r="I19" s="116" t="e">
        <f>IF($I$17="自定义",P19,M19)</f>
        <v>#DIV/0!</v>
      </c>
      <c r="J19" s="1985"/>
      <c r="K19" s="2609" t="e">
        <f t="shared" ref="K19:K26" si="3">ROUND(E$28*E19/E$27,2)</f>
        <v>#DIV/0!</v>
      </c>
      <c r="L19" s="275">
        <f t="shared" ref="L19:L26" si="4">ROUND(IF(COUNTIF(C19,"*住宅*")&gt;0,E$29*E19/E$32,0),2)</f>
        <v>0</v>
      </c>
      <c r="M19" s="2610" t="e">
        <f>K19+L19</f>
        <v>#DIV/0!</v>
      </c>
      <c r="N19" s="2611"/>
      <c r="O19" s="2612"/>
      <c r="P19" s="2613">
        <f>N19+O19</f>
        <v>0</v>
      </c>
      <c r="R19" s="275" t="e">
        <f t="shared" ref="R19:S26" si="5">D19+H19</f>
        <v>#DIV/0!</v>
      </c>
      <c r="S19" s="2302" t="e">
        <f t="shared" si="5"/>
        <v>#DIV/0!</v>
      </c>
    </row>
    <row r="20" spans="1:19">
      <c r="A20" s="138"/>
      <c r="B20" s="115" t="s">
        <v>226</v>
      </c>
      <c r="C20" s="3026"/>
      <c r="D20" s="111" t="e">
        <f t="shared" si="1"/>
        <v>#DIV/0!</v>
      </c>
      <c r="E20" s="134">
        <f t="shared" si="2"/>
        <v>0</v>
      </c>
      <c r="F20" s="135"/>
      <c r="G20" s="1368"/>
      <c r="H20" s="974" t="e">
        <f t="shared" ref="H20:H26" si="6">ROUND($D$3*I20/$E$3,2)</f>
        <v>#DIV/0!</v>
      </c>
      <c r="I20" s="116" t="e">
        <f t="shared" ref="I20:I26" si="7">IF($I$17="自定义",P20,M20)</f>
        <v>#DIV/0!</v>
      </c>
      <c r="J20" s="1985"/>
      <c r="K20" s="2609" t="e">
        <f t="shared" si="3"/>
        <v>#DIV/0!</v>
      </c>
      <c r="L20" s="275">
        <f t="shared" si="4"/>
        <v>0</v>
      </c>
      <c r="M20" s="2610" t="e">
        <f t="shared" ref="M20:M26" si="8">K20+L20</f>
        <v>#DIV/0!</v>
      </c>
      <c r="N20" s="2611"/>
      <c r="O20" s="2612"/>
      <c r="P20" s="2613">
        <f t="shared" ref="P20:P26" si="9">N20+O20</f>
        <v>0</v>
      </c>
      <c r="R20" s="275" t="e">
        <f t="shared" si="5"/>
        <v>#DIV/0!</v>
      </c>
      <c r="S20" s="2302" t="e">
        <f t="shared" si="5"/>
        <v>#DIV/0!</v>
      </c>
    </row>
    <row r="21" spans="1:19">
      <c r="A21" s="138"/>
      <c r="B21" s="115" t="s">
        <v>226</v>
      </c>
      <c r="C21" s="3026"/>
      <c r="D21" s="111" t="e">
        <f t="shared" si="1"/>
        <v>#DIV/0!</v>
      </c>
      <c r="E21" s="134">
        <f t="shared" si="2"/>
        <v>0</v>
      </c>
      <c r="F21" s="135"/>
      <c r="G21" s="1368"/>
      <c r="H21" s="974" t="e">
        <f t="shared" si="6"/>
        <v>#DIV/0!</v>
      </c>
      <c r="I21" s="116" t="e">
        <f t="shared" si="7"/>
        <v>#DIV/0!</v>
      </c>
      <c r="J21" s="1985"/>
      <c r="K21" s="2609" t="e">
        <f t="shared" si="3"/>
        <v>#DIV/0!</v>
      </c>
      <c r="L21" s="275">
        <f t="shared" si="4"/>
        <v>0</v>
      </c>
      <c r="M21" s="2610" t="e">
        <f t="shared" si="8"/>
        <v>#DIV/0!</v>
      </c>
      <c r="N21" s="2611"/>
      <c r="O21" s="2612"/>
      <c r="P21" s="2613">
        <f t="shared" si="9"/>
        <v>0</v>
      </c>
      <c r="R21" s="275" t="e">
        <f t="shared" si="5"/>
        <v>#DIV/0!</v>
      </c>
      <c r="S21" s="2302" t="e">
        <f t="shared" si="5"/>
        <v>#DIV/0!</v>
      </c>
    </row>
    <row r="22" spans="1:19">
      <c r="A22" s="138"/>
      <c r="B22" s="115" t="s">
        <v>226</v>
      </c>
      <c r="C22" s="1365"/>
      <c r="D22" s="111" t="e">
        <f t="shared" si="1"/>
        <v>#DIV/0!</v>
      </c>
      <c r="E22" s="134">
        <f t="shared" si="2"/>
        <v>0</v>
      </c>
      <c r="F22" s="140"/>
      <c r="G22" s="1369"/>
      <c r="H22" s="974" t="e">
        <f t="shared" si="6"/>
        <v>#DIV/0!</v>
      </c>
      <c r="I22" s="116" t="e">
        <f t="shared" si="7"/>
        <v>#DIV/0!</v>
      </c>
      <c r="J22" s="1985"/>
      <c r="K22" s="2609" t="e">
        <f t="shared" si="3"/>
        <v>#DIV/0!</v>
      </c>
      <c r="L22" s="275">
        <f t="shared" si="4"/>
        <v>0</v>
      </c>
      <c r="M22" s="2610" t="e">
        <f t="shared" si="8"/>
        <v>#DIV/0!</v>
      </c>
      <c r="N22" s="2611"/>
      <c r="O22" s="2612"/>
      <c r="P22" s="2613">
        <f t="shared" si="9"/>
        <v>0</v>
      </c>
      <c r="R22" s="275" t="e">
        <f t="shared" si="5"/>
        <v>#DIV/0!</v>
      </c>
      <c r="S22" s="2302" t="e">
        <f t="shared" si="5"/>
        <v>#DIV/0!</v>
      </c>
    </row>
    <row r="23" spans="1:19">
      <c r="A23" s="138"/>
      <c r="B23" s="115" t="s">
        <v>226</v>
      </c>
      <c r="C23" s="139"/>
      <c r="D23" s="111" t="e">
        <f>ROUND($D$3*E23/$E$3,2)</f>
        <v>#DIV/0!</v>
      </c>
      <c r="E23" s="134">
        <f>SUM(F23:G23)</f>
        <v>0</v>
      </c>
      <c r="F23" s="140"/>
      <c r="G23" s="1369"/>
      <c r="H23" s="974" t="e">
        <f>ROUND($D$3*I23/$E$3,2)</f>
        <v>#DIV/0!</v>
      </c>
      <c r="I23" s="116" t="e">
        <f t="shared" si="7"/>
        <v>#DIV/0!</v>
      </c>
      <c r="J23" s="1985"/>
      <c r="K23" s="2609" t="e">
        <f t="shared" si="3"/>
        <v>#DIV/0!</v>
      </c>
      <c r="L23" s="275">
        <f t="shared" si="4"/>
        <v>0</v>
      </c>
      <c r="M23" s="2610" t="e">
        <f t="shared" si="8"/>
        <v>#DIV/0!</v>
      </c>
      <c r="N23" s="2611"/>
      <c r="O23" s="2612"/>
      <c r="P23" s="2613">
        <f t="shared" si="9"/>
        <v>0</v>
      </c>
      <c r="R23" s="275" t="e">
        <f t="shared" si="5"/>
        <v>#DIV/0!</v>
      </c>
      <c r="S23" s="2302" t="e">
        <f t="shared" si="5"/>
        <v>#DIV/0!</v>
      </c>
    </row>
    <row r="24" spans="1:19">
      <c r="A24" s="138"/>
      <c r="B24" s="115" t="s">
        <v>226</v>
      </c>
      <c r="C24" s="139"/>
      <c r="D24" s="111" t="e">
        <f>ROUND($D$3*E24/$E$3,2)</f>
        <v>#DIV/0!</v>
      </c>
      <c r="E24" s="134">
        <f>SUM(F24:G24)</f>
        <v>0</v>
      </c>
      <c r="F24" s="140"/>
      <c r="G24" s="1369"/>
      <c r="H24" s="974" t="e">
        <f>ROUND($D$3*I24/$E$3,2)</f>
        <v>#DIV/0!</v>
      </c>
      <c r="I24" s="116" t="e">
        <f t="shared" si="7"/>
        <v>#DIV/0!</v>
      </c>
      <c r="J24" s="1985"/>
      <c r="K24" s="2609" t="e">
        <f t="shared" si="3"/>
        <v>#DIV/0!</v>
      </c>
      <c r="L24" s="275">
        <f t="shared" si="4"/>
        <v>0</v>
      </c>
      <c r="M24" s="2610" t="e">
        <f t="shared" si="8"/>
        <v>#DIV/0!</v>
      </c>
      <c r="N24" s="2611"/>
      <c r="O24" s="2612"/>
      <c r="P24" s="2613">
        <f t="shared" si="9"/>
        <v>0</v>
      </c>
      <c r="R24" s="275" t="e">
        <f t="shared" si="5"/>
        <v>#DIV/0!</v>
      </c>
      <c r="S24" s="2302" t="e">
        <f t="shared" si="5"/>
        <v>#DIV/0!</v>
      </c>
    </row>
    <row r="25" spans="1:19">
      <c r="A25" s="138"/>
      <c r="B25" s="115" t="s">
        <v>226</v>
      </c>
      <c r="C25" s="139"/>
      <c r="D25" s="111" t="e">
        <f t="shared" si="1"/>
        <v>#DIV/0!</v>
      </c>
      <c r="E25" s="134">
        <f t="shared" si="2"/>
        <v>0</v>
      </c>
      <c r="F25" s="140"/>
      <c r="G25" s="1369"/>
      <c r="H25" s="110" t="e">
        <f t="shared" si="6"/>
        <v>#DIV/0!</v>
      </c>
      <c r="I25" s="116" t="e">
        <f t="shared" si="7"/>
        <v>#DIV/0!</v>
      </c>
      <c r="J25" s="1985"/>
      <c r="K25" s="2609" t="e">
        <f t="shared" si="3"/>
        <v>#DIV/0!</v>
      </c>
      <c r="L25" s="275">
        <f t="shared" si="4"/>
        <v>0</v>
      </c>
      <c r="M25" s="2610" t="e">
        <f t="shared" si="8"/>
        <v>#DIV/0!</v>
      </c>
      <c r="N25" s="2611"/>
      <c r="O25" s="2612"/>
      <c r="P25" s="2613">
        <f t="shared" si="9"/>
        <v>0</v>
      </c>
      <c r="R25" s="275" t="e">
        <f t="shared" si="5"/>
        <v>#DIV/0!</v>
      </c>
      <c r="S25" s="2302" t="e">
        <f t="shared" si="5"/>
        <v>#DIV/0!</v>
      </c>
    </row>
    <row r="26" spans="1:19">
      <c r="A26" s="138"/>
      <c r="B26" s="115" t="s">
        <v>226</v>
      </c>
      <c r="C26" s="142"/>
      <c r="D26" s="111" t="e">
        <f t="shared" si="1"/>
        <v>#DIV/0!</v>
      </c>
      <c r="E26" s="134">
        <f t="shared" si="2"/>
        <v>0</v>
      </c>
      <c r="F26" s="140"/>
      <c r="G26" s="1369"/>
      <c r="H26" s="110" t="e">
        <f t="shared" si="6"/>
        <v>#DIV/0!</v>
      </c>
      <c r="I26" s="116" t="e">
        <f t="shared" si="7"/>
        <v>#DIV/0!</v>
      </c>
      <c r="J26" s="1985"/>
      <c r="K26" s="2614" t="e">
        <f t="shared" si="3"/>
        <v>#DIV/0!</v>
      </c>
      <c r="L26" s="280">
        <f t="shared" si="4"/>
        <v>0</v>
      </c>
      <c r="M26" s="146" t="e">
        <f t="shared" si="8"/>
        <v>#DIV/0!</v>
      </c>
      <c r="N26" s="2615"/>
      <c r="O26" s="2616"/>
      <c r="P26" s="2617">
        <f t="shared" si="9"/>
        <v>0</v>
      </c>
      <c r="R26" s="275" t="e">
        <f t="shared" si="5"/>
        <v>#DIV/0!</v>
      </c>
      <c r="S26" s="2302"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5" t="e">
        <f>SUM(H19:H26)</f>
        <v>#DIV/0!</v>
      </c>
      <c r="I27" s="976" t="e">
        <f>SUM(I19:I26)</f>
        <v>#DIV/0!</v>
      </c>
      <c r="J27" s="1985"/>
      <c r="K27" s="2618" t="e">
        <f>SUM(K19:K26)</f>
        <v>#DIV/0!</v>
      </c>
      <c r="L27" s="2619">
        <f>SUM(L19:L26)</f>
        <v>0</v>
      </c>
      <c r="M27" s="2620" t="e">
        <f>SUM(M19:M26)</f>
        <v>#DIV/0!</v>
      </c>
      <c r="N27" s="2618">
        <f t="shared" ref="N27:O27" si="10">SUM(N19:N26)</f>
        <v>0</v>
      </c>
      <c r="O27" s="2619">
        <f t="shared" si="10"/>
        <v>0</v>
      </c>
      <c r="P27" s="2621">
        <f>SUM(P19:P26)</f>
        <v>0</v>
      </c>
      <c r="R27" s="2306"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t="e">
        <f>ROUND($D$3*E29/$E$3,2)</f>
        <v>#DIV/0!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t="e">
        <f>SUM(D28:D29)</f>
        <v>#DIV/0!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t="e">
        <f>D27+D30</f>
        <v>#DIV/0!</v>
      </c>
      <c r="E31" s="1372">
        <f>E27+E30</f>
        <v>0</v>
      </c>
      <c r="F31" s="1373">
        <f>F27+F30</f>
        <v>0</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5" sqref="E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43370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f>'数据-汇总表'!C19</f>
        <v>0</v>
      </c>
      <c r="B6" s="2338" t="str">
        <f>IF(A6=0,"","经营性")</f>
        <v/>
      </c>
      <c r="C6" s="173" t="s">
        <v>1678</v>
      </c>
      <c r="D6" s="2309">
        <f>SUMIF(项目基本情况!D$15:I$15,C6,项目基本情况!D$18:I$18)</f>
        <v>50</v>
      </c>
      <c r="E6" s="2310" t="str">
        <f>IF(B6="","",SUMIF(项目基本情况!D$15:I$15,C6,项目基本情况!D$17:I$17))</f>
        <v/>
      </c>
      <c r="F6" s="174">
        <f>SUMIF(项目基本情况!D$15:I$15,C6,项目基本情况!D$19:I$19)</f>
        <v>30.25</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f>SUMIF('数据-汇总表'!C$19:C$33,A6,'数据-汇总表'!R$19:R$33)</f>
        <v>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312">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t="e">
        <f>ROUND(SUMPRODUCT(AP6:AP13,K6:K13)/SUMPRODUCT((AP6:AP13&gt;0)*(K6:K13)),3)</f>
        <v>#DIV/0!</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0</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t="e">
        <f ca="1">存贷款利率!E2</f>
        <v>#VALUE!</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0</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c r="C42" s="3102">
        <f>IF(B2&lt;DATE(2016,5,1),0,B42)</f>
        <v>0</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0</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8" t="s">
        <v>1664</v>
      </c>
      <c r="B1" s="3269"/>
      <c r="C1" s="3269"/>
      <c r="D1" s="3269"/>
      <c r="E1" s="3269"/>
      <c r="F1" s="3269"/>
      <c r="G1" s="326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2924</v>
      </c>
      <c r="D3" s="2010"/>
      <c r="E3" s="1229" t="s">
        <v>1667</v>
      </c>
      <c r="F3" s="1230" t="s">
        <v>1655</v>
      </c>
      <c r="G3" s="3087" t="s">
        <v>2923</v>
      </c>
      <c r="H3" s="2009"/>
      <c r="I3" s="2009"/>
      <c r="J3" s="2009"/>
      <c r="K3" s="2009"/>
      <c r="L3" s="2009"/>
      <c r="M3" s="2009"/>
      <c r="N3" s="2009"/>
      <c r="O3" s="2009"/>
      <c r="P3" s="2009"/>
      <c r="Q3" s="2009"/>
      <c r="R3" s="2009"/>
    </row>
    <row r="4" spans="1:18" ht="41.25">
      <c r="A4" s="1229"/>
      <c r="B4" s="1231" t="s">
        <v>1668</v>
      </c>
      <c r="C4" s="3084" t="s">
        <v>2925</v>
      </c>
      <c r="D4" s="2010"/>
      <c r="E4" s="1232"/>
      <c r="F4" s="1233" t="s">
        <v>1669</v>
      </c>
      <c r="G4" s="3085" t="s">
        <v>2920</v>
      </c>
      <c r="H4" s="2009"/>
      <c r="I4" s="2009"/>
      <c r="J4" s="2009"/>
      <c r="K4" s="2009"/>
      <c r="L4" s="2009"/>
      <c r="M4" s="2009"/>
      <c r="N4" s="2009"/>
      <c r="O4" s="2009"/>
      <c r="P4" s="2009"/>
      <c r="Q4" s="2009"/>
      <c r="R4" s="2009"/>
    </row>
    <row r="5" spans="1:18" ht="41.25">
      <c r="A5" s="1229"/>
      <c r="B5" s="1231" t="s">
        <v>1670</v>
      </c>
      <c r="C5" s="3084" t="s">
        <v>2926</v>
      </c>
      <c r="D5" s="2010"/>
      <c r="E5" s="1232"/>
      <c r="F5" s="1231" t="s">
        <v>2549</v>
      </c>
      <c r="G5" s="3085" t="s">
        <v>2921</v>
      </c>
      <c r="H5" s="2009"/>
      <c r="I5" s="2009"/>
      <c r="J5" s="2009"/>
      <c r="K5" s="2009"/>
      <c r="L5" s="2009"/>
      <c r="M5" s="2009"/>
      <c r="N5" s="2009"/>
      <c r="O5" s="2009"/>
      <c r="P5" s="2009"/>
      <c r="Q5" s="2009"/>
      <c r="R5" s="2009"/>
    </row>
    <row r="6" spans="1:18" ht="54">
      <c r="A6" s="1229"/>
      <c r="B6" s="1231" t="s">
        <v>1656</v>
      </c>
      <c r="C6" s="3085" t="s">
        <v>2920</v>
      </c>
      <c r="D6" s="2010"/>
      <c r="E6" s="1232"/>
      <c r="F6" s="1231" t="s">
        <v>2550</v>
      </c>
      <c r="G6" s="3085" t="s">
        <v>2918</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088" t="s">
        <v>2922</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47" t="s">
        <v>2846</v>
      </c>
      <c r="B1" s="3047">
        <f>SUM(B14:B23)</f>
        <v>127.5</v>
      </c>
      <c r="C1" s="3048"/>
      <c r="D1" s="3048"/>
      <c r="E1" s="3048"/>
      <c r="F1" s="3048"/>
    </row>
    <row r="2" spans="1:9" ht="16.5">
      <c r="A2" s="3047" t="s">
        <v>2847</v>
      </c>
      <c r="B2" s="3047">
        <f>SUM(C14:C23)</f>
        <v>255</v>
      </c>
      <c r="C2" s="3048"/>
      <c r="D2" s="3048"/>
      <c r="E2" s="3048"/>
      <c r="F2" s="3048"/>
    </row>
    <row r="3" spans="1:9" ht="16.5">
      <c r="A3" s="3047" t="s">
        <v>2848</v>
      </c>
      <c r="B3" s="3049">
        <f>项目基本情况!D3</f>
        <v>43370</v>
      </c>
      <c r="C3" s="3048"/>
      <c r="D3" s="3048"/>
      <c r="E3" s="3048"/>
      <c r="F3" s="3048"/>
    </row>
    <row r="4" spans="1:9" ht="33">
      <c r="A4" s="3047" t="s">
        <v>2849</v>
      </c>
      <c r="B4" s="3047" t="s">
        <v>2850</v>
      </c>
      <c r="C4" s="3047" t="s">
        <v>2851</v>
      </c>
      <c r="D4" s="3047" t="s">
        <v>2852</v>
      </c>
      <c r="E4" s="3048"/>
      <c r="F4" s="3048"/>
    </row>
    <row r="5" spans="1:9" ht="16.5">
      <c r="A5" s="3047" t="s">
        <v>2853</v>
      </c>
      <c r="B5" s="3047">
        <f ca="1">SUM(D14:D23)</f>
        <v>89</v>
      </c>
      <c r="C5" s="3047">
        <f ca="1">ROUND(B5*10000/$B$1,0)</f>
        <v>6980</v>
      </c>
      <c r="D5" s="3047">
        <f ca="1">ROUND(B5*10000/$B$2,0)</f>
        <v>3490</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基准地价!D29</f>
        <v>127.5</v>
      </c>
      <c r="C14" s="3051">
        <f>'数据-基础表'!A3</f>
        <v>255</v>
      </c>
      <c r="D14" s="3051">
        <f ca="1">基准地价!B2</f>
        <v>89</v>
      </c>
      <c r="E14" s="3051">
        <f ca="1">ROUND(D14*10000/B14,0)</f>
        <v>6980</v>
      </c>
      <c r="F14" s="3051">
        <f ca="1">ROUND(D14*10000/C14,0)</f>
        <v>3490</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15" t="str">
        <f>项目基本情况!K2</f>
        <v>北京市桥梓镇岐庄村29号出让国有建设用地使用权</v>
      </c>
      <c r="B2" s="3316"/>
      <c r="C2" s="3317"/>
      <c r="D2" s="3317"/>
      <c r="E2" s="3317"/>
      <c r="F2" s="3317"/>
      <c r="G2" s="3316"/>
      <c r="H2" s="3316"/>
      <c r="I2" s="3318"/>
      <c r="J2" s="2031"/>
      <c r="K2" s="2030"/>
      <c r="L2" s="2030"/>
      <c r="M2" s="2030"/>
      <c r="N2" s="2030"/>
      <c r="O2" s="2030"/>
      <c r="P2" s="2030"/>
      <c r="Q2" s="2030"/>
      <c r="R2" s="2030"/>
      <c r="S2" s="2030"/>
      <c r="T2" s="2030"/>
      <c r="U2" s="2030"/>
      <c r="V2" s="2030"/>
    </row>
    <row r="3" spans="1:22" ht="14.25">
      <c r="A3" s="3326" t="s">
        <v>298</v>
      </c>
      <c r="B3" s="3327"/>
      <c r="C3" s="3327"/>
      <c r="D3" s="3327"/>
      <c r="E3" s="3327"/>
      <c r="F3" s="3327"/>
      <c r="G3" s="3327"/>
      <c r="H3" s="3327"/>
      <c r="I3" s="3327"/>
      <c r="J3" s="2031"/>
      <c r="K3" s="2030"/>
      <c r="L3" s="2030"/>
      <c r="M3" s="2030"/>
      <c r="N3" s="2030"/>
      <c r="O3" s="2030"/>
      <c r="P3" s="2030"/>
      <c r="Q3" s="2030"/>
      <c r="R3" s="2030"/>
      <c r="S3" s="2030"/>
      <c r="T3" s="2030"/>
      <c r="U3" s="2030"/>
      <c r="V3" s="2030"/>
    </row>
    <row r="4" spans="1:22" ht="14.25">
      <c r="A4" s="258" t="s">
        <v>299</v>
      </c>
      <c r="B4" s="259" t="s">
        <v>300</v>
      </c>
      <c r="C4" s="260" t="s">
        <v>2954</v>
      </c>
      <c r="D4" s="260"/>
      <c r="E4" s="3290" t="s">
        <v>301</v>
      </c>
      <c r="F4" s="3332"/>
      <c r="G4" s="3332"/>
      <c r="H4" s="3332"/>
      <c r="I4" s="3291"/>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319" t="s">
        <v>302</v>
      </c>
      <c r="B5" s="3320">
        <v>25</v>
      </c>
      <c r="C5" s="3328"/>
      <c r="D5" s="3331"/>
      <c r="E5" s="261" t="s">
        <v>303</v>
      </c>
      <c r="F5" s="262"/>
      <c r="G5" s="262"/>
      <c r="H5" s="262"/>
      <c r="I5" s="263"/>
      <c r="J5" s="2031"/>
      <c r="K5" s="2030"/>
      <c r="L5" s="2030"/>
      <c r="M5" s="2030"/>
      <c r="N5" s="2030"/>
      <c r="O5" s="2030"/>
      <c r="P5" s="2030"/>
      <c r="Q5" s="2030"/>
      <c r="R5" s="2030"/>
      <c r="S5" s="2030"/>
      <c r="T5" s="2030"/>
      <c r="U5" s="2030"/>
      <c r="V5" s="2030"/>
    </row>
    <row r="6" spans="1:22" ht="14.25">
      <c r="A6" s="3319"/>
      <c r="B6" s="3320"/>
      <c r="C6" s="3329"/>
      <c r="D6" s="3331"/>
      <c r="E6" s="261" t="s">
        <v>304</v>
      </c>
      <c r="F6" s="262"/>
      <c r="G6" s="262"/>
      <c r="H6" s="262"/>
      <c r="I6" s="263"/>
      <c r="J6" s="2031"/>
      <c r="K6" s="2030"/>
      <c r="L6" s="2030"/>
      <c r="M6" s="2030"/>
      <c r="N6" s="2030"/>
      <c r="O6" s="2030"/>
      <c r="P6" s="2030"/>
      <c r="Q6" s="2030"/>
      <c r="R6" s="2030"/>
      <c r="S6" s="2030"/>
      <c r="T6" s="2030"/>
      <c r="U6" s="2030"/>
      <c r="V6" s="2030"/>
    </row>
    <row r="7" spans="1:22" ht="14.25">
      <c r="A7" s="3319"/>
      <c r="B7" s="3320"/>
      <c r="C7" s="3330"/>
      <c r="D7" s="3331"/>
      <c r="E7" s="261" t="s">
        <v>305</v>
      </c>
      <c r="F7" s="262"/>
      <c r="G7" s="262"/>
      <c r="H7" s="262"/>
      <c r="I7" s="263"/>
      <c r="J7" s="2031"/>
      <c r="K7" s="2030"/>
      <c r="L7" s="2030"/>
      <c r="M7" s="2030"/>
      <c r="N7" s="2030"/>
      <c r="O7" s="2030"/>
      <c r="P7" s="2030"/>
      <c r="Q7" s="2030"/>
      <c r="R7" s="2030"/>
      <c r="S7" s="2030"/>
      <c r="T7" s="2030"/>
      <c r="U7" s="2030"/>
      <c r="V7" s="2030"/>
    </row>
    <row r="8" spans="1:22" ht="14.25">
      <c r="A8" s="3319" t="s">
        <v>306</v>
      </c>
      <c r="B8" s="3320">
        <v>15</v>
      </c>
      <c r="C8" s="3328"/>
      <c r="D8" s="3331"/>
      <c r="E8" s="261" t="s">
        <v>307</v>
      </c>
      <c r="F8" s="262"/>
      <c r="G8" s="262"/>
      <c r="H8" s="262"/>
      <c r="I8" s="263"/>
      <c r="J8" s="2031"/>
      <c r="K8" s="2030"/>
      <c r="L8" s="2030"/>
      <c r="M8" s="2030"/>
      <c r="N8" s="2030"/>
      <c r="O8" s="2030"/>
      <c r="P8" s="2030"/>
      <c r="Q8" s="2030"/>
      <c r="R8" s="2030"/>
      <c r="S8" s="2030"/>
      <c r="T8" s="2030"/>
      <c r="U8" s="2030"/>
      <c r="V8" s="2030"/>
    </row>
    <row r="9" spans="1:22" ht="14.25">
      <c r="A9" s="3319"/>
      <c r="B9" s="3320"/>
      <c r="C9" s="3330"/>
      <c r="D9" s="3331"/>
      <c r="E9" s="261" t="s">
        <v>308</v>
      </c>
      <c r="F9" s="262"/>
      <c r="G9" s="262"/>
      <c r="H9" s="262"/>
      <c r="I9" s="263"/>
      <c r="J9" s="2031"/>
      <c r="K9" s="2030"/>
      <c r="L9" s="2030"/>
      <c r="M9" s="2030"/>
      <c r="N9" s="2030"/>
      <c r="O9" s="2030"/>
      <c r="P9" s="2030"/>
      <c r="Q9" s="2030"/>
      <c r="R9" s="2030"/>
      <c r="S9" s="2030"/>
      <c r="T9" s="2030"/>
      <c r="U9" s="2030"/>
      <c r="V9" s="2030"/>
    </row>
    <row r="10" spans="1:22" ht="14.25">
      <c r="A10" s="3319" t="s">
        <v>309</v>
      </c>
      <c r="B10" s="3320">
        <v>15</v>
      </c>
      <c r="C10" s="3328"/>
      <c r="D10" s="3331"/>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9"/>
      <c r="B11" s="3320"/>
      <c r="C11" s="3330"/>
      <c r="D11" s="3331"/>
      <c r="E11" s="261" t="s">
        <v>311</v>
      </c>
      <c r="F11" s="262"/>
      <c r="G11" s="262"/>
      <c r="H11" s="262"/>
      <c r="I11" s="263"/>
      <c r="J11" s="2031"/>
      <c r="K11" s="2030"/>
      <c r="L11" s="2030"/>
      <c r="M11" s="2030"/>
      <c r="N11" s="2030"/>
      <c r="O11" s="2030"/>
      <c r="P11" s="2030"/>
      <c r="Q11" s="2030"/>
      <c r="R11" s="2030"/>
      <c r="S11" s="2030"/>
      <c r="T11" s="2030"/>
      <c r="U11" s="2030"/>
      <c r="V11" s="2030"/>
    </row>
    <row r="12" spans="1:22" ht="14.25">
      <c r="A12" s="3319" t="s">
        <v>312</v>
      </c>
      <c r="B12" s="3320">
        <v>15</v>
      </c>
      <c r="C12" s="3328"/>
      <c r="D12" s="3331"/>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9"/>
      <c r="B13" s="3320"/>
      <c r="C13" s="3330"/>
      <c r="D13" s="3331"/>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9" t="s">
        <v>315</v>
      </c>
      <c r="B14" s="3320">
        <v>30</v>
      </c>
      <c r="C14" s="3328"/>
      <c r="D14" s="3331"/>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9"/>
      <c r="B15" s="3320"/>
      <c r="C15" s="3329"/>
      <c r="D15" s="3331"/>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9"/>
      <c r="B16" s="3320"/>
      <c r="C16" s="3330"/>
      <c r="D16" s="333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v>
      </c>
      <c r="D17" s="265">
        <f>SUM(D5:D16)</f>
        <v>0</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t="e">
        <f>ROUND(C17/SUM(C17:D17),2)</f>
        <v>#DIV/0!</v>
      </c>
      <c r="D18" s="267" t="e">
        <f>1-C18</f>
        <v>#DIV/0!</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89</v>
      </c>
      <c r="D19" s="271" t="e">
        <f ca="1">SUMIF(INDIRECT("'"&amp;D4&amp;"'"&amp;"!A:A"),结果表!B19,INDIRECT("'"&amp;D4&amp;"'"&amp;"!B:B"))</f>
        <v>#REF!</v>
      </c>
      <c r="E19" s="268" t="s">
        <v>323</v>
      </c>
      <c r="F19" s="269" t="s">
        <v>322</v>
      </c>
      <c r="G19" s="272" t="e">
        <f ca="1">ROUND(C19*$C$18+D19*$D$18,0)</f>
        <v>#DIV/0!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6980</v>
      </c>
      <c r="D20" s="277" t="e">
        <f ca="1">SUMIF(INDIRECT("'"&amp;D4&amp;"'"&amp;"!A:A"),结果表!B20,INDIRECT("'"&amp;D4&amp;"'"&amp;"!B:B"))</f>
        <v>#REF!</v>
      </c>
      <c r="E20" s="274"/>
      <c r="F20" s="275" t="s">
        <v>325</v>
      </c>
      <c r="G20" s="278" t="e">
        <f ca="1">ROUND(C20*$C$18+D20*$D$18,0)</f>
        <v>#DIV/0!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3490</v>
      </c>
      <c r="D21" s="151" t="e">
        <f ca="1">SUMIF(INDIRECT("'"&amp;D4&amp;"'"&amp;"!A:A"),结果表!B21,INDIRECT("'"&amp;D4&amp;"'"&amp;"!B:B"))</f>
        <v>#REF!</v>
      </c>
      <c r="E21" s="274"/>
      <c r="F21" s="280" t="s">
        <v>327</v>
      </c>
      <c r="G21" s="282" t="e">
        <f ca="1">ROUND(C21*$C$18+D21*$D$18,0)</f>
        <v>#DIV/0!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t="e">
        <f ca="1">IF(C19&lt;D19,D19/C19-1,C19/D19-1)</f>
        <v>#REF!</v>
      </c>
      <c r="E22" s="284"/>
      <c r="F22" s="285"/>
      <c r="G22" s="286" t="e">
        <f ca="1">ROUND(G19/('数据-汇总表'!D3/666.67),0)</f>
        <v>#DIV/0!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4"/>
      <c r="B25" s="1321" t="s">
        <v>331</v>
      </c>
      <c r="C25" s="290">
        <f>IF(B30=0,0,C30)</f>
        <v>0</v>
      </c>
      <c r="D25" s="291"/>
      <c r="E25" s="311"/>
      <c r="F25" s="311"/>
      <c r="G25" s="311"/>
      <c r="H25" s="311"/>
      <c r="I25" s="311"/>
      <c r="J25" s="2030"/>
      <c r="K25" s="1255" t="e">
        <f ca="1">项目基本情况!B16&amp;"国有建设用地使用权价格："&amp;O38&amp;"万元"</f>
        <v>#DIV/0!</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e">
        <f ca="1">"大写金额：人民币"&amp;NUMBERSTRING(INT(O38*10000),2)&amp;"元整"</f>
        <v>#DIV/0!</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e">
        <f ca="1">"单位面积地价："&amp;M38&amp;"元/平方米"</f>
        <v>#DIV/0!</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e">
        <f ca="1">"楼面地价："&amp;N38&amp;"元/平方米"</f>
        <v>#DIV/0!</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2971</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t="e">
        <f ca="1">G19-C24</f>
        <v>#DIV/0!</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t="e">
        <f ca="1">ROUND(C32*10000/'数据-汇总表'!E3,0)</f>
        <v>#DIV/0!</v>
      </c>
      <c r="D33" s="1386" t="s">
        <v>1692</v>
      </c>
      <c r="E33" s="329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t="e">
        <f ca="1">ROUND(C32*10000/'数据-汇总表'!D3,0)</f>
        <v>#DIV/0!</v>
      </c>
      <c r="D34" s="1388" t="s">
        <v>1692</v>
      </c>
      <c r="E34" s="329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t="e">
        <f ca="1">ROUND(C32/('数据-汇总表'!D3/666.67),0)</f>
        <v>#DIV/0!</v>
      </c>
      <c r="D35" s="1391" t="s">
        <v>1694</v>
      </c>
      <c r="E35" s="3294"/>
      <c r="F35" s="301" t="s">
        <v>342</v>
      </c>
      <c r="G35" s="982"/>
      <c r="H35" s="981" t="s">
        <v>343</v>
      </c>
      <c r="I35" s="311"/>
      <c r="J35" s="2030"/>
      <c r="K35" s="3298" t="s">
        <v>350</v>
      </c>
      <c r="L35" s="3298" t="s">
        <v>351</v>
      </c>
      <c r="M35" s="1264" t="s">
        <v>352</v>
      </c>
      <c r="N35" s="3298" t="s">
        <v>353</v>
      </c>
      <c r="O35" s="3298" t="s">
        <v>354</v>
      </c>
      <c r="P35" s="2030"/>
      <c r="V35" s="2030"/>
    </row>
    <row r="36" spans="1:26" ht="16.5" customHeight="1">
      <c r="A36" s="303" t="s">
        <v>344</v>
      </c>
      <c r="B36" s="304" t="s">
        <v>333</v>
      </c>
      <c r="C36" s="305" t="s">
        <v>345</v>
      </c>
      <c r="D36" s="305" t="s">
        <v>346</v>
      </c>
      <c r="E36" s="306" t="s">
        <v>347</v>
      </c>
      <c r="F36" s="311"/>
      <c r="G36" s="311"/>
      <c r="H36" s="311"/>
      <c r="I36" s="311"/>
      <c r="J36" s="2032"/>
      <c r="K36" s="3299"/>
      <c r="L36" s="3299"/>
      <c r="M36" s="1266" t="s">
        <v>355</v>
      </c>
      <c r="N36" s="3299"/>
      <c r="O36" s="3299"/>
      <c r="P36" s="2030"/>
      <c r="V36" s="2030"/>
    </row>
    <row r="37" spans="1:26" ht="16.5" customHeight="1" thickBot="1">
      <c r="A37" s="1260" t="s">
        <v>348</v>
      </c>
      <c r="B37" s="307"/>
      <c r="C37" s="294"/>
      <c r="D37" s="294"/>
      <c r="E37" s="295"/>
      <c r="F37" s="311"/>
      <c r="G37" s="311"/>
      <c r="H37" s="311"/>
      <c r="I37" s="311"/>
      <c r="J37" s="2032"/>
      <c r="K37" s="3300"/>
      <c r="L37" s="3300"/>
      <c r="M37" s="1267"/>
      <c r="N37" s="3300"/>
      <c r="O37" s="3300"/>
      <c r="P37" s="2030"/>
      <c r="V37" s="2030"/>
    </row>
    <row r="38" spans="1:26" ht="16.5" customHeight="1" thickBot="1">
      <c r="A38" s="1260" t="s">
        <v>349</v>
      </c>
      <c r="B38" s="307"/>
      <c r="C38" s="294"/>
      <c r="D38" s="294"/>
      <c r="E38" s="295"/>
      <c r="F38" s="311"/>
      <c r="G38" s="311"/>
      <c r="H38" s="311"/>
      <c r="I38" s="311"/>
      <c r="J38" s="2032"/>
      <c r="K38" s="1268" t="e">
        <f>'数据-汇总表'!D3</f>
        <v>#DIV/0!</v>
      </c>
      <c r="L38" s="1269">
        <f>'数据-汇总表'!E3</f>
        <v>0</v>
      </c>
      <c r="M38" s="1269" t="e">
        <f ca="1">C34</f>
        <v>#DIV/0!</v>
      </c>
      <c r="N38" s="1269" t="e">
        <f ca="1">C33</f>
        <v>#DIV/0!</v>
      </c>
      <c r="O38" s="1270" t="e">
        <f ca="1">C32</f>
        <v>#DIV/0!</v>
      </c>
      <c r="P38" s="2030"/>
      <c r="V38" s="2030"/>
    </row>
    <row r="39" spans="1:26" ht="16.5" customHeight="1" thickBot="1">
      <c r="A39" s="1265"/>
      <c r="B39" s="308"/>
      <c r="C39" s="309"/>
      <c r="D39" s="309"/>
      <c r="E39" s="310"/>
      <c r="F39" s="311"/>
      <c r="G39" s="311"/>
      <c r="H39" s="311"/>
      <c r="I39" s="311"/>
      <c r="J39" s="2032"/>
      <c r="K39" s="3275" t="str">
        <f>MID(A44,3,LEN(A44)-2)</f>
        <v/>
      </c>
      <c r="L39" s="3276"/>
      <c r="M39" s="3276"/>
      <c r="N39" s="3277"/>
      <c r="O39" s="1393" t="str">
        <f>C44</f>
        <v>——</v>
      </c>
      <c r="P39" s="2030"/>
      <c r="V39" s="2030"/>
    </row>
    <row r="40" spans="1:26" ht="19.5" thickBot="1">
      <c r="A40" s="104" t="s">
        <v>873</v>
      </c>
      <c r="B40" s="311"/>
      <c r="C40" s="311"/>
      <c r="D40" s="311"/>
      <c r="E40" s="311"/>
      <c r="F40" s="311"/>
      <c r="G40" s="311"/>
      <c r="H40" s="311"/>
      <c r="I40" s="311"/>
      <c r="J40" s="2032"/>
      <c r="K40" s="3275" t="str">
        <f t="shared" ref="K40:K41" si="0">MID(A45,3,LEN(A45)-2)</f>
        <v/>
      </c>
      <c r="L40" s="3276"/>
      <c r="M40" s="3276"/>
      <c r="N40" s="3277"/>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5" t="str">
        <f t="shared" si="0"/>
        <v/>
      </c>
      <c r="L41" s="3276"/>
      <c r="M41" s="3276"/>
      <c r="N41" s="3277"/>
      <c r="O41" s="1393" t="str">
        <f>C46</f>
        <v>——</v>
      </c>
      <c r="P41" s="2030"/>
      <c r="V41" s="2030"/>
    </row>
    <row r="42" spans="1:26" ht="29.25">
      <c r="A42" s="3335" t="s">
        <v>2070</v>
      </c>
      <c r="B42" s="3336"/>
      <c r="C42" s="264" t="e">
        <f ca="1">C32</f>
        <v>#DIV/0!</v>
      </c>
      <c r="D42" s="317" t="e">
        <f ca="1">C33</f>
        <v>#DIV/0!</v>
      </c>
      <c r="E42" s="317" t="e">
        <f ca="1">C34</f>
        <v>#DIV/0!</v>
      </c>
      <c r="F42" s="318" t="e">
        <f ca="1">C35</f>
        <v>#DIV/0!</v>
      </c>
      <c r="G42" s="311"/>
      <c r="H42" s="311"/>
      <c r="I42" s="319"/>
      <c r="J42" s="2032"/>
      <c r="K42" s="1271" t="s">
        <v>361</v>
      </c>
      <c r="L42" s="2049" t="s">
        <v>362</v>
      </c>
      <c r="M42" s="1272" t="s">
        <v>363</v>
      </c>
      <c r="N42" s="2050" t="s">
        <v>364</v>
      </c>
      <c r="O42" s="2051" t="s">
        <v>365</v>
      </c>
      <c r="P42" s="2030"/>
      <c r="V42" s="2030"/>
    </row>
    <row r="43" spans="1:26" ht="18">
      <c r="A43" s="3345" t="s">
        <v>2733</v>
      </c>
      <c r="B43" s="3346"/>
      <c r="C43" s="264">
        <f>IF(H33="正常操作",G33+G34+G35,G34+G35)</f>
        <v>0</v>
      </c>
      <c r="D43" s="317" t="s">
        <v>43</v>
      </c>
      <c r="E43" s="317" t="s">
        <v>44</v>
      </c>
      <c r="F43" s="318" t="s">
        <v>44</v>
      </c>
      <c r="G43" s="2868" t="s">
        <v>952</v>
      </c>
      <c r="H43" s="311"/>
      <c r="I43" s="319"/>
      <c r="J43" s="2032"/>
      <c r="K43" s="1273" t="str">
        <f>C4</f>
        <v>基准地价</v>
      </c>
      <c r="L43" s="1274">
        <f ca="1">IF(L42="估价结果/万元",C19,C20)</f>
        <v>89</v>
      </c>
      <c r="M43" s="1275" t="e">
        <f>C18</f>
        <v>#DIV/0!</v>
      </c>
      <c r="N43" s="1276" t="e">
        <f ca="1">IF(N42="测算结果/万元",G19,G20)</f>
        <v>#DIV/0!</v>
      </c>
      <c r="O43" s="1277" t="e">
        <f ca="1">IF(O42="最终结果/万元",C32,C33)</f>
        <v>#DIV/0!</v>
      </c>
      <c r="P43" s="2030"/>
      <c r="V43" s="2030"/>
    </row>
    <row r="44" spans="1:26" ht="18.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2"/>
      <c r="K44" s="1278">
        <f>D4</f>
        <v>0</v>
      </c>
      <c r="L44" s="1279" t="e">
        <f ca="1">IF(L42="估价结果/万元",D19,D20)</f>
        <v>#REF!</v>
      </c>
      <c r="M44" s="1280" t="e">
        <f>D18</f>
        <v>#DIV/0!</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3" t="s">
        <v>374</v>
      </c>
      <c r="B63" s="3304"/>
      <c r="C63" s="3305"/>
      <c r="D63" s="341" t="e">
        <f ca="1">ROUND(C42*F63,0)</f>
        <v>#DIV/0!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9" t="s">
        <v>386</v>
      </c>
      <c r="B66" s="3310"/>
      <c r="C66" s="3310"/>
      <c r="D66" s="261" t="e">
        <f ca="1">IF(H66="情况1",0,IF(H66="情况2",D70,IF(H66="情况3",D71,IF(H66="情况4",D72))))</f>
        <v>#DIV/0!</v>
      </c>
      <c r="E66" s="993" t="str">
        <f>IF(H66="情况4","(销售额-原购置价)×税（费）率","销售额×税（费）率")</f>
        <v>销售额×税（费）率</v>
      </c>
      <c r="F66" s="350">
        <f>IF(H66="情况1","免征",'数据-取费表'!B41)</f>
        <v>0</v>
      </c>
      <c r="G66" s="351" t="s">
        <v>387</v>
      </c>
      <c r="H66" s="191" t="s">
        <v>388</v>
      </c>
      <c r="I66" s="1288"/>
      <c r="J66" s="2036"/>
      <c r="K66" s="1291">
        <v>1</v>
      </c>
      <c r="L66" s="3279" t="s">
        <v>385</v>
      </c>
      <c r="M66" s="3280"/>
      <c r="N66" s="2460"/>
      <c r="O66" s="2461"/>
      <c r="P66" s="2462"/>
      <c r="Q66" s="2030"/>
      <c r="R66" s="2030"/>
      <c r="S66" s="2030"/>
      <c r="T66" s="2030"/>
      <c r="U66" s="2030"/>
      <c r="V66" s="2030"/>
    </row>
    <row r="67" spans="1:22" ht="25.5" customHeight="1">
      <c r="A67" s="352" t="s">
        <v>390</v>
      </c>
      <c r="B67" s="3322" t="s">
        <v>391</v>
      </c>
      <c r="C67" s="3322"/>
      <c r="D67" s="353">
        <v>0</v>
      </c>
      <c r="E67" s="41" t="s">
        <v>392</v>
      </c>
      <c r="F67" s="62" t="s">
        <v>21</v>
      </c>
      <c r="G67" s="3306"/>
      <c r="H67" s="311"/>
      <c r="I67" s="1292"/>
      <c r="J67" s="2037"/>
      <c r="K67" s="1978">
        <v>2</v>
      </c>
      <c r="L67" s="3278" t="s">
        <v>389</v>
      </c>
      <c r="M67" s="3278"/>
      <c r="N67" s="1325">
        <f>'数据-取费表'!B2</f>
        <v>43370</v>
      </c>
      <c r="O67" s="1325"/>
      <c r="P67" s="1325"/>
      <c r="Q67" s="2030"/>
      <c r="R67" s="2030"/>
      <c r="S67" s="2030"/>
      <c r="T67" s="2030"/>
      <c r="U67" s="2030"/>
      <c r="V67" s="2030"/>
    </row>
    <row r="68" spans="1:22" ht="25.5" customHeight="1">
      <c r="A68" s="354"/>
      <c r="B68" s="3322" t="s">
        <v>394</v>
      </c>
      <c r="C68" s="3322"/>
      <c r="D68" s="355"/>
      <c r="E68" s="77"/>
      <c r="F68" s="356"/>
      <c r="G68" s="3307"/>
      <c r="H68" s="311"/>
      <c r="I68" s="1292"/>
      <c r="J68" s="2037"/>
      <c r="K68" s="1978">
        <v>3</v>
      </c>
      <c r="L68" s="3278" t="s">
        <v>393</v>
      </c>
      <c r="M68" s="3278"/>
      <c r="N68" s="1293" t="e">
        <f ca="1">C42</f>
        <v>#DIV/0!</v>
      </c>
      <c r="O68" s="1293"/>
      <c r="P68" s="1293"/>
      <c r="Q68" s="2030"/>
      <c r="R68" s="2030"/>
      <c r="S68" s="2030"/>
      <c r="T68" s="2030"/>
      <c r="U68" s="2030"/>
      <c r="V68" s="2030"/>
    </row>
    <row r="69" spans="1:22" ht="12" customHeight="1">
      <c r="A69" s="357"/>
      <c r="B69" s="3322" t="s">
        <v>395</v>
      </c>
      <c r="C69" s="3322"/>
      <c r="D69" s="358"/>
      <c r="E69" s="73"/>
      <c r="F69" s="356"/>
      <c r="G69" s="3308"/>
      <c r="H69" s="311"/>
      <c r="I69" s="1292"/>
      <c r="J69" s="2037"/>
      <c r="K69" s="1294">
        <v>4</v>
      </c>
      <c r="L69" s="3284" t="s">
        <v>2885</v>
      </c>
      <c r="M69" s="3285"/>
      <c r="N69" s="1295" t="str">
        <f>C44</f>
        <v>——</v>
      </c>
      <c r="O69" s="1295"/>
      <c r="P69" s="1295"/>
      <c r="Q69" s="2030"/>
      <c r="R69" s="2030"/>
      <c r="S69" s="2030"/>
      <c r="T69" s="2030"/>
      <c r="U69" s="2030"/>
      <c r="V69" s="2030"/>
    </row>
    <row r="70" spans="1:22" ht="24" customHeight="1">
      <c r="A70" s="359" t="s">
        <v>396</v>
      </c>
      <c r="B70" s="3322" t="s">
        <v>397</v>
      </c>
      <c r="C70" s="3322"/>
      <c r="D70" s="358" t="e">
        <f ca="1">ROUND(D63*'数据-取费表'!B41/(1+'数据-取费表'!C42),0)</f>
        <v>#DIV/0!</v>
      </c>
      <c r="E70" s="17" t="s">
        <v>398</v>
      </c>
      <c r="F70" s="360">
        <f>'数据-取费表'!B41</f>
        <v>0</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21" t="s">
        <v>405</v>
      </c>
      <c r="C71" s="3333"/>
      <c r="D71" s="358" t="e">
        <f ca="1">ROUND(D63*'数据-取费表'!B41/(1+'数据-取费表'!C42),0)</f>
        <v>#DIV/0!</v>
      </c>
      <c r="E71" s="17" t="s">
        <v>398</v>
      </c>
      <c r="F71" s="360">
        <f>'数据-取费表'!B41</f>
        <v>0</v>
      </c>
      <c r="G71" s="361"/>
      <c r="H71" s="311"/>
      <c r="I71" s="1292"/>
      <c r="J71" s="2037"/>
      <c r="K71" s="3063" t="s">
        <v>399</v>
      </c>
      <c r="L71" s="3286" t="s">
        <v>400</v>
      </c>
      <c r="M71" s="3286"/>
      <c r="N71" s="3063" t="s">
        <v>401</v>
      </c>
      <c r="O71" s="3063" t="s">
        <v>402</v>
      </c>
      <c r="P71" s="3063" t="s">
        <v>403</v>
      </c>
      <c r="Q71" s="2030"/>
      <c r="R71" s="2030"/>
      <c r="S71" s="2030"/>
      <c r="T71" s="2030"/>
      <c r="U71" s="2030"/>
      <c r="V71" s="2030"/>
    </row>
    <row r="72" spans="1:22" ht="12" customHeight="1">
      <c r="A72" s="359" t="s">
        <v>407</v>
      </c>
      <c r="B72" s="3321" t="s">
        <v>408</v>
      </c>
      <c r="C72" s="3333"/>
      <c r="D72" s="358" t="e">
        <f ca="1">C86</f>
        <v>#DIV/0!</v>
      </c>
      <c r="E72" s="73" t="s">
        <v>409</v>
      </c>
      <c r="F72" s="360">
        <f>'数据-取费表'!B41</f>
        <v>0</v>
      </c>
      <c r="G72" s="361"/>
      <c r="H72" s="1298"/>
      <c r="I72" s="1292"/>
      <c r="J72" s="2037"/>
      <c r="K72" s="1978">
        <v>1</v>
      </c>
      <c r="L72" s="3283" t="s">
        <v>406</v>
      </c>
      <c r="M72" s="3283"/>
      <c r="N72" s="1296" t="e">
        <f ca="1">D66</f>
        <v>#DIV/0!</v>
      </c>
      <c r="O72" s="1861" t="str">
        <f>E66</f>
        <v>销售额×税（费）率</v>
      </c>
      <c r="P72" s="1297">
        <f>F66</f>
        <v>0</v>
      </c>
      <c r="Q72" s="2030"/>
      <c r="R72" s="2030"/>
      <c r="S72" s="2030"/>
      <c r="T72" s="2030"/>
      <c r="U72" s="2030"/>
      <c r="V72" s="2030"/>
    </row>
    <row r="73" spans="1:22" ht="24" customHeight="1">
      <c r="A73" s="3309" t="s">
        <v>411</v>
      </c>
      <c r="B73" s="3310"/>
      <c r="C73" s="3310"/>
      <c r="D73" s="362">
        <f>IF(H73="个人住宅",0,ROUND(D63*I73,0))</f>
        <v>0</v>
      </c>
      <c r="E73" s="17" t="s">
        <v>412</v>
      </c>
      <c r="F73" s="360" t="str">
        <f>IF(H73="正常",I73,"免征")</f>
        <v>免征</v>
      </c>
      <c r="G73" s="361"/>
      <c r="H73" s="191" t="s">
        <v>2458</v>
      </c>
      <c r="I73" s="360">
        <f>'数据-取费表'!B49</f>
        <v>0</v>
      </c>
      <c r="J73" s="2037"/>
      <c r="K73" s="1978">
        <v>2</v>
      </c>
      <c r="L73" s="3283" t="s">
        <v>410</v>
      </c>
      <c r="M73" s="3283"/>
      <c r="N73" s="1296">
        <f t="shared" ref="N73:P74" si="1">D73</f>
        <v>0</v>
      </c>
      <c r="O73" s="1861" t="str">
        <f t="shared" si="1"/>
        <v>销售额×税（费）率</v>
      </c>
      <c r="P73" s="1297" t="str">
        <f t="shared" si="1"/>
        <v>免征</v>
      </c>
      <c r="Q73" s="2030"/>
      <c r="R73" s="2030"/>
      <c r="S73" s="2030"/>
      <c r="T73" s="2030"/>
      <c r="U73" s="2030"/>
      <c r="V73" s="2030"/>
    </row>
    <row r="74" spans="1:22" ht="24.75">
      <c r="A74" s="3309" t="s">
        <v>415</v>
      </c>
      <c r="B74" s="3310"/>
      <c r="C74" s="3310"/>
      <c r="D74" s="362" t="e">
        <f ca="1">IF(H74="个人住宅",D75,D76)</f>
        <v>#DIV/0!</v>
      </c>
      <c r="E74" s="17" t="s">
        <v>416</v>
      </c>
      <c r="F74" s="360" t="str">
        <f>IF(H74="正常",F76,"免征")</f>
        <v>——</v>
      </c>
      <c r="G74" s="983" t="s">
        <v>417</v>
      </c>
      <c r="H74" s="363" t="s">
        <v>413</v>
      </c>
      <c r="I74" s="42"/>
      <c r="J74" s="2037"/>
      <c r="K74" s="1978">
        <v>3</v>
      </c>
      <c r="L74" s="3283" t="s">
        <v>414</v>
      </c>
      <c r="M74" s="3283"/>
      <c r="N74" s="1296" t="e">
        <f t="shared" ca="1" si="1"/>
        <v>#DIV/0!</v>
      </c>
      <c r="O74" s="1861" t="str">
        <f t="shared" si="1"/>
        <v>增值额×税（费）率</v>
      </c>
      <c r="P74" s="1299" t="str">
        <f t="shared" si="1"/>
        <v>——</v>
      </c>
      <c r="Q74" s="2030"/>
      <c r="R74" s="2030"/>
      <c r="S74" s="2030"/>
      <c r="T74" s="2030"/>
      <c r="U74" s="2030"/>
      <c r="V74" s="2030"/>
    </row>
    <row r="75" spans="1:22" ht="24">
      <c r="A75" s="359" t="s">
        <v>418</v>
      </c>
      <c r="B75" s="3290" t="s">
        <v>419</v>
      </c>
      <c r="C75" s="3291"/>
      <c r="D75" s="364">
        <v>0</v>
      </c>
      <c r="E75" s="41" t="s">
        <v>420</v>
      </c>
      <c r="F75" s="365"/>
      <c r="G75" s="361"/>
      <c r="H75" s="42"/>
      <c r="I75" s="42"/>
      <c r="J75" s="2037"/>
      <c r="K75" s="3056">
        <f>IF(H77="非个人房产","",4)</f>
        <v>4</v>
      </c>
      <c r="L75" s="3283" t="str">
        <f>IF(H77="非个人房产","——","个人所得税")</f>
        <v>个人所得税</v>
      </c>
      <c r="M75" s="3283"/>
      <c r="N75" s="1300" t="e">
        <f ca="1">D77</f>
        <v>#DIV/0!</v>
      </c>
      <c r="O75" s="1874" t="str">
        <f>E77</f>
        <v>销售额×税（费）率</v>
      </c>
      <c r="P75" s="1301">
        <f>F77</f>
        <v>0.01</v>
      </c>
      <c r="Q75" s="2030"/>
      <c r="R75" s="2030"/>
      <c r="S75" s="2030"/>
      <c r="T75" s="2030"/>
      <c r="U75" s="2030"/>
      <c r="V75" s="2030"/>
    </row>
    <row r="76" spans="1:22" ht="24.75">
      <c r="A76" s="359" t="s">
        <v>396</v>
      </c>
      <c r="B76" s="3290" t="s">
        <v>422</v>
      </c>
      <c r="C76" s="3332"/>
      <c r="D76" s="362" t="e">
        <f ca="1">IF(H76="转让取得",C99,C115)</f>
        <v>#DIV/0!</v>
      </c>
      <c r="E76" s="17" t="s">
        <v>423</v>
      </c>
      <c r="F76" s="53" t="s">
        <v>21</v>
      </c>
      <c r="G76" s="361"/>
      <c r="H76" s="363" t="s">
        <v>424</v>
      </c>
      <c r="I76" s="42"/>
      <c r="J76" s="2037"/>
      <c r="K76" s="3056" t="str">
        <f>IF(项目基本情况!K6="上海银行",IF(K75="",4,K75+1),"")</f>
        <v/>
      </c>
      <c r="L76" s="3271" t="str">
        <f>IF(项目基本情况!K6="上海银行","其他处置费用","")</f>
        <v/>
      </c>
      <c r="M76" s="3272"/>
      <c r="N76" s="1296" t="str">
        <f>IF(项目基本情况!K6="上海银行",N89,"")</f>
        <v/>
      </c>
      <c r="O76" s="3273" t="str">
        <f>IF(项目基本情况!K6="上海银行","包含处置中涉及的律师、诉讼、拍卖、评估等费用","")</f>
        <v/>
      </c>
      <c r="P76" s="3274"/>
      <c r="Q76" s="2030"/>
      <c r="R76" s="2030"/>
      <c r="S76" s="2030"/>
      <c r="T76" s="2030"/>
      <c r="U76" s="2030"/>
      <c r="V76" s="2030"/>
    </row>
    <row r="77" spans="1:22" ht="26.25" thickBot="1">
      <c r="A77" s="3301" t="s">
        <v>426</v>
      </c>
      <c r="B77" s="3302"/>
      <c r="C77" s="3302"/>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7"/>
      <c r="K77" s="3297">
        <f>IF(AND(K75="",K76=""),4,IF(项目基本情况!K6="上海银行",K76+1,K75+1))</f>
        <v>5</v>
      </c>
      <c r="L77" s="3283" t="s">
        <v>2887</v>
      </c>
      <c r="M77" s="3062" t="s">
        <v>421</v>
      </c>
      <c r="N77" s="1302"/>
      <c r="O77" s="1303">
        <f ca="1">SUMIF(N72:N76,"&lt;9e307")</f>
        <v>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297"/>
      <c r="L78" s="3283"/>
      <c r="M78" s="3062" t="s">
        <v>425</v>
      </c>
      <c r="N78" s="1302"/>
      <c r="O78" s="1303" t="str">
        <f ca="1">NUMBERSTRING(INT(O77*10000),2)&amp;"元整"</f>
        <v>零元整</v>
      </c>
      <c r="P78" s="1304"/>
      <c r="Q78" s="2030"/>
      <c r="R78" s="2030"/>
      <c r="S78" s="2030"/>
      <c r="T78" s="2030"/>
      <c r="U78" s="2030"/>
      <c r="V78" s="2030"/>
    </row>
    <row r="79" spans="1:22" ht="13.5" thickBot="1">
      <c r="A79" s="3287" t="s">
        <v>427</v>
      </c>
      <c r="B79" s="3287"/>
      <c r="C79" s="3287"/>
      <c r="D79" s="3287"/>
      <c r="E79" s="3287"/>
      <c r="F79" s="42"/>
      <c r="G79" s="42"/>
      <c r="H79" s="1003"/>
      <c r="I79" s="311"/>
      <c r="J79" s="2037"/>
      <c r="K79" s="3281">
        <f>K77+1</f>
        <v>6</v>
      </c>
      <c r="L79" s="3283" t="s">
        <v>2888</v>
      </c>
      <c r="M79" s="3062" t="s">
        <v>421</v>
      </c>
      <c r="N79" s="1302"/>
      <c r="O79" s="1303" t="e">
        <f ca="1">N69-O77</f>
        <v>#VALUE!</v>
      </c>
      <c r="P79" s="1304"/>
      <c r="Q79" s="2030"/>
      <c r="R79" s="2030"/>
      <c r="S79" s="2030"/>
      <c r="T79" s="2030"/>
      <c r="U79" s="2030"/>
      <c r="V79" s="2030"/>
    </row>
    <row r="80" spans="1:22" ht="12.75">
      <c r="A80" s="3288" t="s">
        <v>428</v>
      </c>
      <c r="B80" s="3289"/>
      <c r="C80" s="994"/>
      <c r="D80" s="994" t="s">
        <v>429</v>
      </c>
      <c r="E80" s="370" t="s">
        <v>430</v>
      </c>
      <c r="F80" s="42"/>
      <c r="G80" s="42"/>
      <c r="H80" s="1003"/>
      <c r="I80" s="311"/>
      <c r="J80" s="2030"/>
      <c r="K80" s="3282"/>
      <c r="L80" s="3283"/>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t="e">
        <f ca="1">ROUND((C82+C83)/(1+'数据-取费表'!C42),0)</f>
        <v>#DIV/0!</v>
      </c>
      <c r="D81" s="373"/>
      <c r="E81" s="374"/>
      <c r="F81" s="42"/>
      <c r="G81" s="42"/>
      <c r="H81" s="1003"/>
      <c r="I81" s="311"/>
      <c r="J81" s="2030"/>
      <c r="K81" s="3056">
        <f>K79+1</f>
        <v>7</v>
      </c>
      <c r="L81" s="3295" t="s">
        <v>2889</v>
      </c>
      <c r="M81" s="3296"/>
      <c r="N81" s="1306"/>
      <c r="O81" s="1307" t="e">
        <f ca="1">ROUND(O79*10000/'数据-汇总表'!E3,0)</f>
        <v>#VALUE!</v>
      </c>
      <c r="P81" s="1308"/>
      <c r="Q81" s="2030"/>
      <c r="R81" s="2030"/>
      <c r="S81" s="2030"/>
      <c r="T81" s="2030"/>
      <c r="U81" s="2030"/>
      <c r="V81" s="2030"/>
    </row>
    <row r="82" spans="1:26" ht="13.5" thickTop="1">
      <c r="A82" s="375" t="s">
        <v>1825</v>
      </c>
      <c r="B82" s="376" t="s">
        <v>432</v>
      </c>
      <c r="C82" s="377" t="e">
        <f ca="1">D63</f>
        <v>#DIV/0!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70"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2943</v>
      </c>
      <c r="F84" s="42"/>
      <c r="G84" s="42"/>
      <c r="H84" s="1003"/>
      <c r="I84" s="311"/>
      <c r="J84" s="2030"/>
      <c r="K84" s="3270"/>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t="e">
        <f ca="1">C81-C84</f>
        <v>#DIV/0!</v>
      </c>
      <c r="D85" s="378" t="s">
        <v>19</v>
      </c>
      <c r="E85" s="379"/>
      <c r="F85" s="42"/>
      <c r="G85" s="42"/>
      <c r="H85" s="1003"/>
      <c r="I85" s="311"/>
      <c r="J85" s="2030"/>
      <c r="K85" s="3270"/>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t="e">
        <f ca="1">IF(C85&lt;=0,0,ROUND(C85*D86,0))</f>
        <v>#DIV/0!</v>
      </c>
      <c r="D86" s="389">
        <f>'数据-取费表'!B41</f>
        <v>0</v>
      </c>
      <c r="E86" s="390"/>
      <c r="F86" s="42"/>
      <c r="G86" s="42"/>
      <c r="H86" s="1003"/>
      <c r="I86" s="311"/>
      <c r="J86" s="2030"/>
      <c r="K86" s="3270"/>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0"/>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24" t="s">
        <v>437</v>
      </c>
      <c r="B88" s="3325"/>
      <c r="C88" s="3325"/>
      <c r="D88" s="3325"/>
      <c r="E88" s="3325"/>
      <c r="F88" s="3325"/>
      <c r="G88" s="3325"/>
      <c r="H88" s="3325"/>
      <c r="I88" s="1315"/>
      <c r="J88" s="2038"/>
      <c r="K88" s="3270"/>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288" t="s">
        <v>428</v>
      </c>
      <c r="B89" s="3289"/>
      <c r="C89" s="994"/>
      <c r="D89" s="994" t="s">
        <v>429</v>
      </c>
      <c r="E89" s="391" t="s">
        <v>438</v>
      </c>
      <c r="F89" s="392"/>
      <c r="G89" s="392"/>
      <c r="H89" s="393"/>
      <c r="I89" s="1316"/>
      <c r="J89" s="2040"/>
      <c r="K89" s="3270"/>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t="e">
        <f ca="1">ROUND(D63/(1+'数据-取费表'!C42),0)</f>
        <v>#DIV/0!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t="e">
        <f ca="1">C92+C96</f>
        <v>#DIV/0!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2500</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1" t="s">
        <v>447</v>
      </c>
      <c r="F94" s="3322"/>
      <c r="G94" s="3322"/>
      <c r="H94" s="332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0</v>
      </c>
      <c r="D95" s="402">
        <f>'数据-取费表'!B48+'数据-取费表'!B49</f>
        <v>0</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t="e">
        <f ca="1">ROUND(D63*D96/(1+'数据-取费表'!C42),0)</f>
        <v>#DIV/0!</v>
      </c>
      <c r="D96" s="406">
        <f>'数据-取费表'!B43</f>
        <v>0</v>
      </c>
      <c r="E96" s="3311" t="s">
        <v>2431</v>
      </c>
      <c r="F96" s="3312"/>
      <c r="G96" s="3312"/>
      <c r="H96" s="331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t="e">
        <f ca="1">C90-C91</f>
        <v>#DIV/0!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4" t="s">
        <v>454</v>
      </c>
      <c r="B101" s="3325"/>
      <c r="C101" s="3325"/>
      <c r="D101" s="3325"/>
      <c r="E101" s="3325"/>
      <c r="F101" s="3325"/>
      <c r="G101" s="3325"/>
      <c r="H101" s="332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8" t="s">
        <v>428</v>
      </c>
      <c r="B102" s="328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t="e">
        <f ca="1">ROUND(D63/(1+'数据-取费表'!C42),0)</f>
        <v>#DIV/0!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555</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0</v>
      </c>
      <c r="D107" s="406">
        <f>'数据-取费表'!B48+'数据-取费表'!B49</f>
        <v>0</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4" t="s">
        <v>462</v>
      </c>
      <c r="F109" s="3312"/>
      <c r="G109" s="331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61</v>
      </c>
      <c r="D110" s="406">
        <v>0.1</v>
      </c>
      <c r="E110" s="3314" t="s">
        <v>464</v>
      </c>
      <c r="F110" s="3312"/>
      <c r="G110" s="3312"/>
      <c r="H110" s="331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t="e">
        <f ca="1">ROUND(D63*D111/(1+'数据-取费表'!C42),0)</f>
        <v>#DIV/0!</v>
      </c>
      <c r="D111" s="406">
        <f>'数据-取费表'!B43</f>
        <v>0</v>
      </c>
      <c r="E111" s="3311" t="s">
        <v>2431</v>
      </c>
      <c r="F111" s="3312"/>
      <c r="G111" s="3312"/>
      <c r="H111" s="331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4" t="s">
        <v>2456</v>
      </c>
      <c r="F112" s="3312"/>
      <c r="G112" s="3312"/>
      <c r="H112" s="331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t="e">
        <f ca="1">ROUND(C103-C104,0)</f>
        <v>#DIV/0!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6</v>
      </c>
    </row>
    <row r="2" spans="1:31" s="2043" customFormat="1" ht="18" customHeight="1">
      <c r="A2" s="2103" t="s">
        <v>467</v>
      </c>
      <c r="B2" s="2107" t="e">
        <f ca="1">C36</f>
        <v>#VALUE!</v>
      </c>
      <c r="C2" s="2106"/>
      <c r="D2" s="2106"/>
      <c r="E2" s="2106"/>
      <c r="F2" s="2106"/>
      <c r="G2" s="2106"/>
      <c r="H2" s="2106"/>
      <c r="I2" s="2106"/>
      <c r="J2" s="2106"/>
      <c r="K2" s="2106"/>
    </row>
    <row r="3" spans="1:31" s="2043" customFormat="1" ht="18" customHeight="1">
      <c r="A3" s="2108" t="s">
        <v>1685</v>
      </c>
      <c r="B3" s="2109" t="e">
        <f ca="1">ROUND(B2*10000/IF(B1="",'数据-汇总表'!E3,INDIRECT("'数据-取费表'!K"&amp;$K$1)),0)</f>
        <v>#VALUE!</v>
      </c>
      <c r="C3" s="2106"/>
      <c r="D3" s="2106"/>
      <c r="E3" s="2106"/>
      <c r="F3" s="2106"/>
      <c r="G3" s="2106"/>
      <c r="H3" s="2106"/>
      <c r="I3" s="2106"/>
      <c r="J3" s="2106"/>
      <c r="K3" s="2106"/>
    </row>
    <row r="4" spans="1:31" s="2043" customFormat="1" ht="18" customHeight="1">
      <c r="A4" s="426" t="s">
        <v>468</v>
      </c>
      <c r="B4" s="427" t="e">
        <f ca="1">ROUND(B2*10000/IF(B1="",'数据-汇总表'!D3,INDIRECT("'数据-取费表'!R"&amp;$K$1)),0)</f>
        <v>#VALUE!</v>
      </c>
      <c r="C4" s="428"/>
      <c r="D4" s="422"/>
      <c r="E4" s="422"/>
      <c r="F4" s="422"/>
      <c r="G4" s="422"/>
      <c r="H4" s="422"/>
      <c r="I4" s="422"/>
      <c r="J4" s="422"/>
      <c r="K4" s="422"/>
    </row>
    <row r="5" spans="1:31" s="2043"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0</v>
      </c>
      <c r="D16" s="2846">
        <f ca="1">IF(B1="",'数据-汇总表'!E3,INDIRECT("'数据-取费表'!K"&amp;$K$1)+INDIRECT("'数据-取费表'!S"&amp;$K$1))</f>
        <v>0</v>
      </c>
      <c r="E16" s="53">
        <f>'数据-取费表'!B35</f>
        <v>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0</v>
      </c>
      <c r="G17" s="261" t="s">
        <v>486</v>
      </c>
      <c r="H17" s="2817"/>
      <c r="I17" s="2817"/>
      <c r="J17" s="2817"/>
      <c r="K17" s="279"/>
    </row>
    <row r="18" spans="1:14" s="2118" customFormat="1" ht="13.5" customHeight="1">
      <c r="A18" s="2852" t="s">
        <v>1854</v>
      </c>
      <c r="B18" s="2853" t="s">
        <v>487</v>
      </c>
      <c r="C18" s="2854">
        <f ca="1">SUM(C13:C17)</f>
        <v>0</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0</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0</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0</v>
      </c>
      <c r="D22" s="2846">
        <f ca="1">IF(B1="",'数据-汇总表'!E6,IF(INDIRECT("'数据-取费表'!c"&amp;$K$1)="住宅",INDIRECT("'数据-取费表'!s"&amp;$K$1),INDIRECT("'数据-取费表'!k"&amp;$K$1)+INDIRECT("'数据-取费表'!s"&amp;$K$1)))</f>
        <v>0</v>
      </c>
      <c r="E22" s="53">
        <f>'数据-取费表'!B28</f>
        <v>0</v>
      </c>
      <c r="F22" s="2849"/>
      <c r="G22" s="26"/>
      <c r="H22" s="51"/>
      <c r="I22" s="51"/>
      <c r="J22" s="51"/>
      <c r="K22" s="2821"/>
    </row>
    <row r="23" spans="1:14" s="2118" customFormat="1" ht="13.5" customHeight="1">
      <c r="A23" s="2852" t="s">
        <v>1859</v>
      </c>
      <c r="B23" s="3037" t="s">
        <v>2836</v>
      </c>
      <c r="C23" s="2854">
        <f ca="1">ROUND((C18+C19+C20)*F23,0)</f>
        <v>0</v>
      </c>
      <c r="D23" s="468"/>
      <c r="E23" s="468"/>
      <c r="F23" s="2858">
        <f>'数据-取费表'!B37</f>
        <v>0</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v>
      </c>
      <c r="G24" s="2823" t="s">
        <v>499</v>
      </c>
      <c r="H24" s="2817"/>
      <c r="I24" s="2817"/>
      <c r="J24" s="2817"/>
      <c r="K24" s="279"/>
      <c r="L24" s="2120"/>
      <c r="M24" s="2120"/>
      <c r="N24" s="2120"/>
    </row>
    <row r="25" spans="1:14" s="2121" customFormat="1" ht="13.5" customHeight="1">
      <c r="A25" s="2852" t="s">
        <v>1861</v>
      </c>
      <c r="B25" s="3037" t="s">
        <v>2837</v>
      </c>
      <c r="C25" s="467">
        <f>ROUND(F25/(1+'数据-取费表'!C42),4)</f>
        <v>0</v>
      </c>
      <c r="D25" s="462" t="s">
        <v>2831</v>
      </c>
      <c r="E25" s="469"/>
      <c r="F25" s="2858">
        <f>'数据-取费表'!B48+'数据-取费表'!B49</f>
        <v>0</v>
      </c>
      <c r="G25" s="2822" t="s">
        <v>2292</v>
      </c>
      <c r="H25" s="2815"/>
      <c r="I25" s="2815"/>
      <c r="J25" s="2815"/>
      <c r="K25" s="2816"/>
    </row>
    <row r="26" spans="1:14" s="2120" customFormat="1" ht="13.5" customHeight="1">
      <c r="A26" s="2852" t="s">
        <v>1862</v>
      </c>
      <c r="B26" s="3038" t="s">
        <v>2838</v>
      </c>
      <c r="C26" s="2859" t="e">
        <f ca="1">C28</f>
        <v>#VALUE!</v>
      </c>
      <c r="D26" s="467" t="e">
        <f ca="1">C27</f>
        <v>#VALUE!</v>
      </c>
      <c r="E26" s="469" t="s">
        <v>495</v>
      </c>
      <c r="F26" s="471" t="e">
        <f ca="1">'数据-取费表'!B40</f>
        <v>#VALUE!</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1857</v>
      </c>
      <c r="B27" s="2860" t="s">
        <v>496</v>
      </c>
      <c r="C27" s="2861" t="e">
        <f ca="1">ROUND(IF('数据-取费表'!B22&lt;=1,(1+C25)*F26*'数据-取费表'!B24,(1+C25)*(POWER((1+F26),'数据-取费表'!B24)-1)),4)</f>
        <v>#VALUE!</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1858</v>
      </c>
      <c r="B28" s="2860" t="s">
        <v>2840</v>
      </c>
      <c r="C28" s="2862" t="e">
        <f ca="1">ROUND(IF('数据-取费表'!B22&lt;=1,(C18+C19+C20+C23+C24)*F26*'数据-取费表'!B24/2,(C18+C19+C20+C23+C24)*(POWER((1+F26),'数据-取费表'!B24/2)-1)),0)</f>
        <v>#VALUE!</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1863</v>
      </c>
      <c r="B29" s="2853" t="s">
        <v>497</v>
      </c>
      <c r="C29" s="2854">
        <f>ROUND(C6*F29/(1+'数据-取费表'!C42),0)</f>
        <v>0</v>
      </c>
      <c r="D29" s="468"/>
      <c r="E29" s="468"/>
      <c r="F29" s="3039">
        <f>'数据-取费表'!B41</f>
        <v>0</v>
      </c>
      <c r="G29" s="2823" t="s">
        <v>498</v>
      </c>
      <c r="H29" s="2815"/>
      <c r="I29" s="2815"/>
      <c r="J29" s="2815"/>
      <c r="K29" s="2816"/>
    </row>
    <row r="30" spans="1:14" s="2123" customFormat="1" ht="13.5" customHeight="1">
      <c r="A30" s="1636" t="s">
        <v>1864</v>
      </c>
      <c r="B30" s="2864" t="s">
        <v>500</v>
      </c>
      <c r="C30" s="2859" t="e">
        <f ca="1">C31</f>
        <v>#VALUE!</v>
      </c>
      <c r="D30" s="477" t="e">
        <f ca="1">C32</f>
        <v>#VALUE!</v>
      </c>
      <c r="E30" s="469" t="s">
        <v>495</v>
      </c>
      <c r="F30" s="471"/>
      <c r="G30" s="2822" t="s">
        <v>2975</v>
      </c>
      <c r="H30" s="2815"/>
      <c r="I30" s="2815"/>
      <c r="J30" s="2815"/>
      <c r="K30" s="2816"/>
    </row>
    <row r="31" spans="1:14" s="2122" customFormat="1" ht="13.5" customHeight="1">
      <c r="A31" s="803" t="s">
        <v>1857</v>
      </c>
      <c r="B31" s="2860"/>
      <c r="C31" s="450" t="e">
        <f ca="1">C18+C19+C20+C23+C24+C26+C29</f>
        <v>#VALUE!</v>
      </c>
      <c r="D31" s="472"/>
      <c r="E31" s="473"/>
      <c r="F31" s="474"/>
      <c r="G31" s="261"/>
      <c r="H31" s="2817"/>
      <c r="I31" s="2817"/>
      <c r="J31" s="2817"/>
      <c r="K31" s="279"/>
    </row>
    <row r="32" spans="1:14" s="2122" customFormat="1" ht="13.5" customHeight="1">
      <c r="A32" s="803" t="s">
        <v>1858</v>
      </c>
      <c r="B32" s="2860"/>
      <c r="C32" s="53" t="e">
        <f ca="1">ROUND(C25+D26,4)</f>
        <v>#VALUE!</v>
      </c>
      <c r="D32" s="472"/>
      <c r="E32" s="473"/>
      <c r="F32" s="474"/>
      <c r="G32" s="261"/>
      <c r="H32" s="2817"/>
      <c r="I32" s="2817"/>
      <c r="J32" s="2817"/>
      <c r="K32" s="279"/>
    </row>
    <row r="33" spans="1:11" s="2124" customFormat="1" ht="13.5" customHeight="1">
      <c r="A33" s="3036" t="s">
        <v>2835</v>
      </c>
      <c r="B33" s="3034" t="s">
        <v>2833</v>
      </c>
      <c r="C33" s="478" t="e">
        <f ca="1">C35</f>
        <v>#DIV/0!</v>
      </c>
      <c r="D33" s="467" t="e">
        <f ca="1">C34</f>
        <v>#DIV/0!</v>
      </c>
      <c r="E33" s="469" t="s">
        <v>495</v>
      </c>
      <c r="F33" s="479" t="e">
        <f ca="1">IF(B1="",'数据-取费表'!Q16,INDIRECT("'数据-取费表'!q"&amp;$K$1))</f>
        <v>#DIV/0!</v>
      </c>
      <c r="G33" s="2818"/>
      <c r="H33" s="2819"/>
      <c r="I33" s="2819"/>
      <c r="J33" s="2819"/>
      <c r="K33" s="2820"/>
    </row>
    <row r="34" spans="1:11" s="2125" customFormat="1" ht="13.5" customHeight="1">
      <c r="A34" s="375" t="s">
        <v>1857</v>
      </c>
      <c r="B34" s="2865" t="s">
        <v>501</v>
      </c>
      <c r="C34" s="472" t="e">
        <f ca="1">ROUND((1+C25)*F33,4)</f>
        <v>#DIV/0!</v>
      </c>
      <c r="D34" s="472"/>
      <c r="E34" s="473"/>
      <c r="F34" s="480"/>
      <c r="G34" s="261" t="s">
        <v>2293</v>
      </c>
      <c r="H34" s="2817"/>
      <c r="I34" s="2817"/>
      <c r="J34" s="2817"/>
      <c r="K34" s="279"/>
    </row>
    <row r="35" spans="1:11" s="2125" customFormat="1" ht="13.5" customHeight="1" thickBot="1">
      <c r="A35" s="1637" t="s">
        <v>1858</v>
      </c>
      <c r="B35" s="3035" t="s">
        <v>2841</v>
      </c>
      <c r="C35" s="1629" t="e">
        <f ca="1">ROUND((C18+C19+C20+C23+C24)*F33,0)</f>
        <v>#DIV/0!</v>
      </c>
      <c r="D35" s="1630"/>
      <c r="E35" s="2866"/>
      <c r="F35" s="1631"/>
      <c r="G35" s="2824"/>
      <c r="H35" s="2825"/>
      <c r="I35" s="2825"/>
      <c r="J35" s="2825"/>
      <c r="K35" s="2826"/>
    </row>
    <row r="36" spans="1:11" s="2087" customFormat="1" ht="13.5" customHeight="1" thickBot="1">
      <c r="A36" s="284" t="s">
        <v>1845</v>
      </c>
      <c r="B36" s="2828"/>
      <c r="C36" s="2867" t="e">
        <f ca="1">ROUND((C6-C30-C33)/(1+D30+D33),0)</f>
        <v>#VALUE!</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6</v>
      </c>
    </row>
    <row r="2" spans="1:41" s="2043" customFormat="1" ht="18" customHeight="1">
      <c r="A2" s="423" t="s">
        <v>467</v>
      </c>
      <c r="B2" s="424" t="e">
        <f ca="1">C32</f>
        <v>#VALUE!</v>
      </c>
      <c r="C2" s="2106"/>
      <c r="D2" s="2106"/>
      <c r="E2" s="2106"/>
      <c r="F2" s="2106"/>
      <c r="G2" s="2106"/>
      <c r="H2" s="2106"/>
      <c r="I2" s="2106"/>
      <c r="J2" s="2106"/>
      <c r="K2" s="2106"/>
    </row>
    <row r="3" spans="1:41" s="2043" customFormat="1" ht="18" customHeight="1">
      <c r="A3" s="1380" t="s">
        <v>1685</v>
      </c>
      <c r="B3" s="425" t="e">
        <f ca="1">ROUND(B2*10000/IF(B1="",'数据-汇总表'!E3,INDIRECT("'数据-取费表'!K"&amp;$K$1)),0)</f>
        <v>#VALUE!</v>
      </c>
      <c r="C3" s="2106"/>
      <c r="D3" s="2106"/>
      <c r="E3" s="2106"/>
      <c r="F3" s="2106"/>
      <c r="G3" s="2106"/>
      <c r="H3" s="2106"/>
      <c r="I3" s="2106"/>
      <c r="J3" s="2106"/>
      <c r="K3" s="2106"/>
    </row>
    <row r="4" spans="1:41" s="2043" customFormat="1" ht="18" customHeight="1">
      <c r="A4" s="426" t="s">
        <v>468</v>
      </c>
      <c r="B4" s="427" t="e">
        <f ca="1">ROUND(B2*10000/IF(B1="",'数据-汇总表'!D3,INDIRECT("'数据-取费表'!R"&amp;$K$1)),0)</f>
        <v>#VALUE!</v>
      </c>
      <c r="C4" s="2063"/>
      <c r="D4" s="2106"/>
      <c r="E4" s="2106"/>
      <c r="F4" s="2106"/>
      <c r="G4" s="2106"/>
      <c r="H4" s="2106"/>
      <c r="I4" s="2106"/>
      <c r="J4" s="2106"/>
      <c r="K4" s="2106"/>
    </row>
    <row r="5" spans="1:41" s="2043" customFormat="1" ht="18" customHeight="1" thickBot="1">
      <c r="A5" s="429"/>
      <c r="B5" s="430" t="e">
        <f ca="1">ROUND(B2/(IF(B1="",'数据-汇总表'!D3,INDIRECT("'数据-取费表'!R"&amp;$K$1))/666.67),0)</f>
        <v>#VALUE!</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8" customFormat="1" ht="13.5" customHeight="1">
      <c r="A14" s="1634" t="s">
        <v>1850</v>
      </c>
      <c r="B14" s="449" t="s">
        <v>480</v>
      </c>
      <c r="C14" s="53">
        <f ca="1">ROUND(C13*F14,0)</f>
        <v>0</v>
      </c>
      <c r="D14" s="451"/>
      <c r="E14" s="365"/>
      <c r="F14" s="453">
        <f>'数据-取费表'!B33</f>
        <v>0</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0</v>
      </c>
      <c r="D17" s="455"/>
      <c r="E17" s="454"/>
      <c r="F17" s="456">
        <f>'数据-取费表'!B36</f>
        <v>0</v>
      </c>
      <c r="G17" s="444" t="s">
        <v>502</v>
      </c>
      <c r="H17" s="457"/>
      <c r="I17" s="457"/>
      <c r="J17" s="457"/>
      <c r="K17" s="458"/>
    </row>
    <row r="18" spans="1:14" s="2121" customFormat="1" ht="13.5" customHeight="1">
      <c r="A18" s="1635" t="s">
        <v>1854</v>
      </c>
      <c r="B18" s="459" t="s">
        <v>487</v>
      </c>
      <c r="C18" s="460">
        <f ca="1">SUM(C13:C17)</f>
        <v>0</v>
      </c>
      <c r="D18" s="461"/>
      <c r="E18" s="462"/>
      <c r="F18" s="462"/>
      <c r="G18" s="1327" t="s">
        <v>2435</v>
      </c>
      <c r="H18" s="447"/>
      <c r="I18" s="447"/>
      <c r="J18" s="447"/>
      <c r="K18" s="448"/>
    </row>
    <row r="19" spans="1:14" s="2121" customFormat="1" ht="13.5" customHeight="1">
      <c r="A19" s="1635" t="s">
        <v>1855</v>
      </c>
      <c r="B19" s="459" t="s">
        <v>493</v>
      </c>
      <c r="C19" s="460">
        <f ca="1">ROUND(C18*F19,0)</f>
        <v>0</v>
      </c>
      <c r="D19" s="462"/>
      <c r="E19" s="462"/>
      <c r="F19" s="466">
        <f>'数据-取费表'!B37</f>
        <v>0</v>
      </c>
      <c r="G19" s="444" t="s">
        <v>503</v>
      </c>
      <c r="H19" s="447"/>
      <c r="I19" s="447"/>
      <c r="J19" s="447"/>
      <c r="K19" s="448"/>
      <c r="L19" s="2123"/>
      <c r="M19" s="2123"/>
      <c r="N19" s="2123"/>
    </row>
    <row r="20" spans="1:14" s="2121" customFormat="1" ht="13.5" customHeight="1">
      <c r="A20" s="1635" t="s">
        <v>1856</v>
      </c>
      <c r="B20" s="459" t="s">
        <v>504</v>
      </c>
      <c r="C20" s="3032">
        <f>F20</f>
        <v>0</v>
      </c>
      <c r="D20" s="469" t="s">
        <v>505</v>
      </c>
      <c r="E20" s="469"/>
      <c r="F20" s="486">
        <f>'数据-取费表'!B38</f>
        <v>0</v>
      </c>
      <c r="G20" s="1327" t="s">
        <v>506</v>
      </c>
      <c r="H20" s="447"/>
      <c r="I20" s="447"/>
      <c r="J20" s="447"/>
      <c r="K20" s="448"/>
      <c r="L20" s="2123"/>
      <c r="M20" s="2123"/>
      <c r="N20" s="2123"/>
    </row>
    <row r="21" spans="1:14" s="2123" customFormat="1" ht="13.5" customHeight="1">
      <c r="A21" s="1635" t="s">
        <v>1859</v>
      </c>
      <c r="B21" s="461" t="s">
        <v>494</v>
      </c>
      <c r="C21" s="470" t="e">
        <f ca="1">C22</f>
        <v>#VALUE!</v>
      </c>
      <c r="D21" s="467" t="e">
        <f ca="1">C23</f>
        <v>#VALUE!</v>
      </c>
      <c r="E21" s="469" t="s">
        <v>507</v>
      </c>
      <c r="F21" s="471" t="e">
        <f ca="1">'数据-取费表'!B40</f>
        <v>#VALUE!</v>
      </c>
      <c r="G21" s="1327" t="str">
        <f>IF('数据-取费表'!B22&lt;=1,"单利计息。","复利计息。")&amp;"建造成本、管理费用及销售费用产生的利息。"</f>
        <v>单利计息。建造成本、管理费用及销售费用产生的利息。</v>
      </c>
      <c r="H21" s="447"/>
      <c r="I21" s="447"/>
      <c r="J21" s="447"/>
      <c r="K21" s="448"/>
      <c r="L21" s="2120" t="s">
        <v>2457</v>
      </c>
    </row>
    <row r="22" spans="1:14" s="2122" customFormat="1" ht="13.5" customHeight="1">
      <c r="A22" s="1634" t="s">
        <v>1849</v>
      </c>
      <c r="B22" s="1328" t="s">
        <v>2438</v>
      </c>
      <c r="C22" s="487" t="e">
        <f ca="1">ROUND(IF('数据-取费表'!B22&lt;=1,(C18+C19)*F21*'数据-取费表'!B20/2,(C18+C19)*(POWER((1+F21),'数据-取费表'!B20/2)-1)),0)</f>
        <v>#VALUE!</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1850</v>
      </c>
      <c r="B23" s="1328" t="s">
        <v>508</v>
      </c>
      <c r="C23" s="488" t="e">
        <f ca="1">ROUND(IF('数据-取费表'!B22&lt;=1,F20*F21*'数据-取费表'!B20/2,F20*(POWER((1+F21),'数据-取费表'!B20/2)-1)),4)</f>
        <v>#VALUE!</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1860</v>
      </c>
      <c r="B24" s="3034" t="s">
        <v>2834</v>
      </c>
      <c r="C24" s="478" t="e">
        <f ca="1">C25</f>
        <v>#DIV/0!</v>
      </c>
      <c r="D24" s="489" t="e">
        <f ca="1">C26</f>
        <v>#DIV/0!</v>
      </c>
      <c r="E24" s="469" t="s">
        <v>507</v>
      </c>
      <c r="F24" s="479" t="e">
        <f ca="1">IF(B1="",'数据-取费表'!Q16,INDIRECT("'数据-取费表'!q"&amp;$K$1))</f>
        <v>#DIV/0!</v>
      </c>
      <c r="G24" s="444"/>
      <c r="H24" s="447"/>
      <c r="I24" s="447"/>
      <c r="J24" s="447"/>
      <c r="K24" s="448"/>
    </row>
    <row r="25" spans="1:14" s="2122" customFormat="1" ht="13.5" customHeight="1">
      <c r="A25" s="1634" t="s">
        <v>1849</v>
      </c>
      <c r="B25" s="1328" t="s">
        <v>2439</v>
      </c>
      <c r="C25" s="490" t="e">
        <f ca="1">ROUND((C18+C19)*F24,0)</f>
        <v>#DIV/0!</v>
      </c>
      <c r="D25" s="472"/>
      <c r="E25" s="473"/>
      <c r="F25" s="480"/>
      <c r="G25" s="1326" t="s">
        <v>2436</v>
      </c>
      <c r="H25" s="457"/>
      <c r="I25" s="457"/>
      <c r="J25" s="457"/>
      <c r="K25" s="458"/>
    </row>
    <row r="26" spans="1:14" s="2122" customFormat="1" ht="13.5" customHeight="1">
      <c r="A26" s="1634" t="s">
        <v>1850</v>
      </c>
      <c r="B26" s="1328" t="s">
        <v>509</v>
      </c>
      <c r="C26" s="491" t="e">
        <f ca="1">ROUND(F20*F24,4)</f>
        <v>#DIV/0!</v>
      </c>
      <c r="D26" s="472"/>
      <c r="E26" s="481"/>
      <c r="F26" s="480"/>
      <c r="G26" s="1326" t="s">
        <v>510</v>
      </c>
      <c r="H26" s="457"/>
      <c r="I26" s="457"/>
      <c r="J26" s="457"/>
      <c r="K26" s="458"/>
    </row>
    <row r="27" spans="1:14" s="2122" customFormat="1" ht="13.5" customHeight="1">
      <c r="A27" s="1638" t="s">
        <v>1868</v>
      </c>
      <c r="B27" s="459" t="s">
        <v>511</v>
      </c>
      <c r="C27" s="3033">
        <f>ROUND(F27/(1+'数据-取费表'!C42),4)</f>
        <v>0</v>
      </c>
      <c r="D27" s="462" t="s">
        <v>2832</v>
      </c>
      <c r="E27" s="462"/>
      <c r="F27" s="466">
        <f>'数据-取费表'!B41</f>
        <v>0</v>
      </c>
      <c r="G27" s="1962" t="s">
        <v>2294</v>
      </c>
      <c r="H27" s="447"/>
      <c r="I27" s="447"/>
      <c r="J27" s="447"/>
      <c r="K27" s="448"/>
    </row>
    <row r="28" spans="1:14" s="2123" customFormat="1" ht="13.5" customHeight="1">
      <c r="A28" s="1638" t="s">
        <v>1869</v>
      </c>
      <c r="B28" s="476" t="s">
        <v>512</v>
      </c>
      <c r="C28" s="470" t="e">
        <f ca="1">ROUND((C18+C19+C21+C24)/(1-C20-D21-D24-C27),0)</f>
        <v>#VALUE!</v>
      </c>
      <c r="D28" s="477"/>
      <c r="E28" s="469"/>
      <c r="F28" s="471"/>
      <c r="G28" s="1327" t="s">
        <v>2437</v>
      </c>
      <c r="H28" s="447"/>
      <c r="I28" s="447"/>
      <c r="J28" s="447"/>
      <c r="K28" s="448"/>
    </row>
    <row r="29" spans="1:14" s="2123"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3" customFormat="1" ht="13.5" customHeight="1">
      <c r="A30" s="443">
        <v>2</v>
      </c>
      <c r="B30" s="476" t="s">
        <v>514</v>
      </c>
      <c r="C30" s="497" t="e">
        <f ca="1">ROUND(C28*C29,0)</f>
        <v>#VALUE!</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0</v>
      </c>
      <c r="G31" s="1332"/>
      <c r="H31" s="1332"/>
      <c r="I31" s="1332"/>
      <c r="J31" s="1333"/>
      <c r="K31" s="1334"/>
    </row>
    <row r="32" spans="1:14" s="2087" customFormat="1" ht="13.5" customHeight="1" thickBot="1">
      <c r="A32" s="482" t="s">
        <v>1867</v>
      </c>
      <c r="B32" s="483"/>
      <c r="C32" s="484" t="e">
        <f ca="1">IF('数据-取费表'!B20&lt;=1,(C6-C30-C31)/(1+F21*'数据-取费表'!B20+F24)/(1+'数据-取费表'!B48+'数据-取费表'!B49),(C6-C30-C31)/(1+(POWER((1+F21),'数据-取费表'!B20)-1)+F24)/(1+'数据-取费表'!B48+'数据-取费表'!B49))</f>
        <v>#VALUE!</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2" t="str">
        <f>项目基本情况!B1</f>
        <v>北京市桥梓镇岐庄村29号出让国有建设用地使用权市场价格预评估</v>
      </c>
      <c r="C37" s="3182"/>
      <c r="D37" s="3182"/>
      <c r="E37" s="3182"/>
      <c r="F37" s="3182"/>
      <c r="G37" s="3182"/>
      <c r="H37" s="3182"/>
      <c r="I37" s="3182"/>
    </row>
    <row r="38" spans="1:9">
      <c r="A38" s="1657"/>
      <c r="B38" s="1657"/>
    </row>
    <row r="39" spans="1:9">
      <c r="A39" s="1655" t="s">
        <v>1902</v>
      </c>
      <c r="B39" s="1655" t="s">
        <v>2049</v>
      </c>
    </row>
    <row r="40" spans="1:9">
      <c r="A40" s="1655"/>
      <c r="B40" s="1655" t="str">
        <f>项目基本情况!B5</f>
        <v>北京农商银行怀柔支行</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陈颖、叶凌</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39" sqref="I3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9" t="s">
        <v>522</v>
      </c>
      <c r="D6" s="3370"/>
      <c r="E6" s="3369" t="s">
        <v>523</v>
      </c>
      <c r="F6" s="3370"/>
      <c r="G6" s="3369" t="s">
        <v>524</v>
      </c>
      <c r="H6" s="3370"/>
      <c r="I6" s="3369" t="s">
        <v>525</v>
      </c>
      <c r="J6" s="3370"/>
      <c r="K6" s="514" t="s">
        <v>526</v>
      </c>
      <c r="L6" s="2135"/>
      <c r="M6" s="2134"/>
      <c r="N6" s="2134"/>
      <c r="O6" s="2136"/>
      <c r="P6" s="3371" t="s">
        <v>527</v>
      </c>
      <c r="Q6" s="3372"/>
      <c r="R6" s="3357" t="s">
        <v>523</v>
      </c>
      <c r="S6" s="3358"/>
      <c r="T6" s="3357" t="s">
        <v>524</v>
      </c>
      <c r="U6" s="3358"/>
      <c r="V6" s="3377" t="s">
        <v>525</v>
      </c>
      <c r="W6" s="3377"/>
      <c r="X6" s="1568"/>
      <c r="Y6" s="3357" t="s">
        <v>527</v>
      </c>
      <c r="Z6" s="3358"/>
      <c r="AA6" s="3352" t="s">
        <v>523</v>
      </c>
      <c r="AB6" s="3353" t="s">
        <v>524</v>
      </c>
      <c r="AC6" s="3352" t="s">
        <v>525</v>
      </c>
    </row>
    <row r="7" spans="1:30" ht="20.25">
      <c r="A7" s="515"/>
      <c r="B7" s="516"/>
      <c r="C7" s="3380" t="s">
        <v>2932</v>
      </c>
      <c r="D7" s="3381"/>
      <c r="E7" s="3380" t="s">
        <v>2933</v>
      </c>
      <c r="F7" s="3381"/>
      <c r="G7" s="3380" t="s">
        <v>2934</v>
      </c>
      <c r="H7" s="3381"/>
      <c r="I7" s="3380" t="s">
        <v>2935</v>
      </c>
      <c r="J7" s="3381"/>
      <c r="K7" s="514"/>
      <c r="L7" s="2135"/>
      <c r="M7" s="2134"/>
      <c r="N7" s="2134"/>
      <c r="O7" s="2136"/>
      <c r="P7" s="3373"/>
      <c r="Q7" s="3374"/>
      <c r="R7" s="3359"/>
      <c r="S7" s="3360"/>
      <c r="T7" s="3359"/>
      <c r="U7" s="3360"/>
      <c r="V7" s="3377"/>
      <c r="W7" s="3377"/>
      <c r="X7" s="1568"/>
      <c r="Y7" s="3359"/>
      <c r="Z7" s="3360"/>
      <c r="AA7" s="3353"/>
      <c r="AB7" s="3353"/>
      <c r="AC7" s="3353"/>
    </row>
    <row r="8" spans="1:30" ht="21" thickBot="1">
      <c r="A8" s="515"/>
      <c r="B8" s="516"/>
      <c r="C8" s="3382" t="s">
        <v>2936</v>
      </c>
      <c r="D8" s="3383"/>
      <c r="E8" s="3382" t="s">
        <v>2936</v>
      </c>
      <c r="F8" s="3383"/>
      <c r="G8" s="3378" t="s">
        <v>2936</v>
      </c>
      <c r="H8" s="3379"/>
      <c r="I8" s="3378" t="s">
        <v>2936</v>
      </c>
      <c r="J8" s="3379"/>
      <c r="K8" s="514" t="s">
        <v>528</v>
      </c>
      <c r="L8" s="2135"/>
      <c r="M8" s="2134"/>
      <c r="N8" s="2134"/>
      <c r="O8" s="2136"/>
      <c r="P8" s="3375"/>
      <c r="Q8" s="3376"/>
      <c r="R8" s="3359"/>
      <c r="S8" s="3360"/>
      <c r="T8" s="3361"/>
      <c r="U8" s="3362"/>
      <c r="V8" s="3377"/>
      <c r="W8" s="3377"/>
      <c r="X8" s="1568"/>
      <c r="Y8" s="3361"/>
      <c r="Z8" s="3362"/>
      <c r="AA8" s="3354"/>
      <c r="AB8" s="3354"/>
      <c r="AC8" s="3354"/>
    </row>
    <row r="9" spans="1:30" s="1220" customFormat="1" ht="21" thickBot="1">
      <c r="A9" s="2914"/>
      <c r="B9" s="2921" t="s">
        <v>529</v>
      </c>
      <c r="C9" s="2913">
        <f>'数据-取费表'!B2</f>
        <v>43370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55" t="s">
        <v>530</v>
      </c>
      <c r="Q9" s="3364"/>
      <c r="R9" s="1569" t="s">
        <v>8</v>
      </c>
      <c r="S9" s="1570">
        <f t="shared" ref="S9:S17" si="0">F9</f>
        <v>0</v>
      </c>
      <c r="T9" s="1569" t="s">
        <v>8</v>
      </c>
      <c r="U9" s="1570">
        <f t="shared" ref="U9:U17" si="1">H9</f>
        <v>0</v>
      </c>
      <c r="V9" s="1569" t="s">
        <v>8</v>
      </c>
      <c r="W9" s="1570">
        <f t="shared" ref="W9:W17" si="2">J9</f>
        <v>0</v>
      </c>
      <c r="X9" s="1571"/>
      <c r="Y9" s="3355" t="s">
        <v>530</v>
      </c>
      <c r="Z9" s="3356"/>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55" t="s">
        <v>533</v>
      </c>
      <c r="Q10" s="3356"/>
      <c r="R10" s="1569" t="s">
        <v>8</v>
      </c>
      <c r="S10" s="1570">
        <f t="shared" si="0"/>
        <v>0</v>
      </c>
      <c r="T10" s="1569" t="s">
        <v>8</v>
      </c>
      <c r="U10" s="1570">
        <f t="shared" si="1"/>
        <v>0</v>
      </c>
      <c r="V10" s="1569" t="s">
        <v>8</v>
      </c>
      <c r="W10" s="1570">
        <f t="shared" si="2"/>
        <v>0</v>
      </c>
      <c r="X10" s="1571"/>
      <c r="Y10" s="3355" t="s">
        <v>533</v>
      </c>
      <c r="Z10" s="3356"/>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t="e">
        <f>ROUND(100/'数据-取费表'!G16,0)</f>
        <v>#DIV/0!</v>
      </c>
      <c r="G12" s="530"/>
      <c r="H12" s="255" t="e">
        <f>ROUND(100/'数据-取费表'!G16,0)</f>
        <v>#DIV/0!</v>
      </c>
      <c r="I12" s="530"/>
      <c r="J12" s="255" t="e">
        <f>ROUND(100/'数据-取费表'!G16,0)</f>
        <v>#DIV/0!</v>
      </c>
      <c r="K12" s="531"/>
      <c r="L12" s="2140"/>
      <c r="M12" s="2134"/>
      <c r="N12" s="2134"/>
      <c r="O12" s="2141"/>
      <c r="P12" s="3363"/>
      <c r="Q12" s="1151" t="str">
        <f t="shared" si="6"/>
        <v>土地使用年限（年）</v>
      </c>
      <c r="R12" s="1569" t="s">
        <v>8</v>
      </c>
      <c r="S12" s="1570" t="e">
        <f t="shared" si="0"/>
        <v>#DIV/0!</v>
      </c>
      <c r="T12" s="1569" t="s">
        <v>8</v>
      </c>
      <c r="U12" s="1570" t="e">
        <f t="shared" si="1"/>
        <v>#DIV/0!</v>
      </c>
      <c r="V12" s="1569" t="s">
        <v>8</v>
      </c>
      <c r="W12" s="1570" t="e">
        <f t="shared" si="2"/>
        <v>#DIV/0!</v>
      </c>
      <c r="X12" s="1571"/>
      <c r="Y12" s="3320"/>
      <c r="Z12" s="1150" t="str">
        <f t="shared" si="7"/>
        <v>土地使用年限（年）</v>
      </c>
      <c r="AA12" s="1572" t="e">
        <f t="shared" si="3"/>
        <v>#DIV/0!</v>
      </c>
      <c r="AB12" s="1572" t="e">
        <f t="shared" si="4"/>
        <v>#DIV/0!</v>
      </c>
      <c r="AC12" s="1572" t="e">
        <f t="shared" si="5"/>
        <v>#DIV/0!</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63"/>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3"/>
      <c r="Q14" s="1151" t="str">
        <f t="shared" si="6"/>
        <v>配建</v>
      </c>
      <c r="R14" s="1569" t="s">
        <v>8</v>
      </c>
      <c r="S14" s="1570">
        <f t="shared" si="0"/>
        <v>100</v>
      </c>
      <c r="T14" s="1569" t="s">
        <v>8</v>
      </c>
      <c r="U14" s="1570">
        <f t="shared" si="1"/>
        <v>100</v>
      </c>
      <c r="V14" s="1569" t="s">
        <v>8</v>
      </c>
      <c r="W14" s="1570">
        <f t="shared" si="2"/>
        <v>100</v>
      </c>
      <c r="X14" s="1571"/>
      <c r="Y14" s="3320"/>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65" t="s">
        <v>540</v>
      </c>
      <c r="Q17" s="1573" t="str">
        <f t="shared" si="6"/>
        <v>居住社区成熟度</v>
      </c>
      <c r="R17" s="1574" t="s">
        <v>8</v>
      </c>
      <c r="S17" s="1575">
        <f t="shared" si="0"/>
        <v>100</v>
      </c>
      <c r="T17" s="1574" t="s">
        <v>8</v>
      </c>
      <c r="U17" s="1575">
        <f t="shared" si="1"/>
        <v>100</v>
      </c>
      <c r="V17" s="1574" t="s">
        <v>8</v>
      </c>
      <c r="W17" s="1575">
        <f t="shared" si="2"/>
        <v>100</v>
      </c>
      <c r="X17" s="1568"/>
      <c r="Y17" s="336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66"/>
      <c r="Q18" s="1573"/>
      <c r="R18" s="1574"/>
      <c r="S18" s="1575"/>
      <c r="T18" s="1574"/>
      <c r="U18" s="1575"/>
      <c r="V18" s="1574"/>
      <c r="W18" s="1575"/>
      <c r="X18" s="1568"/>
      <c r="Y18" s="336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66"/>
      <c r="Q19" s="1573" t="str">
        <f>B19</f>
        <v>商业繁华度</v>
      </c>
      <c r="R19" s="1574" t="s">
        <v>8</v>
      </c>
      <c r="S19" s="1575">
        <f>F19</f>
        <v>100</v>
      </c>
      <c r="T19" s="1574" t="s">
        <v>8</v>
      </c>
      <c r="U19" s="1575">
        <f>H19</f>
        <v>100</v>
      </c>
      <c r="V19" s="1574" t="s">
        <v>8</v>
      </c>
      <c r="W19" s="1575">
        <f>J19</f>
        <v>100</v>
      </c>
      <c r="X19" s="1568"/>
      <c r="Y19" s="336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66"/>
      <c r="Q20" s="1573"/>
      <c r="R20" s="1574"/>
      <c r="S20" s="1575"/>
      <c r="T20" s="1574"/>
      <c r="U20" s="1575"/>
      <c r="V20" s="1574"/>
      <c r="W20" s="1575"/>
      <c r="X20" s="1568"/>
      <c r="Y20" s="336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6"/>
      <c r="Q21" s="1573" t="str">
        <f>B21</f>
        <v>办公集聚程度</v>
      </c>
      <c r="R21" s="1574" t="s">
        <v>8</v>
      </c>
      <c r="S21" s="1575">
        <f>F21</f>
        <v>100</v>
      </c>
      <c r="T21" s="1574" t="s">
        <v>8</v>
      </c>
      <c r="U21" s="1575">
        <f>H21</f>
        <v>100</v>
      </c>
      <c r="V21" s="1574" t="s">
        <v>8</v>
      </c>
      <c r="W21" s="1575">
        <f>J21</f>
        <v>100</v>
      </c>
      <c r="X21" s="1568"/>
      <c r="Y21" s="336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6"/>
      <c r="Q22" s="1573"/>
      <c r="R22" s="1574"/>
      <c r="S22" s="1575"/>
      <c r="T22" s="1574"/>
      <c r="U22" s="1575"/>
      <c r="V22" s="1574"/>
      <c r="W22" s="1575"/>
      <c r="X22" s="1568"/>
      <c r="Y22" s="336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66"/>
      <c r="Q23" s="1573" t="str">
        <f>B23</f>
        <v>交通便捷度</v>
      </c>
      <c r="R23" s="1574" t="s">
        <v>8</v>
      </c>
      <c r="S23" s="1575">
        <f>F23</f>
        <v>100</v>
      </c>
      <c r="T23" s="1574" t="s">
        <v>8</v>
      </c>
      <c r="U23" s="1575">
        <f>H23</f>
        <v>100</v>
      </c>
      <c r="V23" s="1574" t="s">
        <v>8</v>
      </c>
      <c r="W23" s="1575">
        <f>J23</f>
        <v>100</v>
      </c>
      <c r="X23" s="1568"/>
      <c r="Y23" s="336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66"/>
      <c r="Q24" s="1573"/>
      <c r="R24" s="1574"/>
      <c r="S24" s="1575"/>
      <c r="T24" s="1574"/>
      <c r="U24" s="1575"/>
      <c r="V24" s="1574"/>
      <c r="W24" s="1575"/>
      <c r="X24" s="1568"/>
      <c r="Y24" s="336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66"/>
      <c r="Q25" s="1573" t="str">
        <f t="shared" ref="Q25:Q39" si="8">B25</f>
        <v>区域土地利用方向</v>
      </c>
      <c r="R25" s="1574" t="s">
        <v>8</v>
      </c>
      <c r="S25" s="1575">
        <f>F25</f>
        <v>100</v>
      </c>
      <c r="T25" s="1574" t="s">
        <v>8</v>
      </c>
      <c r="U25" s="1575">
        <f>H25</f>
        <v>100</v>
      </c>
      <c r="V25" s="1574" t="s">
        <v>8</v>
      </c>
      <c r="W25" s="1575">
        <f>J25</f>
        <v>100</v>
      </c>
      <c r="X25" s="1568"/>
      <c r="Y25" s="336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66"/>
      <c r="Q26" s="1573"/>
      <c r="R26" s="1574"/>
      <c r="S26" s="1575"/>
      <c r="T26" s="1574"/>
      <c r="U26" s="1575"/>
      <c r="V26" s="1574"/>
      <c r="W26" s="1575"/>
      <c r="X26" s="1568"/>
      <c r="Y26" s="336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66"/>
      <c r="Q27" s="1573" t="str">
        <f t="shared" si="8"/>
        <v>自然及人文环境状况</v>
      </c>
      <c r="R27" s="1574" t="s">
        <v>8</v>
      </c>
      <c r="S27" s="1575">
        <f>F27</f>
        <v>100</v>
      </c>
      <c r="T27" s="1574" t="s">
        <v>8</v>
      </c>
      <c r="U27" s="1575">
        <f>H27</f>
        <v>100</v>
      </c>
      <c r="V27" s="1574" t="s">
        <v>8</v>
      </c>
      <c r="W27" s="1575">
        <f>J27</f>
        <v>100</v>
      </c>
      <c r="X27" s="1568"/>
      <c r="Y27" s="336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66"/>
      <c r="Q28" s="1573"/>
      <c r="R28" s="1574"/>
      <c r="S28" s="1575"/>
      <c r="T28" s="1574"/>
      <c r="U28" s="1575"/>
      <c r="V28" s="1574"/>
      <c r="W28" s="1575"/>
      <c r="X28" s="1568"/>
      <c r="Y28" s="3366"/>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66"/>
      <c r="Q29" s="1151" t="str">
        <f t="shared" si="8"/>
        <v>公共配套设施</v>
      </c>
      <c r="R29" s="1569" t="s">
        <v>8</v>
      </c>
      <c r="S29" s="1570">
        <f>F29</f>
        <v>100</v>
      </c>
      <c r="T29" s="1569" t="s">
        <v>8</v>
      </c>
      <c r="U29" s="1570">
        <f>H29</f>
        <v>100</v>
      </c>
      <c r="V29" s="1569" t="s">
        <v>8</v>
      </c>
      <c r="W29" s="1570">
        <f>J29</f>
        <v>100</v>
      </c>
      <c r="X29" s="1571"/>
      <c r="Y29" s="336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66"/>
      <c r="Q30" s="1151"/>
      <c r="R30" s="1569"/>
      <c r="S30" s="1570"/>
      <c r="T30" s="1569"/>
      <c r="U30" s="1570"/>
      <c r="V30" s="1569"/>
      <c r="W30" s="1570"/>
      <c r="X30" s="1571"/>
      <c r="Y30" s="3366"/>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66"/>
      <c r="Q31" s="2580" t="str">
        <f t="shared" ref="Q31" si="9">B31</f>
        <v>基础设施水平</v>
      </c>
      <c r="R31" s="1569" t="s">
        <v>8</v>
      </c>
      <c r="S31" s="1570">
        <f>F31</f>
        <v>100</v>
      </c>
      <c r="T31" s="1569" t="s">
        <v>8</v>
      </c>
      <c r="U31" s="1570">
        <f>H31</f>
        <v>100</v>
      </c>
      <c r="V31" s="1569" t="s">
        <v>8</v>
      </c>
      <c r="W31" s="1570">
        <f>J31</f>
        <v>100</v>
      </c>
      <c r="X31" s="1571"/>
      <c r="Y31" s="3366"/>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66"/>
      <c r="Q32" s="2580"/>
      <c r="R32" s="1569"/>
      <c r="S32" s="1570"/>
      <c r="T32" s="1569"/>
      <c r="U32" s="1570"/>
      <c r="V32" s="1569"/>
      <c r="W32" s="1570"/>
      <c r="X32" s="1571"/>
      <c r="Y32" s="3366"/>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6"/>
      <c r="Q34" s="1573" t="str">
        <f t="shared" si="8"/>
        <v>毗邻道路的类型与等级</v>
      </c>
      <c r="R34" s="1574" t="s">
        <v>8</v>
      </c>
      <c r="S34" s="1575">
        <f t="shared" si="10"/>
        <v>100</v>
      </c>
      <c r="T34" s="1574" t="s">
        <v>8</v>
      </c>
      <c r="U34" s="1575">
        <f t="shared" si="11"/>
        <v>100</v>
      </c>
      <c r="V34" s="1574" t="s">
        <v>8</v>
      </c>
      <c r="W34" s="1575">
        <f t="shared" si="12"/>
        <v>100</v>
      </c>
      <c r="X34" s="1568"/>
      <c r="Y34" s="336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6"/>
      <c r="Q35" s="1573"/>
      <c r="R35" s="1574"/>
      <c r="S35" s="1575"/>
      <c r="T35" s="1574"/>
      <c r="U35" s="1575"/>
      <c r="V35" s="1574"/>
      <c r="W35" s="1575"/>
      <c r="X35" s="1568"/>
      <c r="Y35" s="336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6"/>
      <c r="Q36" s="1573" t="str">
        <f t="shared" si="8"/>
        <v>土地级别</v>
      </c>
      <c r="R36" s="1574" t="s">
        <v>8</v>
      </c>
      <c r="S36" s="1575">
        <f t="shared" si="10"/>
        <v>100</v>
      </c>
      <c r="T36" s="1574" t="s">
        <v>8</v>
      </c>
      <c r="U36" s="1575">
        <f t="shared" si="11"/>
        <v>100</v>
      </c>
      <c r="V36" s="1574" t="s">
        <v>8</v>
      </c>
      <c r="W36" s="1575">
        <f t="shared" si="12"/>
        <v>100</v>
      </c>
      <c r="X36" s="1568"/>
      <c r="Y36" s="336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6"/>
      <c r="Q37" s="1573">
        <f t="shared" si="8"/>
        <v>111</v>
      </c>
      <c r="R37" s="1574" t="s">
        <v>8</v>
      </c>
      <c r="S37" s="1575">
        <f t="shared" si="10"/>
        <v>100</v>
      </c>
      <c r="T37" s="1574" t="s">
        <v>8</v>
      </c>
      <c r="U37" s="1575">
        <f t="shared" si="11"/>
        <v>100</v>
      </c>
      <c r="V37" s="1574" t="s">
        <v>8</v>
      </c>
      <c r="W37" s="1575">
        <f t="shared" si="12"/>
        <v>100</v>
      </c>
      <c r="X37" s="1568"/>
      <c r="Y37" s="336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7" t="s">
        <v>550</v>
      </c>
      <c r="Q38" s="1573">
        <f t="shared" si="8"/>
        <v>111</v>
      </c>
      <c r="R38" s="1574" t="s">
        <v>8</v>
      </c>
      <c r="S38" s="1575">
        <f t="shared" si="10"/>
        <v>100</v>
      </c>
      <c r="T38" s="1574" t="s">
        <v>8</v>
      </c>
      <c r="U38" s="1575">
        <f t="shared" si="11"/>
        <v>100</v>
      </c>
      <c r="V38" s="1574" t="s">
        <v>8</v>
      </c>
      <c r="W38" s="1575">
        <f t="shared" si="12"/>
        <v>100</v>
      </c>
      <c r="X38" s="1568"/>
      <c r="Y38" s="336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8"/>
      <c r="Q39" s="1573">
        <f t="shared" si="8"/>
        <v>111</v>
      </c>
      <c r="R39" s="1578" t="s">
        <v>8</v>
      </c>
      <c r="S39" s="1579">
        <f t="shared" si="10"/>
        <v>100</v>
      </c>
      <c r="T39" s="1578" t="s">
        <v>8</v>
      </c>
      <c r="U39" s="1579">
        <f t="shared" si="11"/>
        <v>100</v>
      </c>
      <c r="V39" s="1578" t="s">
        <v>8</v>
      </c>
      <c r="W39" s="1579">
        <f t="shared" si="12"/>
        <v>100</v>
      </c>
      <c r="X39" s="1580"/>
      <c r="Y39" s="3368"/>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68"/>
      <c r="Q40" s="1573" t="str">
        <f>B40</f>
        <v>宗地面积</v>
      </c>
      <c r="R40" s="1574" t="s">
        <v>8</v>
      </c>
      <c r="S40" s="1575" t="e">
        <f t="shared" si="10"/>
        <v>#N/A</v>
      </c>
      <c r="T40" s="1574" t="s">
        <v>8</v>
      </c>
      <c r="U40" s="1575" t="e">
        <f t="shared" si="11"/>
        <v>#N/A</v>
      </c>
      <c r="V40" s="1574" t="s">
        <v>8</v>
      </c>
      <c r="W40" s="1575" t="e">
        <f t="shared" si="12"/>
        <v>#N/A</v>
      </c>
      <c r="X40" s="1568"/>
      <c r="Y40" s="336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8"/>
      <c r="Q41" s="1573" t="str">
        <f t="shared" ref="Q41:Q47" si="14">B41</f>
        <v>宗地形状</v>
      </c>
      <c r="R41" s="1574" t="s">
        <v>8</v>
      </c>
      <c r="S41" s="1575">
        <f t="shared" si="10"/>
        <v>100</v>
      </c>
      <c r="T41" s="1574" t="s">
        <v>8</v>
      </c>
      <c r="U41" s="1575">
        <f t="shared" si="11"/>
        <v>100</v>
      </c>
      <c r="V41" s="1574" t="s">
        <v>8</v>
      </c>
      <c r="W41" s="1575">
        <f t="shared" si="12"/>
        <v>100</v>
      </c>
      <c r="X41" s="1568"/>
      <c r="Y41" s="336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8"/>
      <c r="Q42" s="1573" t="str">
        <f t="shared" si="14"/>
        <v>临街宽度及深度</v>
      </c>
      <c r="R42" s="1574" t="s">
        <v>8</v>
      </c>
      <c r="S42" s="1575">
        <f t="shared" si="10"/>
        <v>100</v>
      </c>
      <c r="T42" s="1574" t="s">
        <v>8</v>
      </c>
      <c r="U42" s="1575">
        <f t="shared" si="11"/>
        <v>100</v>
      </c>
      <c r="V42" s="1574" t="s">
        <v>8</v>
      </c>
      <c r="W42" s="1575">
        <f t="shared" si="12"/>
        <v>100</v>
      </c>
      <c r="X42" s="1568"/>
      <c r="Y42" s="3368"/>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68"/>
      <c r="Q43" s="1573" t="str">
        <f t="shared" si="14"/>
        <v>宗地开发程度</v>
      </c>
      <c r="R43" s="1569" t="s">
        <v>8</v>
      </c>
      <c r="S43" s="1570">
        <f t="shared" si="10"/>
        <v>100</v>
      </c>
      <c r="T43" s="1569" t="s">
        <v>8</v>
      </c>
      <c r="U43" s="1570">
        <f t="shared" si="11"/>
        <v>100</v>
      </c>
      <c r="V43" s="1569" t="s">
        <v>8</v>
      </c>
      <c r="W43" s="1570">
        <f t="shared" si="12"/>
        <v>100</v>
      </c>
      <c r="X43" s="1571"/>
      <c r="Y43" s="336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8" t="s">
        <v>550</v>
      </c>
      <c r="Q44" s="1573" t="str">
        <f t="shared" si="14"/>
        <v>工程地质条件</v>
      </c>
      <c r="R44" s="1574" t="s">
        <v>8</v>
      </c>
      <c r="S44" s="1575">
        <f t="shared" si="10"/>
        <v>100</v>
      </c>
      <c r="T44" s="1574" t="s">
        <v>8</v>
      </c>
      <c r="U44" s="1575">
        <f t="shared" si="11"/>
        <v>100</v>
      </c>
      <c r="V44" s="1574" t="s">
        <v>8</v>
      </c>
      <c r="W44" s="1575">
        <f t="shared" si="12"/>
        <v>100</v>
      </c>
      <c r="X44" s="1568"/>
      <c r="Y44" s="336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8"/>
      <c r="Q45" s="1573">
        <f t="shared" si="14"/>
        <v>111</v>
      </c>
      <c r="R45" s="1574" t="s">
        <v>8</v>
      </c>
      <c r="S45" s="1575">
        <f t="shared" si="10"/>
        <v>100</v>
      </c>
      <c r="T45" s="1574" t="s">
        <v>8</v>
      </c>
      <c r="U45" s="1575">
        <f t="shared" si="11"/>
        <v>100</v>
      </c>
      <c r="V45" s="1574" t="s">
        <v>8</v>
      </c>
      <c r="W45" s="1575">
        <f t="shared" si="12"/>
        <v>100</v>
      </c>
      <c r="X45" s="1568"/>
      <c r="Y45" s="336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8"/>
      <c r="Q46" s="1573">
        <f t="shared" si="14"/>
        <v>111</v>
      </c>
      <c r="R46" s="1574" t="s">
        <v>8</v>
      </c>
      <c r="S46" s="1575">
        <f t="shared" si="10"/>
        <v>100</v>
      </c>
      <c r="T46" s="1574" t="s">
        <v>8</v>
      </c>
      <c r="U46" s="1575">
        <f t="shared" si="11"/>
        <v>100</v>
      </c>
      <c r="V46" s="1574" t="s">
        <v>8</v>
      </c>
      <c r="W46" s="1575">
        <f t="shared" si="12"/>
        <v>100</v>
      </c>
      <c r="X46" s="1568"/>
      <c r="Y46" s="336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8"/>
      <c r="Q47" s="1573">
        <f t="shared" si="14"/>
        <v>111</v>
      </c>
      <c r="R47" s="1578" t="s">
        <v>8</v>
      </c>
      <c r="S47" s="1579">
        <f t="shared" si="10"/>
        <v>100</v>
      </c>
      <c r="T47" s="1578" t="s">
        <v>8</v>
      </c>
      <c r="U47" s="1579">
        <f t="shared" si="11"/>
        <v>100</v>
      </c>
      <c r="V47" s="1578" t="s">
        <v>8</v>
      </c>
      <c r="W47" s="1579">
        <f t="shared" si="12"/>
        <v>100</v>
      </c>
      <c r="X47" s="1580"/>
      <c r="Y47" s="3368"/>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6"/>
      <c r="M48" s="2134"/>
      <c r="N48" s="2134"/>
      <c r="O48" s="2147"/>
      <c r="P48" s="3363" t="str">
        <f>A48</f>
        <v>成交单价</v>
      </c>
      <c r="Q48" s="3363"/>
      <c r="R48" s="3377">
        <f>E48</f>
        <v>0</v>
      </c>
      <c r="S48" s="3377"/>
      <c r="T48" s="3377">
        <f>G48</f>
        <v>0</v>
      </c>
      <c r="U48" s="3377"/>
      <c r="V48" s="3377">
        <f>I48</f>
        <v>0</v>
      </c>
      <c r="W48" s="3377"/>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363" t="str">
        <f>A49</f>
        <v>比较价格（元/平方米）</v>
      </c>
      <c r="Q49" s="3363"/>
      <c r="R49" s="3387" t="e">
        <f>ROUND(PRODUCT(R48,AA9:AA47),0)</f>
        <v>#DIV/0!</v>
      </c>
      <c r="S49" s="3387"/>
      <c r="T49" s="3387" t="e">
        <f>ROUND(PRODUCT(T48,AB9:AB47),0)</f>
        <v>#DIV/0!</v>
      </c>
      <c r="U49" s="3387"/>
      <c r="V49" s="3387" t="e">
        <f>ROUND(PRODUCT(V48,AC9:AC47),0)</f>
        <v>#DIV/0!</v>
      </c>
      <c r="W49" s="3387"/>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6"/>
      <c r="M50" s="2134"/>
      <c r="N50" s="2134"/>
      <c r="O50" s="2147"/>
      <c r="P50" s="3384" t="str">
        <f>A50</f>
        <v>估价对象XX用房的比较价格（楼面单价，元/平方米）</v>
      </c>
      <c r="Q50" s="3385"/>
      <c r="R50" s="3386" t="e">
        <f>ROUND(AVERAGE(R49:V49),0)</f>
        <v>#DIV/0!</v>
      </c>
      <c r="S50" s="3386"/>
      <c r="T50" s="3386"/>
      <c r="U50" s="3386"/>
      <c r="V50" s="3386"/>
      <c r="W50" s="338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47" t="s">
        <v>2284</v>
      </c>
      <c r="H57" s="3348"/>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0</v>
      </c>
      <c r="F58" s="636" t="e">
        <f t="shared" ref="F58:F67" si="15">ROUND(B58*E58/10000,0)</f>
        <v>#DIV/0!</v>
      </c>
      <c r="G58" s="3349"/>
      <c r="H58" s="335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35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35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35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35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0.2</v>
      </c>
      <c r="D63" s="2231">
        <v>0.25</v>
      </c>
      <c r="E63" s="641">
        <f>'数据-汇总表'!E11</f>
        <v>0</v>
      </c>
      <c r="F63" s="636" t="e">
        <f t="shared" si="15"/>
        <v>#DIV/0!</v>
      </c>
      <c r="G63" s="1947" t="s">
        <v>2286</v>
      </c>
      <c r="H63" s="1950" t="str">
        <f>项目基本情况!C43</f>
        <v>十级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0.2</v>
      </c>
      <c r="D64" s="2231">
        <v>0.25</v>
      </c>
      <c r="E64" s="641">
        <f>'数据-汇总表'!E12</f>
        <v>0</v>
      </c>
      <c r="F64" s="636" t="e">
        <f t="shared" si="15"/>
        <v>#DIV/0!</v>
      </c>
      <c r="G64" s="1948" t="s">
        <v>1678</v>
      </c>
      <c r="H64" s="1946" t="str">
        <f>IF(G64="商业",项目基本情况!B43,IF(G64="办公",项目基本情况!C43,IF(G64="住宅",项目基本情况!D43,项目基本情况!E43)))</f>
        <v>十级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0.15</v>
      </c>
      <c r="D67" s="2231">
        <v>0.25</v>
      </c>
      <c r="E67" s="641">
        <f>'数据-汇总表'!E15</f>
        <v>0</v>
      </c>
      <c r="F67" s="636" t="e">
        <f t="shared" si="15"/>
        <v>#DIV/0!</v>
      </c>
      <c r="G67" s="1949" t="s">
        <v>2286</v>
      </c>
      <c r="H67" s="1951" t="str">
        <f>项目基本情况!C43</f>
        <v>十级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t="e">
        <f>IF(B48="楼面地价",SUM(E58:E67),'数据-汇总表'!D3)</f>
        <v>#DIV/0!</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北京市平均增长率2.31%</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9" t="s">
        <v>522</v>
      </c>
      <c r="D6" s="3370"/>
      <c r="E6" s="3393" t="s">
        <v>523</v>
      </c>
      <c r="F6" s="3394"/>
      <c r="G6" s="3369" t="s">
        <v>524</v>
      </c>
      <c r="H6" s="3370"/>
      <c r="I6" s="3369" t="s">
        <v>525</v>
      </c>
      <c r="J6" s="3370"/>
      <c r="K6" s="514" t="s">
        <v>526</v>
      </c>
      <c r="L6" s="2135"/>
      <c r="M6" s="2136"/>
      <c r="N6" s="2136"/>
      <c r="O6" s="2136"/>
      <c r="P6" s="3371" t="s">
        <v>527</v>
      </c>
      <c r="Q6" s="3372"/>
      <c r="R6" s="3357" t="s">
        <v>523</v>
      </c>
      <c r="S6" s="3358"/>
      <c r="T6" s="3357" t="s">
        <v>524</v>
      </c>
      <c r="U6" s="3358"/>
      <c r="V6" s="3377" t="s">
        <v>525</v>
      </c>
      <c r="W6" s="3377"/>
      <c r="X6" s="1568"/>
      <c r="Y6" s="3357" t="s">
        <v>527</v>
      </c>
      <c r="Z6" s="3358"/>
      <c r="AA6" s="3352" t="s">
        <v>523</v>
      </c>
      <c r="AB6" s="3353" t="s">
        <v>524</v>
      </c>
      <c r="AC6" s="3352" t="s">
        <v>525</v>
      </c>
    </row>
    <row r="7" spans="1:29" ht="15">
      <c r="A7" s="515"/>
      <c r="B7" s="516"/>
      <c r="C7" s="3380" t="s">
        <v>2932</v>
      </c>
      <c r="D7" s="3381"/>
      <c r="E7" s="3395" t="s">
        <v>2933</v>
      </c>
      <c r="F7" s="3396"/>
      <c r="G7" s="3380" t="s">
        <v>2934</v>
      </c>
      <c r="H7" s="3381"/>
      <c r="I7" s="3380" t="s">
        <v>2935</v>
      </c>
      <c r="J7" s="3381"/>
      <c r="K7" s="514"/>
      <c r="L7" s="2135"/>
      <c r="M7" s="2136"/>
      <c r="N7" s="2136"/>
      <c r="O7" s="2136"/>
      <c r="P7" s="3373"/>
      <c r="Q7" s="3374"/>
      <c r="R7" s="3359"/>
      <c r="S7" s="3360"/>
      <c r="T7" s="3359"/>
      <c r="U7" s="3360"/>
      <c r="V7" s="3377"/>
      <c r="W7" s="3377"/>
      <c r="X7" s="1568"/>
      <c r="Y7" s="3359"/>
      <c r="Z7" s="3360"/>
      <c r="AA7" s="3353"/>
      <c r="AB7" s="3353"/>
      <c r="AC7" s="3353"/>
    </row>
    <row r="8" spans="1:29" ht="15.75" thickBot="1">
      <c r="A8" s="517"/>
      <c r="B8" s="518"/>
      <c r="C8" s="3378" t="s">
        <v>2936</v>
      </c>
      <c r="D8" s="3379"/>
      <c r="E8" s="3397" t="s">
        <v>2936</v>
      </c>
      <c r="F8" s="3398"/>
      <c r="G8" s="3378" t="s">
        <v>2936</v>
      </c>
      <c r="H8" s="3379"/>
      <c r="I8" s="3378" t="s">
        <v>2936</v>
      </c>
      <c r="J8" s="3379"/>
      <c r="K8" s="514" t="s">
        <v>528</v>
      </c>
      <c r="L8" s="2135"/>
      <c r="M8" s="2136"/>
      <c r="N8" s="2136"/>
      <c r="O8" s="2136"/>
      <c r="P8" s="3375"/>
      <c r="Q8" s="3376"/>
      <c r="R8" s="3359"/>
      <c r="S8" s="3360"/>
      <c r="T8" s="3361"/>
      <c r="U8" s="3362"/>
      <c r="V8" s="3377"/>
      <c r="W8" s="3377"/>
      <c r="X8" s="1568"/>
      <c r="Y8" s="3361"/>
      <c r="Z8" s="3362"/>
      <c r="AA8" s="3354"/>
      <c r="AB8" s="3354"/>
      <c r="AC8" s="3354"/>
    </row>
    <row r="9" spans="1:29" s="1220" customFormat="1" ht="15.75" thickBot="1">
      <c r="A9" s="2914"/>
      <c r="B9" s="2921" t="s">
        <v>529</v>
      </c>
      <c r="C9" s="519">
        <f>'数据-取费表'!B2</f>
        <v>43370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5" t="s">
        <v>530</v>
      </c>
      <c r="Q9" s="3364"/>
      <c r="R9" s="1569" t="s">
        <v>8</v>
      </c>
      <c r="S9" s="1570">
        <f t="shared" ref="S9:S17" si="0">F9</f>
        <v>0</v>
      </c>
      <c r="T9" s="1569" t="s">
        <v>8</v>
      </c>
      <c r="U9" s="1570">
        <f t="shared" ref="U9:U17" si="1">H9</f>
        <v>0</v>
      </c>
      <c r="V9" s="1569" t="s">
        <v>8</v>
      </c>
      <c r="W9" s="1570">
        <f t="shared" ref="W9:W17" si="2">J9</f>
        <v>0</v>
      </c>
      <c r="X9" s="1571"/>
      <c r="Y9" s="3355" t="s">
        <v>530</v>
      </c>
      <c r="Z9" s="3356"/>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5" t="s">
        <v>533</v>
      </c>
      <c r="Q10" s="3356"/>
      <c r="R10" s="1569" t="s">
        <v>8</v>
      </c>
      <c r="S10" s="1570">
        <f t="shared" si="0"/>
        <v>0</v>
      </c>
      <c r="T10" s="1569" t="s">
        <v>8</v>
      </c>
      <c r="U10" s="1570">
        <f t="shared" si="1"/>
        <v>0</v>
      </c>
      <c r="V10" s="1569" t="s">
        <v>8</v>
      </c>
      <c r="W10" s="1570">
        <f t="shared" si="2"/>
        <v>0</v>
      </c>
      <c r="X10" s="1571"/>
      <c r="Y10" s="3355" t="s">
        <v>533</v>
      </c>
      <c r="Z10" s="3356"/>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t="e">
        <f>ROUND(100/'数据-取费表'!G16,0)</f>
        <v>#DIV/0!</v>
      </c>
      <c r="G12" s="528"/>
      <c r="H12" s="255" t="e">
        <f>ROUND(100/'数据-取费表'!G16,0)</f>
        <v>#DIV/0!</v>
      </c>
      <c r="I12" s="528"/>
      <c r="J12" s="255" t="e">
        <f>ROUND(100/'数据-取费表'!G16,0)</f>
        <v>#DIV/0!</v>
      </c>
      <c r="K12" s="531"/>
      <c r="L12" s="2140"/>
      <c r="M12" s="2180"/>
      <c r="N12" s="2180"/>
      <c r="O12" s="2141"/>
      <c r="P12" s="3363"/>
      <c r="Q12" s="1151" t="str">
        <f t="shared" si="6"/>
        <v>土地使用年限（年）</v>
      </c>
      <c r="R12" s="1569" t="s">
        <v>8</v>
      </c>
      <c r="S12" s="1570" t="e">
        <f t="shared" si="0"/>
        <v>#DIV/0!</v>
      </c>
      <c r="T12" s="1569" t="s">
        <v>8</v>
      </c>
      <c r="U12" s="1570" t="e">
        <f t="shared" si="1"/>
        <v>#DIV/0!</v>
      </c>
      <c r="V12" s="1569" t="s">
        <v>8</v>
      </c>
      <c r="W12" s="1570" t="e">
        <f t="shared" si="2"/>
        <v>#DIV/0!</v>
      </c>
      <c r="X12" s="1571"/>
      <c r="Y12" s="3320"/>
      <c r="Z12" s="1150" t="str">
        <f t="shared" si="7"/>
        <v>土地使用年限（年）</v>
      </c>
      <c r="AA12" s="1572" t="e">
        <f t="shared" si="3"/>
        <v>#DIV/0!</v>
      </c>
      <c r="AB12" s="1572" t="e">
        <f t="shared" si="4"/>
        <v>#DIV/0!</v>
      </c>
      <c r="AC12" s="1572" t="e">
        <f t="shared" si="5"/>
        <v>#DIV/0!</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3"/>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5" t="s">
        <v>540</v>
      </c>
      <c r="Q17" s="1573" t="str">
        <f t="shared" si="6"/>
        <v>产业集聚程度</v>
      </c>
      <c r="R17" s="1574" t="s">
        <v>8</v>
      </c>
      <c r="S17" s="1575">
        <f t="shared" si="0"/>
        <v>100</v>
      </c>
      <c r="T17" s="1574" t="s">
        <v>8</v>
      </c>
      <c r="U17" s="1575">
        <f t="shared" si="1"/>
        <v>100</v>
      </c>
      <c r="V17" s="1574" t="s">
        <v>8</v>
      </c>
      <c r="W17" s="1575">
        <f t="shared" si="2"/>
        <v>100</v>
      </c>
      <c r="X17" s="1568"/>
      <c r="Y17" s="336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6"/>
      <c r="Q18" s="1573"/>
      <c r="R18" s="1574"/>
      <c r="S18" s="1575"/>
      <c r="T18" s="1574"/>
      <c r="U18" s="1575"/>
      <c r="V18" s="1574"/>
      <c r="W18" s="1575"/>
      <c r="X18" s="1568"/>
      <c r="Y18" s="336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6"/>
      <c r="Q19" s="1573" t="str">
        <f>B19</f>
        <v>交通便捷度</v>
      </c>
      <c r="R19" s="1574" t="s">
        <v>8</v>
      </c>
      <c r="S19" s="1575">
        <f>F19</f>
        <v>100</v>
      </c>
      <c r="T19" s="1574" t="s">
        <v>8</v>
      </c>
      <c r="U19" s="1575">
        <f>H19</f>
        <v>100</v>
      </c>
      <c r="V19" s="1574" t="s">
        <v>8</v>
      </c>
      <c r="W19" s="1575">
        <f>J19</f>
        <v>100</v>
      </c>
      <c r="X19" s="1568"/>
      <c r="Y19" s="336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6"/>
      <c r="Q21" s="1573" t="str">
        <f t="shared" ref="Q21:Q35" si="8">B21</f>
        <v>区域土地利用方向</v>
      </c>
      <c r="R21" s="1574" t="s">
        <v>8</v>
      </c>
      <c r="S21" s="1575">
        <f>F21</f>
        <v>100</v>
      </c>
      <c r="T21" s="1574" t="s">
        <v>8</v>
      </c>
      <c r="U21" s="1575">
        <f>H21</f>
        <v>100</v>
      </c>
      <c r="V21" s="1574" t="s">
        <v>8</v>
      </c>
      <c r="W21" s="1575">
        <f>J21</f>
        <v>100</v>
      </c>
      <c r="X21" s="1568"/>
      <c r="Y21" s="336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6"/>
      <c r="Q22" s="1573"/>
      <c r="R22" s="1574"/>
      <c r="S22" s="1575"/>
      <c r="T22" s="1574"/>
      <c r="U22" s="1575"/>
      <c r="V22" s="1574"/>
      <c r="W22" s="1575"/>
      <c r="X22" s="1568"/>
      <c r="Y22" s="336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6"/>
      <c r="Q23" s="1573" t="str">
        <f t="shared" si="8"/>
        <v>环境状况</v>
      </c>
      <c r="R23" s="1574" t="s">
        <v>8</v>
      </c>
      <c r="S23" s="1575">
        <f>F23</f>
        <v>100</v>
      </c>
      <c r="T23" s="1574" t="s">
        <v>8</v>
      </c>
      <c r="U23" s="1575">
        <f>H23</f>
        <v>100</v>
      </c>
      <c r="V23" s="1574" t="s">
        <v>8</v>
      </c>
      <c r="W23" s="1575">
        <f>J23</f>
        <v>100</v>
      </c>
      <c r="X23" s="1568"/>
      <c r="Y23" s="336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6"/>
      <c r="Q24" s="1573"/>
      <c r="R24" s="1574"/>
      <c r="S24" s="1575"/>
      <c r="T24" s="1574"/>
      <c r="U24" s="1575"/>
      <c r="V24" s="1574"/>
      <c r="W24" s="1575"/>
      <c r="X24" s="1568"/>
      <c r="Y24" s="3366"/>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6"/>
      <c r="Q25" s="1151" t="str">
        <f t="shared" si="8"/>
        <v>公共配套设施</v>
      </c>
      <c r="R25" s="1569" t="s">
        <v>8</v>
      </c>
      <c r="S25" s="1570">
        <f>F25</f>
        <v>100</v>
      </c>
      <c r="T25" s="1569" t="s">
        <v>8</v>
      </c>
      <c r="U25" s="1570">
        <f>H25</f>
        <v>100</v>
      </c>
      <c r="V25" s="1569" t="s">
        <v>8</v>
      </c>
      <c r="W25" s="1570">
        <f>J25</f>
        <v>100</v>
      </c>
      <c r="X25" s="1571"/>
      <c r="Y25" s="336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66"/>
      <c r="Q26" s="1151"/>
      <c r="R26" s="1569"/>
      <c r="S26" s="1570"/>
      <c r="T26" s="1569"/>
      <c r="U26" s="1570"/>
      <c r="V26" s="1569"/>
      <c r="W26" s="1570"/>
      <c r="X26" s="1571"/>
      <c r="Y26" s="3366"/>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6"/>
      <c r="Q27" s="2580" t="str">
        <f t="shared" ref="Q27" si="9">B27</f>
        <v>基础设施水平</v>
      </c>
      <c r="R27" s="1569" t="s">
        <v>8</v>
      </c>
      <c r="S27" s="1570">
        <f>F27</f>
        <v>100</v>
      </c>
      <c r="T27" s="1569" t="s">
        <v>8</v>
      </c>
      <c r="U27" s="1570">
        <f>H27</f>
        <v>100</v>
      </c>
      <c r="V27" s="1569" t="s">
        <v>8</v>
      </c>
      <c r="W27" s="1570">
        <f>J27</f>
        <v>100</v>
      </c>
      <c r="X27" s="1571"/>
      <c r="Y27" s="336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66"/>
      <c r="Q28" s="2580"/>
      <c r="R28" s="1569"/>
      <c r="S28" s="1570"/>
      <c r="T28" s="1569"/>
      <c r="U28" s="1570"/>
      <c r="V28" s="1569"/>
      <c r="W28" s="1570"/>
      <c r="X28" s="1571"/>
      <c r="Y28" s="3366"/>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6"/>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6"/>
      <c r="Q30" s="1573" t="str">
        <f t="shared" si="8"/>
        <v>毗邻道路的类型与等级</v>
      </c>
      <c r="R30" s="1574" t="s">
        <v>8</v>
      </c>
      <c r="S30" s="1575">
        <f t="shared" si="10"/>
        <v>100</v>
      </c>
      <c r="T30" s="1574" t="s">
        <v>8</v>
      </c>
      <c r="U30" s="1575">
        <f t="shared" si="11"/>
        <v>100</v>
      </c>
      <c r="V30" s="1574" t="s">
        <v>8</v>
      </c>
      <c r="W30" s="1575">
        <f t="shared" si="12"/>
        <v>100</v>
      </c>
      <c r="X30" s="1568"/>
      <c r="Y30" s="336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66"/>
      <c r="Q31" s="1573"/>
      <c r="R31" s="1574"/>
      <c r="S31" s="1575"/>
      <c r="T31" s="1574"/>
      <c r="U31" s="1575"/>
      <c r="V31" s="1574"/>
      <c r="W31" s="1575"/>
      <c r="X31" s="1568"/>
      <c r="Y31" s="3366"/>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6"/>
      <c r="Q32" s="1573" t="str">
        <f t="shared" si="8"/>
        <v>土地级别</v>
      </c>
      <c r="R32" s="1574" t="s">
        <v>8</v>
      </c>
      <c r="S32" s="1575">
        <f t="shared" si="10"/>
        <v>100</v>
      </c>
      <c r="T32" s="1574" t="s">
        <v>8</v>
      </c>
      <c r="U32" s="1575">
        <f t="shared" si="11"/>
        <v>100</v>
      </c>
      <c r="V32" s="1574" t="s">
        <v>8</v>
      </c>
      <c r="W32" s="1575">
        <f t="shared" si="12"/>
        <v>100</v>
      </c>
      <c r="X32" s="1568"/>
      <c r="Y32" s="336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6"/>
      <c r="Q33" s="1573">
        <f t="shared" si="8"/>
        <v>111</v>
      </c>
      <c r="R33" s="1574" t="s">
        <v>8</v>
      </c>
      <c r="S33" s="1575">
        <f t="shared" si="10"/>
        <v>100</v>
      </c>
      <c r="T33" s="1574" t="s">
        <v>8</v>
      </c>
      <c r="U33" s="1575">
        <f t="shared" si="11"/>
        <v>100</v>
      </c>
      <c r="V33" s="1574" t="s">
        <v>8</v>
      </c>
      <c r="W33" s="1575">
        <f t="shared" si="12"/>
        <v>100</v>
      </c>
      <c r="X33" s="1568"/>
      <c r="Y33" s="336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7" t="s">
        <v>550</v>
      </c>
      <c r="Q34" s="1573">
        <f t="shared" si="8"/>
        <v>111</v>
      </c>
      <c r="R34" s="1574" t="s">
        <v>8</v>
      </c>
      <c r="S34" s="1575">
        <f t="shared" si="10"/>
        <v>100</v>
      </c>
      <c r="T34" s="1574" t="s">
        <v>8</v>
      </c>
      <c r="U34" s="1575">
        <f t="shared" si="11"/>
        <v>100</v>
      </c>
      <c r="V34" s="1574" t="s">
        <v>8</v>
      </c>
      <c r="W34" s="1575">
        <f t="shared" si="12"/>
        <v>100</v>
      </c>
      <c r="X34" s="1568"/>
      <c r="Y34" s="3368"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8"/>
      <c r="Q35" s="1573">
        <f t="shared" si="8"/>
        <v>111</v>
      </c>
      <c r="R35" s="1578" t="s">
        <v>8</v>
      </c>
      <c r="S35" s="1579">
        <f t="shared" si="10"/>
        <v>100</v>
      </c>
      <c r="T35" s="1578" t="s">
        <v>8</v>
      </c>
      <c r="U35" s="1579">
        <f t="shared" si="11"/>
        <v>100</v>
      </c>
      <c r="V35" s="1578" t="s">
        <v>8</v>
      </c>
      <c r="W35" s="1579">
        <f t="shared" si="12"/>
        <v>100</v>
      </c>
      <c r="X35" s="1580"/>
      <c r="Y35" s="3368"/>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8"/>
      <c r="Q36" s="1573" t="str">
        <f>B36</f>
        <v>宗地面积</v>
      </c>
      <c r="R36" s="1574" t="s">
        <v>8</v>
      </c>
      <c r="S36" s="1575" t="e">
        <f t="shared" si="10"/>
        <v>#N/A</v>
      </c>
      <c r="T36" s="1574" t="s">
        <v>8</v>
      </c>
      <c r="U36" s="1575" t="e">
        <f t="shared" si="11"/>
        <v>#N/A</v>
      </c>
      <c r="V36" s="1574" t="s">
        <v>8</v>
      </c>
      <c r="W36" s="1575" t="e">
        <f t="shared" si="12"/>
        <v>#N/A</v>
      </c>
      <c r="X36" s="1568"/>
      <c r="Y36" s="336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8"/>
      <c r="Q37" s="1573" t="str">
        <f t="shared" ref="Q37:Q42" si="14">B37</f>
        <v>宗地形状</v>
      </c>
      <c r="R37" s="1574" t="s">
        <v>8</v>
      </c>
      <c r="S37" s="1575">
        <f t="shared" si="10"/>
        <v>100</v>
      </c>
      <c r="T37" s="1574" t="s">
        <v>8</v>
      </c>
      <c r="U37" s="1575">
        <f t="shared" si="11"/>
        <v>100</v>
      </c>
      <c r="V37" s="1574" t="s">
        <v>8</v>
      </c>
      <c r="W37" s="1575">
        <f t="shared" si="12"/>
        <v>100</v>
      </c>
      <c r="X37" s="1568"/>
      <c r="Y37" s="336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8"/>
      <c r="Q38" s="1573" t="str">
        <f t="shared" si="14"/>
        <v>宗地开发程度</v>
      </c>
      <c r="R38" s="1569" t="s">
        <v>8</v>
      </c>
      <c r="S38" s="1570">
        <f t="shared" si="10"/>
        <v>100</v>
      </c>
      <c r="T38" s="1569" t="s">
        <v>8</v>
      </c>
      <c r="U38" s="1570">
        <f t="shared" si="11"/>
        <v>100</v>
      </c>
      <c r="V38" s="1569" t="s">
        <v>8</v>
      </c>
      <c r="W38" s="1570">
        <f t="shared" si="12"/>
        <v>100</v>
      </c>
      <c r="X38" s="1571"/>
      <c r="Y38" s="336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8" t="s">
        <v>601</v>
      </c>
      <c r="Q39" s="1573" t="str">
        <f t="shared" si="14"/>
        <v>工程地质条件</v>
      </c>
      <c r="R39" s="1574" t="s">
        <v>8</v>
      </c>
      <c r="S39" s="1575">
        <f t="shared" si="10"/>
        <v>100</v>
      </c>
      <c r="T39" s="1574" t="s">
        <v>8</v>
      </c>
      <c r="U39" s="1575">
        <f t="shared" si="11"/>
        <v>100</v>
      </c>
      <c r="V39" s="1574" t="s">
        <v>8</v>
      </c>
      <c r="W39" s="1575">
        <f t="shared" si="12"/>
        <v>100</v>
      </c>
      <c r="X39" s="1568"/>
      <c r="Y39" s="336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8"/>
      <c r="Q40" s="1573">
        <f t="shared" si="14"/>
        <v>111</v>
      </c>
      <c r="R40" s="1574" t="s">
        <v>8</v>
      </c>
      <c r="S40" s="1575">
        <f t="shared" si="10"/>
        <v>100</v>
      </c>
      <c r="T40" s="1574" t="s">
        <v>8</v>
      </c>
      <c r="U40" s="1575">
        <f t="shared" si="11"/>
        <v>100</v>
      </c>
      <c r="V40" s="1574" t="s">
        <v>8</v>
      </c>
      <c r="W40" s="1575">
        <f t="shared" si="12"/>
        <v>100</v>
      </c>
      <c r="X40" s="1568"/>
      <c r="Y40" s="336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8"/>
      <c r="Q41" s="1573">
        <f t="shared" si="14"/>
        <v>111</v>
      </c>
      <c r="R41" s="1574" t="s">
        <v>8</v>
      </c>
      <c r="S41" s="1575">
        <f t="shared" si="10"/>
        <v>100</v>
      </c>
      <c r="T41" s="1574" t="s">
        <v>8</v>
      </c>
      <c r="U41" s="1575">
        <f t="shared" si="11"/>
        <v>100</v>
      </c>
      <c r="V41" s="1574" t="s">
        <v>8</v>
      </c>
      <c r="W41" s="1575">
        <f t="shared" si="12"/>
        <v>100</v>
      </c>
      <c r="X41" s="1568"/>
      <c r="Y41" s="336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8"/>
      <c r="Q42" s="1573">
        <f t="shared" si="14"/>
        <v>111</v>
      </c>
      <c r="R42" s="1578" t="s">
        <v>8</v>
      </c>
      <c r="S42" s="1579">
        <f t="shared" si="10"/>
        <v>100</v>
      </c>
      <c r="T42" s="1578" t="s">
        <v>8</v>
      </c>
      <c r="U42" s="1579">
        <f t="shared" si="11"/>
        <v>100</v>
      </c>
      <c r="V42" s="1578" t="s">
        <v>8</v>
      </c>
      <c r="W42" s="1579">
        <f t="shared" si="12"/>
        <v>100</v>
      </c>
      <c r="X42" s="1580"/>
      <c r="Y42" s="3368"/>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6"/>
      <c r="M43" s="2136"/>
      <c r="N43" s="2136"/>
      <c r="O43" s="2147"/>
      <c r="P43" s="3363" t="str">
        <f>A43</f>
        <v>成交单价</v>
      </c>
      <c r="Q43" s="3363"/>
      <c r="R43" s="3377">
        <f>E43</f>
        <v>0</v>
      </c>
      <c r="S43" s="3377"/>
      <c r="T43" s="3377">
        <f>G43</f>
        <v>0</v>
      </c>
      <c r="U43" s="3377"/>
      <c r="V43" s="3377">
        <f>I43</f>
        <v>0</v>
      </c>
      <c r="W43" s="3377"/>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63" t="str">
        <f>A44</f>
        <v>比较价格（元/平方米）</v>
      </c>
      <c r="Q44" s="3363"/>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6"/>
      <c r="M45" s="2136"/>
      <c r="N45" s="2136"/>
      <c r="O45" s="2147"/>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88" t="s">
        <v>2287</v>
      </c>
      <c r="H52" s="3389"/>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0</v>
      </c>
      <c r="F53" s="1952" t="e">
        <f t="shared" ref="F53:F62" si="15">ROUND(B53*E53/10000,0)</f>
        <v>#DIV/0!</v>
      </c>
      <c r="G53" s="3390"/>
      <c r="H53" s="339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v>
      </c>
      <c r="D58" s="2231">
        <v>0.25</v>
      </c>
      <c r="E58" s="641">
        <f>'数据-汇总表'!E11</f>
        <v>0</v>
      </c>
      <c r="F58" s="1952" t="e">
        <f t="shared" si="15"/>
        <v>#DIV/0!</v>
      </c>
      <c r="G58" s="1958" t="s">
        <v>2289</v>
      </c>
      <c r="H58" s="1957" t="str">
        <f>项目基本情况!C43</f>
        <v>十级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v>
      </c>
      <c r="D59" s="2231">
        <v>0.25</v>
      </c>
      <c r="E59" s="641">
        <f>'数据-汇总表'!E12</f>
        <v>0</v>
      </c>
      <c r="F59" s="1952" t="e">
        <f t="shared" si="15"/>
        <v>#DIV/0!</v>
      </c>
      <c r="G59" s="1948" t="s">
        <v>1678</v>
      </c>
      <c r="H59" s="1956" t="str">
        <f>IF(G59="商业",项目基本情况!B43,IF(G59="办公",项目基本情况!C43,IF(G59="住宅",项目基本情况!D43,项目基本情况!E43)))</f>
        <v>十级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0.15</v>
      </c>
      <c r="D62" s="2231">
        <v>0.25</v>
      </c>
      <c r="E62" s="641">
        <f>'数据-汇总表'!E15</f>
        <v>0</v>
      </c>
      <c r="F62" s="1952" t="e">
        <f t="shared" si="15"/>
        <v>#DIV/0!</v>
      </c>
      <c r="G62" s="1959" t="s">
        <v>2289</v>
      </c>
      <c r="H62" s="1960" t="str">
        <f>项目基本情况!C43</f>
        <v>十级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t="e">
        <f>IF(B43="楼面地价",SUM(E53:E62),'数据-汇总表'!D3)</f>
        <v>#DIV/0!</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北京市平均增长率1.54%</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abSelected="1" topLeftCell="A19"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127.5</v>
      </c>
      <c r="E1" s="1407" t="s">
        <v>2430</v>
      </c>
      <c r="F1" s="2454">
        <f>'数据-基础表'!A3</f>
        <v>255</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89</v>
      </c>
      <c r="C2" s="1408" t="s">
        <v>921</v>
      </c>
      <c r="D2" s="1409" t="s">
        <v>922</v>
      </c>
      <c r="E2" s="1410" t="s">
        <v>1678</v>
      </c>
      <c r="F2" s="1409" t="s">
        <v>924</v>
      </c>
      <c r="G2" s="1653" t="str">
        <f>IF(E2="商业",项目基本情况!B43,IF(E2="办公",项目基本情况!C43,IF(E2="住宅",项目基本情况!D43,项目基本情况!E43)))</f>
        <v>十级</v>
      </c>
      <c r="H2" s="1409" t="s">
        <v>926</v>
      </c>
      <c r="I2" s="1654" t="str">
        <f>IF(E2="商业",项目基本情况!B44,IF(E2="办公",项目基本情况!C44,IF(E2="住宅",项目基本情况!D44,项目基本情况!E44)))</f>
        <v>Ⅹ-怀2</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3.8839999999999999</v>
      </c>
      <c r="T2" s="2939">
        <f ca="1">ROUND($C$5*$C$18*$C$19*$C$20*S2*$C$24,0)</f>
        <v>10951</v>
      </c>
      <c r="U2" s="2928"/>
      <c r="V2" s="2939">
        <f ca="1">ROUND(T2*U2/10000,0)</f>
        <v>0</v>
      </c>
      <c r="W2" s="2191"/>
      <c r="X2" s="2191"/>
      <c r="Y2" s="2191"/>
      <c r="Z2" s="2191"/>
      <c r="AA2" s="2191"/>
      <c r="AB2" s="2191"/>
      <c r="AC2" s="2192"/>
    </row>
    <row r="3" spans="1:39" ht="24">
      <c r="A3" s="1412" t="s">
        <v>1688</v>
      </c>
      <c r="B3" s="1038">
        <f ca="1">ROUND(B2*10000/D1,0)</f>
        <v>6980</v>
      </c>
      <c r="C3" s="1408" t="s">
        <v>927</v>
      </c>
      <c r="D3" s="1409" t="s">
        <v>928</v>
      </c>
      <c r="E3" s="1413" t="s">
        <v>2990</v>
      </c>
      <c r="F3" s="1414" t="s">
        <v>2991</v>
      </c>
      <c r="G3" s="1039">
        <f>IF(F3="宗地容积率",'数据-汇总表'!I4,IF(F3="估价对象容积率",'数据-汇总表'!I6,'数据-汇总表'!I7))</f>
        <v>0.5</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2.5598000000000001</v>
      </c>
      <c r="T3" s="2939">
        <f t="shared" ref="T3:T16" ca="1" si="0">ROUND($C$5*$C$18*$C$19*$C$20*S3*$C$24,0)</f>
        <v>7218</v>
      </c>
      <c r="U3" s="2928"/>
      <c r="V3" s="2939">
        <f t="shared" ref="V3:V16" ca="1" si="1">ROUND(T3*U3/10000,0)</f>
        <v>0</v>
      </c>
      <c r="W3" s="2191"/>
      <c r="X3" s="2191"/>
      <c r="Y3" s="2191"/>
      <c r="Z3" s="2191"/>
      <c r="AA3" s="2191"/>
      <c r="AB3" s="2191"/>
      <c r="AC3" s="2192"/>
    </row>
    <row r="4" spans="1:39" ht="28.5">
      <c r="A4" s="1893" t="s">
        <v>2283</v>
      </c>
      <c r="B4" s="2455">
        <f ca="1">ROUND(B2*10000/F1,0)</f>
        <v>3490</v>
      </c>
      <c r="C4" s="1896" t="s">
        <v>2257</v>
      </c>
      <c r="D4" s="1896">
        <f ca="1">ROUND(B2/(F1/666.67),0)</f>
        <v>233</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2.0144000000000002</v>
      </c>
      <c r="T4" s="2939">
        <f t="shared" ca="1" si="0"/>
        <v>5680</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2580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1.5049999999999999</v>
      </c>
      <c r="T5" s="2939">
        <f t="shared" ca="1" si="0"/>
        <v>4243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2580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1.1317999999999999</v>
      </c>
      <c r="T6" s="2939">
        <f t="shared" ca="1" si="0"/>
        <v>3191</v>
      </c>
      <c r="U6" s="2928"/>
      <c r="V6" s="2939">
        <f t="shared" ca="1" si="1"/>
        <v>0</v>
      </c>
      <c r="W6" s="2191"/>
      <c r="X6" s="2191"/>
      <c r="Y6" s="2191"/>
      <c r="Z6" s="2191"/>
      <c r="AA6" s="2191"/>
      <c r="AB6" s="2191"/>
      <c r="AC6" s="2193"/>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0.90500000000000003</v>
      </c>
      <c r="T7" s="2939">
        <f t="shared" ca="1" si="0"/>
        <v>2552</v>
      </c>
      <c r="U7" s="2928"/>
      <c r="V7" s="2939">
        <f t="shared" ca="1" si="1"/>
        <v>0</v>
      </c>
      <c r="W7" s="2937" t="s">
        <v>2767</v>
      </c>
      <c r="X7" s="2929" t="str">
        <f>G2</f>
        <v>十级</v>
      </c>
      <c r="Y7" s="2929" t="s">
        <v>2768</v>
      </c>
      <c r="Z7" s="2930">
        <f>G3</f>
        <v>0.5</v>
      </c>
      <c r="AA7" s="2194"/>
      <c r="AB7" s="2194"/>
      <c r="AC7" s="2195"/>
      <c r="AD7" s="2931"/>
      <c r="AE7" s="2931"/>
      <c r="AF7" s="2931"/>
      <c r="AG7" s="2931"/>
      <c r="AH7" s="2931"/>
      <c r="AI7" s="2931"/>
      <c r="AJ7" s="2932"/>
    </row>
    <row r="8" spans="1:39" ht="15">
      <c r="A8" s="3401"/>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10" t="s">
        <v>2785</v>
      </c>
      <c r="X8" s="3411"/>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01"/>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09" t="s">
        <v>2781</v>
      </c>
      <c r="X9" s="2933" t="s">
        <v>2782</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2580</v>
      </c>
      <c r="N10" s="1889">
        <f>SUMPRODUCT((因素修正幅度!B290:B316=I2)*(因素修正幅度!C3:F3=E2)*(因素修正幅度!C290:F316))</f>
        <v>0.15</v>
      </c>
      <c r="O10" s="2191"/>
      <c r="P10" s="2191"/>
      <c r="Q10" s="2191"/>
      <c r="R10" s="2939">
        <v>9</v>
      </c>
      <c r="S10" s="2928"/>
      <c r="T10" s="2939">
        <f t="shared" ca="1" si="0"/>
        <v>0</v>
      </c>
      <c r="U10" s="2928"/>
      <c r="V10" s="2939">
        <f t="shared" ca="1" si="1"/>
        <v>0</v>
      </c>
      <c r="W10" s="3409"/>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09" t="s">
        <v>2783</v>
      </c>
      <c r="X11" s="1048" t="s">
        <v>2768</v>
      </c>
      <c r="Y11" s="1654">
        <f>$G$3</f>
        <v>0.5</v>
      </c>
      <c r="Z11" s="1654">
        <f t="shared" ref="Z11:AJ11" si="3">$G$3</f>
        <v>0.5</v>
      </c>
      <c r="AA11" s="1654">
        <f t="shared" si="3"/>
        <v>0.5</v>
      </c>
      <c r="AB11" s="1654">
        <f t="shared" si="3"/>
        <v>0.5</v>
      </c>
      <c r="AC11" s="1654">
        <f t="shared" si="3"/>
        <v>0.5</v>
      </c>
      <c r="AD11" s="1654">
        <f t="shared" si="3"/>
        <v>0.5</v>
      </c>
      <c r="AE11" s="1654">
        <f t="shared" si="3"/>
        <v>0.5</v>
      </c>
      <c r="AF11" s="1654">
        <f t="shared" si="3"/>
        <v>0.5</v>
      </c>
      <c r="AG11" s="1654">
        <f t="shared" si="3"/>
        <v>0.5</v>
      </c>
      <c r="AH11" s="1654">
        <f t="shared" si="3"/>
        <v>0.5</v>
      </c>
      <c r="AI11" s="1654">
        <f t="shared" si="3"/>
        <v>0.5</v>
      </c>
      <c r="AJ11" s="1654">
        <f t="shared" si="3"/>
        <v>0.5</v>
      </c>
    </row>
    <row r="12" spans="1:39" ht="25.5" thickBot="1">
      <c r="A12" s="3400"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09"/>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09"/>
      <c r="X13" s="2936"/>
      <c r="Y13" s="2935">
        <f>(-0.163*(Y12^2)-0.59*Y12+7617)*(10^(-4))/Y11</f>
        <v>1.5234000000000001</v>
      </c>
      <c r="Z13" s="2935">
        <f t="shared" ref="Z13:AJ13" si="5">(-0.163*(Z12^2)-0.59*Z12+7617)*(10^(-4))/Z11</f>
        <v>1.5234000000000001</v>
      </c>
      <c r="AA13" s="2935">
        <f t="shared" si="5"/>
        <v>1.5234000000000001</v>
      </c>
      <c r="AB13" s="2935">
        <f t="shared" si="5"/>
        <v>1.5234000000000001</v>
      </c>
      <c r="AC13" s="2935">
        <f t="shared" si="5"/>
        <v>1.5234000000000001</v>
      </c>
      <c r="AD13" s="2935">
        <f t="shared" si="5"/>
        <v>1.5234000000000001</v>
      </c>
      <c r="AE13" s="2935">
        <f t="shared" si="5"/>
        <v>1.5234000000000001</v>
      </c>
      <c r="AF13" s="2935">
        <f t="shared" si="5"/>
        <v>1.5234000000000001</v>
      </c>
      <c r="AG13" s="2935">
        <f t="shared" si="5"/>
        <v>1.5234000000000001</v>
      </c>
      <c r="AH13" s="2935">
        <f t="shared" si="5"/>
        <v>1.5234000000000001</v>
      </c>
      <c r="AI13" s="2935">
        <f t="shared" si="5"/>
        <v>1.5234000000000001</v>
      </c>
      <c r="AJ13" s="2935">
        <f t="shared" si="5"/>
        <v>1.5234000000000001</v>
      </c>
    </row>
    <row r="14" spans="1:39" ht="12.75" customHeight="1" thickBot="1">
      <c r="A14" s="3402"/>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400" t="s">
        <v>1839</v>
      </c>
      <c r="B16" s="1428" t="s">
        <v>950</v>
      </c>
      <c r="C16" s="1054">
        <f>ROUND(SUM(G17:J17)/C17,0)</f>
        <v>0</v>
      </c>
      <c r="D16" s="1461" t="s">
        <v>951</v>
      </c>
      <c r="E16" s="1462" t="s">
        <v>2992</v>
      </c>
      <c r="F16" s="1463" t="s">
        <v>2993</v>
      </c>
      <c r="G16" s="1464" t="s">
        <v>952</v>
      </c>
      <c r="H16" s="1464" t="s">
        <v>952</v>
      </c>
      <c r="I16" s="1464" t="s">
        <v>952</v>
      </c>
      <c r="J16" s="1464" t="s">
        <v>952</v>
      </c>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01"/>
      <c r="B17" s="1466" t="s">
        <v>953</v>
      </c>
      <c r="C17" s="1055">
        <f>SUMPRODUCT((修正!A2:A5=E2)*(修正!B1:M1=G2)*(修正!B2:M5))</f>
        <v>2</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1.3178000000000001</v>
      </c>
      <c r="D19" s="1475" t="s">
        <v>958</v>
      </c>
      <c r="E19" s="1058">
        <v>41640</v>
      </c>
      <c r="F19" s="1475" t="s">
        <v>959</v>
      </c>
      <c r="G19" s="1059">
        <f>'数据-取费表'!B2</f>
        <v>43370</v>
      </c>
      <c r="H19" s="1476" t="s">
        <v>2994</v>
      </c>
      <c r="I19" s="2786" t="str">
        <f>IF(H19="季度增幅（自定义）",SUMIF(N21:N24,E2,O21:O24),"")</f>
        <v/>
      </c>
      <c r="J19" s="1472"/>
      <c r="K19" s="1482"/>
      <c r="L19" s="3042" t="s">
        <v>2843</v>
      </c>
      <c r="M19" s="3043">
        <f>ROUND(SUMIF(地价!B2:F2,E2,地价!B23:F23),0)</f>
        <v>258</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0.85170000000000001</v>
      </c>
      <c r="D20" s="2783" t="s">
        <v>973</v>
      </c>
      <c r="E20" s="3098">
        <f ca="1">存贷款利率!I4/100</f>
        <v>4.3499999999999997E-2</v>
      </c>
      <c r="F20" s="2783" t="s">
        <v>974</v>
      </c>
      <c r="G20" s="2784">
        <f ca="1">SUMIF(M15:P15,E2,M17:P17)</f>
        <v>5.1999999999999998E-2</v>
      </c>
      <c r="H20" s="2783" t="s">
        <v>975</v>
      </c>
      <c r="I20" s="2773">
        <f>SUMIF('数据-取费表'!C6:C15,E2,'数据-取费表'!F6:F15)/COUNTIF('数据-取费表'!C6:C15,E2)</f>
        <v>30.25</v>
      </c>
      <c r="J20" s="2785">
        <f>IF(E2="住宅",70,IF(E2="商业",40,50))</f>
        <v>50</v>
      </c>
      <c r="K20" s="1482"/>
      <c r="L20" s="3044" t="s">
        <v>2844</v>
      </c>
      <c r="M20" s="3045">
        <f>ROUND(SUMPRODUCT((地价!A4:A23=YEAR(G19)&amp;"-"&amp;ROUNDUP(MONTH(G19)/3,0))*(地价!B2:F2=E2)*(地价!B4:F23)),0)</f>
        <v>340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2995</v>
      </c>
      <c r="C21" s="1158">
        <f>IF(B21="容积率修正",IF(G3&lt;=10,D22,J22),C23)</f>
        <v>2.4767999999999999</v>
      </c>
      <c r="D21" s="1482"/>
      <c r="E21" s="1482"/>
      <c r="F21" s="1482"/>
      <c r="G21" s="1482"/>
      <c r="H21" s="1482"/>
      <c r="I21" s="1482"/>
      <c r="J21" s="1483"/>
      <c r="K21" s="1482"/>
      <c r="L21" s="1482"/>
      <c r="M21" s="1482"/>
      <c r="N21" s="1479" t="s">
        <v>976</v>
      </c>
      <c r="O21" s="1543"/>
      <c r="P21" s="2771">
        <f>SUMPRODUCT((地价!A3:A23=YEAR(G19)&amp;"-"&amp;ROUNDUP(MONTH(G19)/3,0))*(地价!AD2:AH2=N21)*(地价!AD3:AH23))</f>
        <v>1.5900000000000001E-2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2.4767999999999999</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1039">
        <f>ROUNDUP(G3,1)</f>
        <v>0.5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2.4767999999999999</v>
      </c>
      <c r="I22" s="1060" t="s">
        <v>978</v>
      </c>
      <c r="J22" s="1060" t="str">
        <f>IF(G3&gt;10,D113,"——")</f>
        <v>——</v>
      </c>
      <c r="K22" s="1482"/>
      <c r="L22" s="1482"/>
      <c r="M22" s="1482"/>
      <c r="N22" s="1479" t="s">
        <v>979</v>
      </c>
      <c r="O22" s="1543"/>
      <c r="P22" s="2771">
        <f>SUMPRODUCT((地价!A3:A23=YEAR(G19)&amp;"-"&amp;ROUNDUP(MONTH(G19)/3,0))*(地价!AD2:AH2=N22)*(地价!AD3:AH23))</f>
        <v>1.5900000000000001E-2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0.89510000000000001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2.5399999999999999E-2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0.97370000000000001</v>
      </c>
      <c r="D24" s="1536"/>
      <c r="E24" s="1537"/>
      <c r="F24" s="1537"/>
      <c r="G24" s="1537"/>
      <c r="H24" s="1537"/>
      <c r="I24" s="1537"/>
      <c r="J24" s="1537"/>
      <c r="K24" s="1482"/>
      <c r="L24" s="1482"/>
      <c r="M24" s="1482"/>
      <c r="N24" s="1485" t="s">
        <v>982</v>
      </c>
      <c r="O24" s="1544"/>
      <c r="P24" s="1542">
        <f>SUMPRODUCT((地价!A3:A23=YEAR(G19)&amp;"-"&amp;ROUNDUP(MONTH(G19)/3,0))*(地价!AD2:AH2=N24)*(地价!AD3:AH23))</f>
        <v>1.54E-2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2.3099999999999999E-2</v>
      </c>
      <c r="R25" s="2927"/>
      <c r="S25" s="2927"/>
      <c r="T25" s="2927"/>
      <c r="U25" s="2927"/>
      <c r="V25" s="2927"/>
      <c r="W25" s="2197"/>
      <c r="X25" s="2197"/>
      <c r="Y25" s="2197"/>
      <c r="Z25" s="2197"/>
      <c r="AA25" s="2197"/>
      <c r="AB25" s="2197"/>
      <c r="AC25" s="2197"/>
    </row>
    <row r="26" spans="1:40" ht="14.25">
      <c r="A26" s="1490"/>
      <c r="B26" s="1484" t="s">
        <v>987</v>
      </c>
      <c r="C26" s="1063">
        <f ca="1">E29+SUM(E33:E39)</f>
        <v>89</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6983</v>
      </c>
      <c r="D29" s="1505">
        <f>'数据-基础表'!A3/2</f>
        <v>127.5</v>
      </c>
      <c r="E29" s="1851">
        <f ca="1">ROUND(C29*D29/10000,0)</f>
        <v>89</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1746</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6" t="s">
        <v>2964</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7"/>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7"/>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8"/>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564</v>
      </c>
      <c r="D37" s="1538"/>
      <c r="E37" s="1048">
        <f t="shared" ca="1" si="7"/>
        <v>0</v>
      </c>
      <c r="F37" s="1063">
        <f>SUMIF(修正!A45:A56,G2,修正!F45:F56)</f>
        <v>0.2</v>
      </c>
      <c r="G37" s="1048">
        <f ca="1">ROUND(IF(E2="工业",C37*$M$39,C37*$M$38),0)</f>
        <v>141</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564</v>
      </c>
      <c r="D38" s="1538"/>
      <c r="E38" s="1048">
        <f t="shared" ca="1" si="7"/>
        <v>0</v>
      </c>
      <c r="F38" s="1063">
        <f>SUMIF(修正!A45:A56,G2,修正!G45:G56)</f>
        <v>0.2</v>
      </c>
      <c r="G38" s="1048">
        <f ca="1">ROUND(IF(E2="工业",C38*$M$39,C38*$M$38),0)</f>
        <v>141</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423</v>
      </c>
      <c r="D39" s="1539"/>
      <c r="E39" s="1051">
        <f t="shared" ca="1" si="7"/>
        <v>0</v>
      </c>
      <c r="F39" s="1065">
        <f>SUMIF(修正!A45:A56,G2,修正!H45:H56)</f>
        <v>0.15</v>
      </c>
      <c r="G39" s="1051">
        <f ca="1">ROUND(IF(E2="工业",C39*$M$39,C39*$M$38),0)</f>
        <v>106</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0.97370000000000001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t="s">
        <v>2996</v>
      </c>
      <c r="D58" s="2419">
        <f t="shared" ref="D58:D66" si="15">SUMIF($J$57:$N$57,C58,J58:N58)</f>
        <v>0</v>
      </c>
      <c r="E58" s="2438">
        <f>ROUND(SUM(D58:D66),4)</f>
        <v>-2.63E-2</v>
      </c>
      <c r="F58" s="2439">
        <f>IF(E2="办公",SUMIF(L1:L12,G2,N1:N12),"——")</f>
        <v>0.15</v>
      </c>
      <c r="G58" s="3181">
        <v>1.7999999999999999E-2</v>
      </c>
      <c r="H58" s="2463">
        <f>IFERROR(ROUNDDOWN($F$58*I58/2,4),"——")</f>
        <v>1.7999999999999999E-2</v>
      </c>
      <c r="I58" s="2437">
        <v>0.24</v>
      </c>
      <c r="J58" s="2440">
        <f t="shared" ref="J58:J66" si="16">K58+$G58</f>
        <v>3.5999999999999997E-2</v>
      </c>
      <c r="K58" s="2440">
        <f t="shared" ref="K58:K66" si="17">$L58+$G58</f>
        <v>1.7999999999999999E-2</v>
      </c>
      <c r="L58" s="2440">
        <v>0</v>
      </c>
      <c r="M58" s="2440">
        <f t="shared" ref="M58:N66" si="18">L58-$G58</f>
        <v>-1.7999999999999999E-2</v>
      </c>
      <c r="N58" s="2440">
        <f t="shared" si="18"/>
        <v>-3.5999999999999997E-2</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t="s">
        <v>2997</v>
      </c>
      <c r="D59" s="2419">
        <f t="shared" si="15"/>
        <v>-2.2499999999999999E-2</v>
      </c>
      <c r="E59" s="2441"/>
      <c r="F59" s="2439"/>
      <c r="G59" s="3181">
        <v>2.2499999999999999E-2</v>
      </c>
      <c r="H59" s="2418">
        <f t="shared" ref="H59:H66" si="19">IFERROR($F$58*I59/2,"——")</f>
        <v>2.2499999999999999E-2</v>
      </c>
      <c r="I59" s="2437">
        <v>0.3</v>
      </c>
      <c r="J59" s="2440">
        <f t="shared" si="16"/>
        <v>4.4999999999999998E-2</v>
      </c>
      <c r="K59" s="2440">
        <f t="shared" si="17"/>
        <v>2.2499999999999999E-2</v>
      </c>
      <c r="L59" s="2440">
        <v>0</v>
      </c>
      <c r="M59" s="2440">
        <f t="shared" si="18"/>
        <v>-2.2499999999999999E-2</v>
      </c>
      <c r="N59" s="2440">
        <f t="shared" si="18"/>
        <v>-4.4999999999999998E-2</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t="s">
        <v>2996</v>
      </c>
      <c r="D60" s="2419">
        <f t="shared" si="15"/>
        <v>0</v>
      </c>
      <c r="E60" s="2441"/>
      <c r="F60" s="2439"/>
      <c r="G60" s="3181">
        <v>6.0000000000000001E-3</v>
      </c>
      <c r="H60" s="2418">
        <f t="shared" si="19"/>
        <v>6.0000000000000001E-3</v>
      </c>
      <c r="I60" s="2437">
        <v>0.08</v>
      </c>
      <c r="J60" s="2440">
        <f t="shared" si="16"/>
        <v>1.2E-2</v>
      </c>
      <c r="K60" s="2440">
        <f t="shared" si="17"/>
        <v>6.0000000000000001E-3</v>
      </c>
      <c r="L60" s="2440">
        <v>0</v>
      </c>
      <c r="M60" s="2440">
        <f t="shared" si="18"/>
        <v>-6.0000000000000001E-3</v>
      </c>
      <c r="N60" s="2440">
        <f t="shared" si="18"/>
        <v>-1.2E-2</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2941</v>
      </c>
      <c r="C61" s="1050" t="s">
        <v>2996</v>
      </c>
      <c r="D61" s="2419">
        <f t="shared" si="15"/>
        <v>0</v>
      </c>
      <c r="E61" s="2441"/>
      <c r="F61" s="2439"/>
      <c r="G61" s="3181">
        <v>3.0000000000000001E-3</v>
      </c>
      <c r="H61" s="2418">
        <f t="shared" si="19"/>
        <v>3.0000000000000001E-3</v>
      </c>
      <c r="I61" s="2437">
        <v>0.04</v>
      </c>
      <c r="J61" s="2440">
        <f t="shared" si="16"/>
        <v>6.0000000000000001E-3</v>
      </c>
      <c r="K61" s="2440">
        <f t="shared" si="17"/>
        <v>3.0000000000000001E-3</v>
      </c>
      <c r="L61" s="2440">
        <v>0</v>
      </c>
      <c r="M61" s="2440">
        <f t="shared" si="18"/>
        <v>-3.0000000000000001E-3</v>
      </c>
      <c r="N61" s="2440">
        <f t="shared" si="18"/>
        <v>-6.0000000000000001E-3</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t="s">
        <v>2997</v>
      </c>
      <c r="D62" s="2419">
        <f t="shared" si="15"/>
        <v>-3.7499999999999999E-3</v>
      </c>
      <c r="E62" s="2441"/>
      <c r="F62" s="2439"/>
      <c r="G62" s="3181">
        <v>3.7499999999999999E-3</v>
      </c>
      <c r="H62" s="2418">
        <f t="shared" si="19"/>
        <v>3.7499999999999999E-3</v>
      </c>
      <c r="I62" s="2437">
        <v>0.05</v>
      </c>
      <c r="J62" s="2440">
        <f t="shared" si="16"/>
        <v>7.4999999999999997E-3</v>
      </c>
      <c r="K62" s="2440">
        <f t="shared" si="17"/>
        <v>3.7499999999999999E-3</v>
      </c>
      <c r="L62" s="2440">
        <v>0</v>
      </c>
      <c r="M62" s="2440">
        <f t="shared" si="18"/>
        <v>-3.7499999999999999E-3</v>
      </c>
      <c r="N62" s="2440">
        <f t="shared" si="18"/>
        <v>-7.4999999999999997E-3</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2939</v>
      </c>
      <c r="C63" s="1050" t="s">
        <v>2996</v>
      </c>
      <c r="D63" s="2419">
        <f t="shared" si="15"/>
        <v>0</v>
      </c>
      <c r="E63" s="2441"/>
      <c r="F63" s="2439"/>
      <c r="G63" s="3181">
        <v>3.7499999999999999E-3</v>
      </c>
      <c r="H63" s="2418">
        <f t="shared" si="19"/>
        <v>3.7499999999999999E-3</v>
      </c>
      <c r="I63" s="2437">
        <v>0.05</v>
      </c>
      <c r="J63" s="2440">
        <f t="shared" si="16"/>
        <v>7.4999999999999997E-3</v>
      </c>
      <c r="K63" s="2440">
        <f t="shared" si="17"/>
        <v>3.7499999999999999E-3</v>
      </c>
      <c r="L63" s="2440">
        <v>0</v>
      </c>
      <c r="M63" s="2440">
        <f t="shared" si="18"/>
        <v>-3.7499999999999999E-3</v>
      </c>
      <c r="N63" s="2440">
        <f t="shared" si="18"/>
        <v>-7.4999999999999997E-3</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t="s">
        <v>2997</v>
      </c>
      <c r="D64" s="2419">
        <f t="shared" si="15"/>
        <v>-4.4999999999999997E-3</v>
      </c>
      <c r="E64" s="2441"/>
      <c r="F64" s="2439"/>
      <c r="G64" s="3181">
        <v>4.4999999999999997E-3</v>
      </c>
      <c r="H64" s="2418">
        <f t="shared" si="19"/>
        <v>4.4999999999999997E-3</v>
      </c>
      <c r="I64" s="2437">
        <v>0.06</v>
      </c>
      <c r="J64" s="2440">
        <f t="shared" si="16"/>
        <v>8.9999999999999993E-3</v>
      </c>
      <c r="K64" s="2440">
        <f t="shared" si="17"/>
        <v>4.4999999999999997E-3</v>
      </c>
      <c r="L64" s="2440">
        <v>0</v>
      </c>
      <c r="M64" s="2440">
        <f t="shared" si="18"/>
        <v>-4.4999999999999997E-3</v>
      </c>
      <c r="N64" s="2440">
        <f t="shared" si="18"/>
        <v>-8.9999999999999993E-3</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t="s">
        <v>2996</v>
      </c>
      <c r="D65" s="2419">
        <f t="shared" si="15"/>
        <v>0</v>
      </c>
      <c r="E65" s="2441"/>
      <c r="F65" s="2439"/>
      <c r="G65" s="3181">
        <v>8.9999999999999993E-3</v>
      </c>
      <c r="H65" s="2418">
        <f t="shared" si="19"/>
        <v>8.9999999999999993E-3</v>
      </c>
      <c r="I65" s="2437">
        <v>0.12</v>
      </c>
      <c r="J65" s="2440">
        <f t="shared" si="16"/>
        <v>1.7999999999999999E-2</v>
      </c>
      <c r="K65" s="2440">
        <f t="shared" si="17"/>
        <v>8.9999999999999993E-3</v>
      </c>
      <c r="L65" s="2440">
        <v>0</v>
      </c>
      <c r="M65" s="2440">
        <f t="shared" si="18"/>
        <v>-8.9999999999999993E-3</v>
      </c>
      <c r="N65" s="2440">
        <f t="shared" si="18"/>
        <v>-1.7999999999999999E-2</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t="s">
        <v>2998</v>
      </c>
      <c r="D66" s="2419">
        <f t="shared" si="15"/>
        <v>4.4999999999999997E-3</v>
      </c>
      <c r="E66" s="2445"/>
      <c r="F66" s="2439"/>
      <c r="G66" s="3181">
        <v>4.4999999999999997E-3</v>
      </c>
      <c r="H66" s="2418">
        <f t="shared" si="19"/>
        <v>4.4999999999999997E-3</v>
      </c>
      <c r="I66" s="2444">
        <v>0.06</v>
      </c>
      <c r="J66" s="2440">
        <f t="shared" si="16"/>
        <v>8.9999999999999993E-3</v>
      </c>
      <c r="K66" s="2440">
        <f t="shared" si="17"/>
        <v>4.4999999999999997E-3</v>
      </c>
      <c r="L66" s="2440">
        <v>0</v>
      </c>
      <c r="M66" s="2440">
        <f t="shared" si="18"/>
        <v>-4.4999999999999997E-3</v>
      </c>
      <c r="N66" s="2440">
        <f t="shared" si="18"/>
        <v>-8.9999999999999993E-3</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04" t="s">
        <v>1634</v>
      </c>
      <c r="B90" s="3404"/>
      <c r="C90" s="3404"/>
      <c r="D90" s="3404"/>
      <c r="E90" s="3404"/>
      <c r="F90" s="3404"/>
      <c r="G90" s="3404"/>
      <c r="H90" s="3404"/>
      <c r="I90" s="3404"/>
      <c r="J90" s="3404"/>
      <c r="K90" s="2452"/>
      <c r="L90" s="2452"/>
      <c r="M90" s="2452"/>
      <c r="N90" s="2452"/>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1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0.5</v>
      </c>
      <c r="D101" s="1148">
        <f t="shared" ref="D101:N101" si="31">$G$3</f>
        <v>0.5</v>
      </c>
      <c r="E101" s="1148">
        <f t="shared" si="31"/>
        <v>0.5</v>
      </c>
      <c r="F101" s="1148">
        <f t="shared" si="31"/>
        <v>0.5</v>
      </c>
      <c r="G101" s="1148">
        <f t="shared" si="31"/>
        <v>0.5</v>
      </c>
      <c r="H101" s="1148">
        <f t="shared" si="31"/>
        <v>0.5</v>
      </c>
      <c r="I101" s="1148">
        <f t="shared" si="31"/>
        <v>0.5</v>
      </c>
      <c r="J101" s="1148">
        <f t="shared" si="31"/>
        <v>0.5</v>
      </c>
      <c r="K101" s="1148">
        <f t="shared" si="31"/>
        <v>0.5</v>
      </c>
      <c r="L101" s="1148">
        <f t="shared" si="31"/>
        <v>0.5</v>
      </c>
      <c r="M101" s="1148">
        <f t="shared" si="31"/>
        <v>0.5</v>
      </c>
      <c r="N101" s="1148">
        <f t="shared" si="31"/>
        <v>0.5</v>
      </c>
    </row>
    <row r="102" spans="1:14">
      <c r="A102" s="3413"/>
      <c r="B102" s="1143">
        <v>1</v>
      </c>
      <c r="C102" s="1144">
        <f>1.9362/C101</f>
        <v>3.8723999999999998</v>
      </c>
      <c r="D102" s="1144">
        <f>1.9362/D101</f>
        <v>3.8723999999999998</v>
      </c>
      <c r="E102" s="1144">
        <f>1.8629/E101</f>
        <v>3.7258</v>
      </c>
      <c r="F102" s="1144">
        <f>1.8629/F101</f>
        <v>3.7258</v>
      </c>
      <c r="G102" s="1144">
        <f>1.8629/G101</f>
        <v>3.7258</v>
      </c>
      <c r="H102" s="1144">
        <f>1.8629/H101</f>
        <v>3.7258</v>
      </c>
      <c r="I102" s="1144">
        <f>1.8629/I101</f>
        <v>3.7258</v>
      </c>
      <c r="J102" s="1144">
        <f>1.942/J101</f>
        <v>3.8839999999999999</v>
      </c>
      <c r="K102" s="1144">
        <f>1.942/K101</f>
        <v>3.8839999999999999</v>
      </c>
      <c r="L102" s="1144">
        <f>1.942/L101</f>
        <v>3.8839999999999999</v>
      </c>
      <c r="M102" s="1144">
        <f>1.942/M101</f>
        <v>3.8839999999999999</v>
      </c>
      <c r="N102" s="1144">
        <f>1.942/N101</f>
        <v>3.8839999999999999</v>
      </c>
    </row>
    <row r="103" spans="1:14">
      <c r="A103" s="3413"/>
      <c r="B103" s="1143">
        <v>2</v>
      </c>
      <c r="C103" s="1144">
        <f>1.4198/C101</f>
        <v>2.8395999999999999</v>
      </c>
      <c r="D103" s="1144">
        <f>1.4198/D101</f>
        <v>2.8395999999999999</v>
      </c>
      <c r="E103" s="1144">
        <f>1.3372/E101</f>
        <v>2.6743999999999999</v>
      </c>
      <c r="F103" s="1144">
        <f>1.3372/F101</f>
        <v>2.6743999999999999</v>
      </c>
      <c r="G103" s="1144">
        <f>1.3372/G101</f>
        <v>2.6743999999999999</v>
      </c>
      <c r="H103" s="1144">
        <f>1.3372/H101</f>
        <v>2.6743999999999999</v>
      </c>
      <c r="I103" s="1144">
        <f>1.3372/I101</f>
        <v>2.6743999999999999</v>
      </c>
      <c r="J103" s="1144">
        <f>1.2799/J101</f>
        <v>2.5598000000000001</v>
      </c>
      <c r="K103" s="1144">
        <f>1.2799/K101</f>
        <v>2.5598000000000001</v>
      </c>
      <c r="L103" s="1144">
        <f>1.2799/L101</f>
        <v>2.5598000000000001</v>
      </c>
      <c r="M103" s="1144">
        <f>1.2799/M101</f>
        <v>2.5598000000000001</v>
      </c>
      <c r="N103" s="1144">
        <f>1.2799/N101</f>
        <v>2.5598000000000001</v>
      </c>
    </row>
    <row r="104" spans="1:14">
      <c r="A104" s="3413"/>
      <c r="B104" s="1143">
        <v>3</v>
      </c>
      <c r="C104" s="1144">
        <f>1.1594/C101</f>
        <v>2.3188</v>
      </c>
      <c r="D104" s="1144">
        <f>1.1594/D101</f>
        <v>2.3188</v>
      </c>
      <c r="E104" s="1144">
        <f>1.0788/E101</f>
        <v>2.1576</v>
      </c>
      <c r="F104" s="1144">
        <f>1.0788/F101</f>
        <v>2.1576</v>
      </c>
      <c r="G104" s="1144">
        <f>1.0788/G101</f>
        <v>2.1576</v>
      </c>
      <c r="H104" s="1144">
        <f>1.0788/H101</f>
        <v>2.1576</v>
      </c>
      <c r="I104" s="1144">
        <f>1.0788/I101</f>
        <v>2.1576</v>
      </c>
      <c r="J104" s="1144">
        <f>1.0072/J101</f>
        <v>2.0144000000000002</v>
      </c>
      <c r="K104" s="1144">
        <f>1.0072/K101</f>
        <v>2.0144000000000002</v>
      </c>
      <c r="L104" s="1144">
        <f>1.0072/L101</f>
        <v>2.0144000000000002</v>
      </c>
      <c r="M104" s="1144">
        <f>1.0072/M101</f>
        <v>2.0144000000000002</v>
      </c>
      <c r="N104" s="1144">
        <f>1.0072/N101</f>
        <v>2.0144000000000002</v>
      </c>
    </row>
    <row r="105" spans="1:14">
      <c r="A105" s="3413"/>
      <c r="B105" s="1143">
        <v>4</v>
      </c>
      <c r="C105" s="1144">
        <f>0.9622/C101</f>
        <v>1.9244000000000001</v>
      </c>
      <c r="D105" s="1144">
        <f>0.9622/D101</f>
        <v>1.9244000000000001</v>
      </c>
      <c r="E105" s="1144">
        <f>0.8656/E101</f>
        <v>1.7312000000000001</v>
      </c>
      <c r="F105" s="1144">
        <f>0.8656/F101</f>
        <v>1.7312000000000001</v>
      </c>
      <c r="G105" s="1144">
        <f>0.8656/G101</f>
        <v>1.7312000000000001</v>
      </c>
      <c r="H105" s="1144">
        <f>0.8656/H101</f>
        <v>1.7312000000000001</v>
      </c>
      <c r="I105" s="1144">
        <f>0.8656/I101</f>
        <v>1.7312000000000001</v>
      </c>
      <c r="J105" s="1144">
        <f>0.7525/J101</f>
        <v>1.5049999999999999</v>
      </c>
      <c r="K105" s="1144">
        <f>0.7525/K101</f>
        <v>1.5049999999999999</v>
      </c>
      <c r="L105" s="1144">
        <f>0.7525/L101</f>
        <v>1.5049999999999999</v>
      </c>
      <c r="M105" s="1144">
        <f>0.7525/M101</f>
        <v>1.5049999999999999</v>
      </c>
      <c r="N105" s="1144">
        <f>0.7525/N101</f>
        <v>1.5049999999999999</v>
      </c>
    </row>
    <row r="106" spans="1:14">
      <c r="A106" s="3413"/>
      <c r="B106" s="1143">
        <v>5</v>
      </c>
      <c r="C106" s="1144">
        <f>0.8417/C101</f>
        <v>1.6834</v>
      </c>
      <c r="D106" s="1144">
        <f>0.8417/D101</f>
        <v>1.6834</v>
      </c>
      <c r="E106" s="1144">
        <f>0.7371/E101</f>
        <v>1.4742</v>
      </c>
      <c r="F106" s="1144">
        <f>0.7371/F101</f>
        <v>1.4742</v>
      </c>
      <c r="G106" s="1144">
        <f>0.7371/G101</f>
        <v>1.4742</v>
      </c>
      <c r="H106" s="1144">
        <f>0.7371/H101</f>
        <v>1.4742</v>
      </c>
      <c r="I106" s="1144">
        <f>0.7371/I101</f>
        <v>1.4742</v>
      </c>
      <c r="J106" s="1144">
        <f>0.5659/J101</f>
        <v>1.1317999999999999</v>
      </c>
      <c r="K106" s="1144">
        <f>0.5659/K101</f>
        <v>1.1317999999999999</v>
      </c>
      <c r="L106" s="1144">
        <f>0.5659/L101</f>
        <v>1.1317999999999999</v>
      </c>
      <c r="M106" s="1144">
        <f>0.5659/M101</f>
        <v>1.1317999999999999</v>
      </c>
      <c r="N106" s="1144">
        <f>0.5659/N101</f>
        <v>1.1317999999999999</v>
      </c>
    </row>
    <row r="107" spans="1:14">
      <c r="A107" s="3413"/>
      <c r="B107" s="1143">
        <v>6</v>
      </c>
      <c r="C107" s="1144">
        <f>0.7608/C101</f>
        <v>1.5216000000000001</v>
      </c>
      <c r="D107" s="1144">
        <f>0.7608/D101</f>
        <v>1.5216000000000001</v>
      </c>
      <c r="E107" s="1144">
        <f>0.6482/E101</f>
        <v>1.2964</v>
      </c>
      <c r="F107" s="1144">
        <f>0.6482/F101</f>
        <v>1.2964</v>
      </c>
      <c r="G107" s="1144">
        <f>0.6482/G101</f>
        <v>1.2964</v>
      </c>
      <c r="H107" s="1144">
        <f>0.6482/H101</f>
        <v>1.2964</v>
      </c>
      <c r="I107" s="1144">
        <f>0.6482/I101</f>
        <v>1.2964</v>
      </c>
      <c r="J107" s="1144">
        <f>0.4525/J101</f>
        <v>0.90500000000000003</v>
      </c>
      <c r="K107" s="1144">
        <f>0.4525/K101</f>
        <v>0.90500000000000003</v>
      </c>
      <c r="L107" s="1144">
        <f>0.4525/L101</f>
        <v>0.90500000000000003</v>
      </c>
      <c r="M107" s="1144">
        <f>0.4525/M101</f>
        <v>0.90500000000000003</v>
      </c>
      <c r="N107" s="1144">
        <f>0.4525/N101</f>
        <v>0.90500000000000003</v>
      </c>
    </row>
    <row r="108" spans="1:14">
      <c r="A108" s="3413"/>
      <c r="B108" s="341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1.5203696</v>
      </c>
      <c r="D109" s="1146">
        <f>(-0.163*(D108^2)-0.59*D108+7617)*(10^(-4))/D101</f>
        <v>1.5203696</v>
      </c>
      <c r="E109" s="1146">
        <f>(-0.161*(E108^2)-7.509*E108+6533)*(10^(-4))/E101</f>
        <v>1.2925248</v>
      </c>
      <c r="F109" s="1146">
        <f>(-0.161*(F108^2)-7.509*F108+6533)*(10^(-4))/F101</f>
        <v>1.2925248</v>
      </c>
      <c r="G109" s="1146">
        <f>(-0.161*(G108^2)-7.509*G108+6533)*(10^(-4))/G101</f>
        <v>1.2925248</v>
      </c>
      <c r="H109" s="1146">
        <f>(-0.161*(H108^2)-7.509*H108+6533)*(10^(-4))/H101</f>
        <v>1.2925248</v>
      </c>
      <c r="I109" s="1146">
        <f>(-0.161*(I108^2)-7.509*I108+6533)*(10^(-4))/I101</f>
        <v>1.2925248</v>
      </c>
      <c r="J109" s="1146">
        <f>(-0.214*(J108^2)-21.991*J108+4665)*(10^(-4))/J101</f>
        <v>0.89507520000000007</v>
      </c>
      <c r="K109" s="1146">
        <f>(-0.214*(K108^2)-21.991*K108+4665)*(10^(-4))/K101</f>
        <v>0.89507520000000007</v>
      </c>
      <c r="L109" s="1146">
        <f>(-0.214*(L108^2)-21.991*L108+4665)*(10^(-4))/L101</f>
        <v>0.89507520000000007</v>
      </c>
      <c r="M109" s="1146">
        <f>(-0.214*(M108^2)-21.991*M108+4665)*(10^(-4))/M101</f>
        <v>0.89507520000000007</v>
      </c>
      <c r="N109" s="1146">
        <f>(-0.214*(N108^2)-21.991*N108+4665)*(10^(-4))/N101</f>
        <v>0.89507520000000007</v>
      </c>
    </row>
    <row r="110" spans="1:14">
      <c r="A110" s="3399" t="s">
        <v>1640</v>
      </c>
      <c r="B110" s="3399"/>
      <c r="C110" s="3399"/>
      <c r="D110" s="3399"/>
      <c r="E110" s="3399"/>
      <c r="F110" s="3399"/>
      <c r="G110" s="3399"/>
      <c r="H110" s="3399"/>
      <c r="I110" s="3399"/>
      <c r="J110" s="3399"/>
      <c r="K110" s="2450"/>
      <c r="L110" s="2450"/>
      <c r="M110" s="2450"/>
      <c r="N110" s="2450"/>
    </row>
    <row r="112" spans="1:14" ht="12.75" thickBot="1"/>
    <row r="113" spans="1:13" ht="25.5" thickBot="1">
      <c r="A113" s="1016" t="s">
        <v>896</v>
      </c>
      <c r="B113" s="2453">
        <f>G3</f>
        <v>0.5</v>
      </c>
      <c r="C113" s="1017" t="s">
        <v>897</v>
      </c>
      <c r="D113" s="1018">
        <f>SUMPRODUCT((A115:A118=F113)*(B114:M114=H113)*B115:M118)</f>
        <v>0.76239999999999997</v>
      </c>
      <c r="E113" s="1019" t="s">
        <v>898</v>
      </c>
      <c r="F113" s="1020" t="str">
        <f>E2</f>
        <v>办公</v>
      </c>
      <c r="G113" s="1019" t="s">
        <v>899</v>
      </c>
      <c r="H113" s="1020" t="str">
        <f>G2</f>
        <v>十级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0.92879999999999996</v>
      </c>
      <c r="C115" s="1030">
        <f>B115</f>
        <v>0.92879999999999996</v>
      </c>
      <c r="D115" s="1030">
        <f>ROUND(0.8331-0.0109*B113,4)</f>
        <v>0.82769999999999999</v>
      </c>
      <c r="E115" s="1030">
        <f>D115</f>
        <v>0.82769999999999999</v>
      </c>
      <c r="F115" s="1030">
        <f>E115</f>
        <v>0.82769999999999999</v>
      </c>
      <c r="G115" s="1030">
        <f>F115</f>
        <v>0.82769999999999999</v>
      </c>
      <c r="H115" s="1030">
        <f>G115</f>
        <v>0.82769999999999999</v>
      </c>
      <c r="I115" s="1030">
        <f>ROUND(0.689-0.0155*B113,4)</f>
        <v>0.68130000000000002</v>
      </c>
      <c r="J115" s="1030">
        <f t="shared" ref="J115:M118" si="33">I115</f>
        <v>0.68130000000000002</v>
      </c>
      <c r="K115" s="1030">
        <f t="shared" si="33"/>
        <v>0.68130000000000002</v>
      </c>
      <c r="L115" s="1030">
        <f t="shared" si="33"/>
        <v>0.68130000000000002</v>
      </c>
      <c r="M115" s="1031">
        <f t="shared" si="33"/>
        <v>0.68130000000000002</v>
      </c>
    </row>
    <row r="116" spans="1:13" ht="12.75">
      <c r="A116" s="1029" t="s">
        <v>901</v>
      </c>
      <c r="B116" s="1030">
        <f>ROUND(0.949-0.012*B113,4)</f>
        <v>0.94299999999999995</v>
      </c>
      <c r="C116" s="1030">
        <f>B116</f>
        <v>0.94299999999999995</v>
      </c>
      <c r="D116" s="1030">
        <f>ROUND(0.8567-0.013*B113,4)</f>
        <v>0.85019999999999996</v>
      </c>
      <c r="E116" s="1030">
        <f t="shared" ref="E116:H117" si="34">D116</f>
        <v>0.85019999999999996</v>
      </c>
      <c r="F116" s="1030">
        <f t="shared" si="34"/>
        <v>0.85019999999999996</v>
      </c>
      <c r="G116" s="1030">
        <f t="shared" si="34"/>
        <v>0.85019999999999996</v>
      </c>
      <c r="H116" s="1030">
        <f t="shared" si="34"/>
        <v>0.85019999999999996</v>
      </c>
      <c r="I116" s="1030">
        <f>ROUND(0.7694-0.014*B113,4)</f>
        <v>0.76239999999999997</v>
      </c>
      <c r="J116" s="1030">
        <f t="shared" si="33"/>
        <v>0.76239999999999997</v>
      </c>
      <c r="K116" s="1030">
        <f t="shared" si="33"/>
        <v>0.76239999999999997</v>
      </c>
      <c r="L116" s="1030">
        <f t="shared" si="33"/>
        <v>0.76239999999999997</v>
      </c>
      <c r="M116" s="1031">
        <f t="shared" si="33"/>
        <v>0.76239999999999997</v>
      </c>
    </row>
    <row r="117" spans="1:13" ht="12.75">
      <c r="A117" s="1032" t="s">
        <v>902</v>
      </c>
      <c r="B117" s="1030">
        <f>ROUND(0.8808-0.006*B113,4)</f>
        <v>0.87780000000000002</v>
      </c>
      <c r="C117" s="1030">
        <f>B117</f>
        <v>0.87780000000000002</v>
      </c>
      <c r="D117" s="1030">
        <f>ROUND(0.8748-0.008*B113,4)</f>
        <v>0.87080000000000002</v>
      </c>
      <c r="E117" s="1030">
        <f t="shared" si="34"/>
        <v>0.87080000000000002</v>
      </c>
      <c r="F117" s="1030">
        <f t="shared" si="34"/>
        <v>0.87080000000000002</v>
      </c>
      <c r="G117" s="1030">
        <f t="shared" si="34"/>
        <v>0.87080000000000002</v>
      </c>
      <c r="H117" s="1030">
        <f t="shared" si="34"/>
        <v>0.87080000000000002</v>
      </c>
      <c r="I117" s="1030">
        <f>ROUND(0.7412-0.0095*B113,4)</f>
        <v>0.73650000000000004</v>
      </c>
      <c r="J117" s="1030">
        <f t="shared" si="33"/>
        <v>0.73650000000000004</v>
      </c>
      <c r="K117" s="1030">
        <f t="shared" si="33"/>
        <v>0.73650000000000004</v>
      </c>
      <c r="L117" s="1030">
        <f t="shared" si="33"/>
        <v>0.73650000000000004</v>
      </c>
      <c r="M117" s="1031">
        <f t="shared" si="33"/>
        <v>0.73650000000000004</v>
      </c>
    </row>
    <row r="118" spans="1:13" ht="13.5" thickBot="1">
      <c r="A118" s="1033" t="s">
        <v>903</v>
      </c>
      <c r="B118" s="1034">
        <f>ROUND(0.7275-0.01*B113,4)</f>
        <v>0.72250000000000003</v>
      </c>
      <c r="C118" s="1034">
        <f>B118</f>
        <v>0.72250000000000003</v>
      </c>
      <c r="D118" s="1034">
        <f>ROUND(0.7043-0.012*B113,4)</f>
        <v>0.69830000000000003</v>
      </c>
      <c r="E118" s="1034">
        <f>D118</f>
        <v>0.69830000000000003</v>
      </c>
      <c r="F118" s="1034">
        <f>E118</f>
        <v>0.69830000000000003</v>
      </c>
      <c r="G118" s="1034">
        <f>ROUND(0.6299-0.0122*B113,4)</f>
        <v>0.62380000000000002</v>
      </c>
      <c r="H118" s="1034">
        <f>G118</f>
        <v>0.62380000000000002</v>
      </c>
      <c r="I118" s="1034">
        <f>ROUND(0.5667-0.0136*B113,4)</f>
        <v>0.55989999999999995</v>
      </c>
      <c r="J118" s="1034">
        <f t="shared" si="33"/>
        <v>0.55989999999999995</v>
      </c>
      <c r="K118" s="1034">
        <f t="shared" si="33"/>
        <v>0.55989999999999995</v>
      </c>
      <c r="L118" s="1034">
        <f t="shared" si="33"/>
        <v>0.55989999999999995</v>
      </c>
      <c r="M118" s="1035">
        <f t="shared" si="33"/>
        <v>0.55989999999999995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2580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2.4767999999999999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1" t="s">
        <v>2082</v>
      </c>
      <c r="B1" s="342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2952</v>
      </c>
      <c r="B1" s="3108"/>
      <c r="C1" s="3108"/>
      <c r="D1" s="3108"/>
      <c r="E1" s="3108"/>
      <c r="F1" s="3108"/>
    </row>
    <row r="2" spans="1:6" ht="14.25">
      <c r="A2" s="3109" t="s">
        <v>2947</v>
      </c>
      <c r="B2" s="3110">
        <f ca="1">SUMIF(B7:B14,"&lt;&gt;#ref!",B7:B14)</f>
        <v>89</v>
      </c>
      <c r="C2" s="3109" t="s">
        <v>2948</v>
      </c>
      <c r="D2" s="3108"/>
      <c r="E2" s="3108"/>
      <c r="F2" s="3108"/>
    </row>
    <row r="3" spans="1:6" ht="14.25">
      <c r="A3" s="3109" t="s">
        <v>2981</v>
      </c>
      <c r="B3" s="3110">
        <f ca="1">ROUND(B2*10000/E3,0)</f>
        <v>6980</v>
      </c>
      <c r="C3" s="3109" t="s">
        <v>2081</v>
      </c>
      <c r="D3" s="3109" t="s">
        <v>2949</v>
      </c>
      <c r="E3" s="3110">
        <f ca="1">SUMIF(E7:E14,"&lt;&gt;#ref!",E7:E14)</f>
        <v>127.5</v>
      </c>
      <c r="F3" s="3108"/>
    </row>
    <row r="4" spans="1:6" ht="14.25">
      <c r="A4" s="3109" t="s">
        <v>2956</v>
      </c>
      <c r="B4" s="3110">
        <f ca="1">ROUND(B2*10000/E4,0)</f>
        <v>3490</v>
      </c>
      <c r="C4" s="3109" t="s">
        <v>2081</v>
      </c>
      <c r="D4" s="3109" t="s">
        <v>2957</v>
      </c>
      <c r="E4" s="3110">
        <f ca="1">SUMIF(F7:F14,"&lt;&gt;#ref!",F7:F14)</f>
        <v>255</v>
      </c>
      <c r="F4" s="3108"/>
    </row>
    <row r="5" spans="1:6" ht="14.25">
      <c r="A5" s="3111"/>
      <c r="B5" s="1883"/>
      <c r="C5" s="1883"/>
      <c r="D5" s="1883"/>
      <c r="E5" s="1883"/>
      <c r="F5" s="3108"/>
    </row>
    <row r="6" spans="1:6" ht="28.5">
      <c r="A6" s="3112" t="s">
        <v>2953</v>
      </c>
      <c r="B6" s="3109" t="s">
        <v>2950</v>
      </c>
      <c r="C6" s="3110"/>
      <c r="D6" s="1883"/>
      <c r="E6" s="3109" t="s">
        <v>2951</v>
      </c>
      <c r="F6" s="3109" t="s">
        <v>2955</v>
      </c>
    </row>
    <row r="7" spans="1:6" ht="14.25">
      <c r="A7" s="260" t="s">
        <v>2954</v>
      </c>
      <c r="B7" s="3113">
        <f ca="1">SUMIF(INDIRECT("'"&amp;A7&amp;"'"&amp;"!A:A"),"总价",INDIRECT("'"&amp;A7&amp;"'"&amp;"!B:B"))</f>
        <v>89</v>
      </c>
      <c r="C7" s="3109" t="s">
        <v>2948</v>
      </c>
      <c r="D7" s="1883"/>
      <c r="E7" s="3114">
        <f ca="1">SUMIF(INDIRECT("'"&amp;A7&amp;"'"&amp;"!C:C"),"建筑面积",INDIRECT("'"&amp;A7&amp;"'"&amp;"!D:D"))</f>
        <v>127.5</v>
      </c>
      <c r="F7" s="3114">
        <f ca="1">SUMIF(INDIRECT("'"&amp;A7&amp;"'"&amp;"!E:E"),"土地面积",INDIRECT("'"&amp;A7&amp;"'"&amp;"!F:F"))</f>
        <v>255</v>
      </c>
    </row>
    <row r="8" spans="1:6" ht="14.25">
      <c r="A8" s="260"/>
      <c r="B8" s="3113" t="e">
        <f t="shared" ref="B8:B14" ca="1" si="0">SUMIF(INDIRECT("'"&amp;A8&amp;"'"&amp;"!A:A"),"总价",INDIRECT("'"&amp;A8&amp;"'"&amp;"!B:B"))</f>
        <v>#REF!</v>
      </c>
      <c r="C8" s="3109" t="s">
        <v>2948</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2948</v>
      </c>
      <c r="D9" s="1883"/>
      <c r="E9" s="3114" t="e">
        <f t="shared" ca="1" si="1"/>
        <v>#REF!</v>
      </c>
      <c r="F9" s="3114" t="e">
        <f t="shared" ca="1" si="2"/>
        <v>#REF!</v>
      </c>
    </row>
    <row r="10" spans="1:6" ht="14.25">
      <c r="A10" s="260"/>
      <c r="B10" s="3113" t="e">
        <f t="shared" ca="1" si="0"/>
        <v>#REF!</v>
      </c>
      <c r="C10" s="3109" t="s">
        <v>2948</v>
      </c>
      <c r="D10" s="1883"/>
      <c r="E10" s="3114" t="e">
        <f t="shared" ca="1" si="1"/>
        <v>#REF!</v>
      </c>
      <c r="F10" s="3114" t="e">
        <f t="shared" ca="1" si="2"/>
        <v>#REF!</v>
      </c>
    </row>
    <row r="11" spans="1:6" ht="14.25">
      <c r="A11" s="260"/>
      <c r="B11" s="3113" t="e">
        <f t="shared" ca="1" si="0"/>
        <v>#REF!</v>
      </c>
      <c r="C11" s="3109" t="s">
        <v>2948</v>
      </c>
      <c r="D11" s="1883"/>
      <c r="E11" s="3114" t="e">
        <f t="shared" ca="1" si="1"/>
        <v>#REF!</v>
      </c>
      <c r="F11" s="3114" t="e">
        <f t="shared" ca="1" si="2"/>
        <v>#REF!</v>
      </c>
    </row>
    <row r="12" spans="1:6" ht="14.25">
      <c r="A12" s="260"/>
      <c r="B12" s="3113" t="e">
        <f t="shared" ca="1" si="0"/>
        <v>#REF!</v>
      </c>
      <c r="C12" s="3109" t="s">
        <v>2948</v>
      </c>
      <c r="D12" s="1883"/>
      <c r="E12" s="3114" t="e">
        <f t="shared" ca="1" si="1"/>
        <v>#REF!</v>
      </c>
      <c r="F12" s="3114" t="e">
        <f t="shared" ca="1" si="2"/>
        <v>#REF!</v>
      </c>
    </row>
    <row r="13" spans="1:6" ht="14.25">
      <c r="A13" s="260"/>
      <c r="B13" s="3113" t="e">
        <f t="shared" ca="1" si="0"/>
        <v>#REF!</v>
      </c>
      <c r="C13" s="3109" t="s">
        <v>2948</v>
      </c>
      <c r="D13" s="1883"/>
      <c r="E13" s="3114" t="e">
        <f t="shared" ca="1" si="1"/>
        <v>#REF!</v>
      </c>
      <c r="F13" s="3114" t="e">
        <f t="shared" ca="1" si="2"/>
        <v>#REF!</v>
      </c>
    </row>
    <row r="14" spans="1:6" ht="14.25">
      <c r="A14" s="3107"/>
      <c r="B14" s="3113" t="e">
        <f t="shared" ca="1" si="0"/>
        <v>#REF!</v>
      </c>
      <c r="C14" s="3109" t="s">
        <v>2948</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0</v>
      </c>
      <c r="G1" s="774">
        <f>MATCH(C1,'数据-取费表'!A6:A16,0)+5</f>
        <v>6</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t="e">
        <f ca="1">ROUND(B2*10000/'数据-汇总表'!E3,0)</f>
        <v>#DIV/0!</v>
      </c>
      <c r="C3" s="1351"/>
      <c r="D3" s="2057"/>
      <c r="E3" s="2058"/>
      <c r="F3" s="2058"/>
      <c r="G3" s="1591"/>
      <c r="H3" s="776" t="s">
        <v>695</v>
      </c>
      <c r="I3" s="2059"/>
      <c r="J3" s="2059"/>
      <c r="K3" s="2060"/>
      <c r="L3" s="2059"/>
      <c r="M3" s="2059"/>
    </row>
    <row r="4" spans="1:25" ht="18" customHeight="1">
      <c r="A4" s="1647" t="s">
        <v>696</v>
      </c>
      <c r="B4" s="1352" t="e">
        <f ca="1">ROUND(B2*10000/'数据-汇总表'!D3,0)</f>
        <v>#DIV/0!</v>
      </c>
      <c r="C4" s="428"/>
      <c r="D4" s="2057"/>
      <c r="E4" s="2058"/>
      <c r="F4" s="2058"/>
      <c r="G4" s="1591"/>
      <c r="H4" s="776"/>
      <c r="I4" s="2059"/>
      <c r="J4" s="2059"/>
      <c r="K4" s="2060"/>
      <c r="L4" s="2059"/>
      <c r="M4" s="2059"/>
    </row>
    <row r="5" spans="1:25" ht="18" customHeight="1" thickBot="1">
      <c r="A5" s="1648"/>
      <c r="B5" s="430" t="e">
        <f ca="1">ROUND(B2/('数据-汇总表'!D3/666.67),0)</f>
        <v>#DIV/0!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23" t="s">
        <v>2466</v>
      </c>
      <c r="C8" s="1827">
        <f ca="1">ROUND(F8*F10*F9*(1-F11)/10000,0)</f>
        <v>0</v>
      </c>
      <c r="D8" s="1824" t="s">
        <v>2537</v>
      </c>
      <c r="E8" s="61" t="s">
        <v>637</v>
      </c>
      <c r="F8" s="785">
        <f ca="1">INDIRECT("'数据-取费表'!u"&amp;$G$1)</f>
        <v>0</v>
      </c>
      <c r="G8" s="1593"/>
      <c r="H8" s="2506" t="s">
        <v>1825</v>
      </c>
      <c r="I8" s="3423" t="s">
        <v>2466</v>
      </c>
      <c r="J8" s="783">
        <f ca="1">ROUND(M8*M10*M9*(1-M11)/10000,0)</f>
        <v>0</v>
      </c>
      <c r="K8" s="341" t="s">
        <v>2537</v>
      </c>
      <c r="L8" s="784" t="s">
        <v>1739</v>
      </c>
      <c r="M8" s="785">
        <f ca="1">INDIRECT("'数据-取费表'!z"&amp;$G$1)</f>
        <v>0</v>
      </c>
    </row>
    <row r="9" spans="1:25" ht="18" customHeight="1">
      <c r="A9" s="2502"/>
      <c r="B9" s="3424"/>
      <c r="C9" s="1828"/>
      <c r="D9" s="1825"/>
      <c r="E9" s="61" t="s">
        <v>638</v>
      </c>
      <c r="F9" s="785">
        <f ca="1">IF(INDIRECT("'数据-取费表'!ah"&amp;$G$1)="",INDIRECT("'数据-取费表'!k"&amp;$G$1),INDIRECT("'数据-取费表'!ah"&amp;$G$1))</f>
        <v>0</v>
      </c>
      <c r="G9" s="1593"/>
      <c r="H9" s="2491"/>
      <c r="I9" s="3424"/>
      <c r="J9" s="788"/>
      <c r="K9" s="789"/>
      <c r="L9" s="784" t="s">
        <v>1740</v>
      </c>
      <c r="M9" s="785">
        <f ca="1">F9</f>
        <v>0</v>
      </c>
    </row>
    <row r="10" spans="1:25" ht="18" customHeight="1">
      <c r="A10" s="2495"/>
      <c r="B10" s="3425"/>
      <c r="C10" s="1828"/>
      <c r="D10" s="1825"/>
      <c r="E10" s="61" t="s">
        <v>639</v>
      </c>
      <c r="F10" s="785">
        <f ca="1">INDIRECT("'数据-取费表'!ai"&amp;$G$1)</f>
        <v>0</v>
      </c>
      <c r="G10" s="1593"/>
      <c r="H10" s="2491"/>
      <c r="I10" s="3425"/>
      <c r="J10" s="788"/>
      <c r="K10" s="789"/>
      <c r="L10" s="784" t="s">
        <v>1741</v>
      </c>
      <c r="M10" s="785">
        <f ca="1">INDIRECT("'数据-取费表'!ai"&amp;$G$1)</f>
        <v>0</v>
      </c>
    </row>
    <row r="11" spans="1:25" ht="18" customHeight="1">
      <c r="A11" s="786"/>
      <c r="B11" s="3426"/>
      <c r="C11" s="1828"/>
      <c r="D11" s="1825"/>
      <c r="E11" s="61" t="s">
        <v>640</v>
      </c>
      <c r="F11" s="794">
        <f ca="1">INDIRECT("'数据-取费表'!w"&amp;$G$1)</f>
        <v>0</v>
      </c>
      <c r="G11" s="1593"/>
      <c r="H11" s="2507"/>
      <c r="I11" s="3425"/>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2977</v>
      </c>
      <c r="E12" s="2500" t="s">
        <v>2467</v>
      </c>
      <c r="F12" s="2623"/>
      <c r="G12" s="1593"/>
      <c r="H12" s="2563" t="s">
        <v>1826</v>
      </c>
      <c r="I12" s="2568" t="s">
        <v>2462</v>
      </c>
      <c r="J12" s="783">
        <f ca="1">ROUND(IF(M12="押一",J8/12*M13,IF(M12="押二",J8/12*2*M13,IF(M12="押三",J8/12*3*M13,J13*M13))),0)</f>
        <v>0</v>
      </c>
      <c r="K12" s="2503" t="s">
        <v>2977</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t="e">
        <f ca="1">ROUND(C31*F15,0)</f>
        <v>#VALUE!</v>
      </c>
      <c r="D15" s="1836" t="s">
        <v>642</v>
      </c>
      <c r="E15" s="795" t="s">
        <v>643</v>
      </c>
      <c r="F15" s="800">
        <f ca="1">INDIRECT("'数据-取费表'!y"&amp;$G$1)</f>
        <v>0</v>
      </c>
      <c r="G15" s="1593"/>
      <c r="H15" s="1831" t="s">
        <v>1827</v>
      </c>
      <c r="I15" s="1829" t="s">
        <v>644</v>
      </c>
      <c r="J15" s="1821" t="e">
        <f ca="1">ROUND(J16*J17,0)</f>
        <v>#VALUE!</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t="e">
        <f ca="1">C31</f>
        <v>#VALUE!</v>
      </c>
      <c r="K16" s="26"/>
      <c r="L16" s="801"/>
      <c r="M16" s="802"/>
    </row>
    <row r="17" spans="1:25" s="2066" customFormat="1" ht="18" customHeight="1">
      <c r="A17" s="803" t="s">
        <v>1850</v>
      </c>
      <c r="B17" s="784" t="s">
        <v>647</v>
      </c>
      <c r="C17" s="53">
        <f ca="1">ROUND(C16*F17,0)</f>
        <v>0</v>
      </c>
      <c r="D17" s="806" t="s">
        <v>648</v>
      </c>
      <c r="E17" s="806" t="s">
        <v>649</v>
      </c>
      <c r="F17" s="807">
        <f>'数据-取费表'!B33</f>
        <v>0</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t="e">
        <f ca="1">ROUND(J19+J24+J25+J26,0)</f>
        <v>#VALUE!</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0</v>
      </c>
      <c r="G19" s="1594"/>
      <c r="H19" s="803" t="s">
        <v>2072</v>
      </c>
      <c r="I19" s="784" t="s">
        <v>656</v>
      </c>
      <c r="J19" s="53" t="e">
        <f ca="1">ROUND(IF(项目基本情况!B11="自然人",J7*M19,J20+J21+J22),0)</f>
        <v>#VALUE!</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0</v>
      </c>
      <c r="G20" s="1594"/>
      <c r="H20" s="803" t="s">
        <v>1832</v>
      </c>
      <c r="I20" s="784" t="s">
        <v>660</v>
      </c>
      <c r="J20" s="53">
        <f ca="1">ROUND(J7*M20/1.05,1)</f>
        <v>0</v>
      </c>
      <c r="K20" s="1979" t="s">
        <v>661</v>
      </c>
      <c r="L20" s="784" t="s">
        <v>649</v>
      </c>
      <c r="M20" s="809">
        <f>'数据-取费表'!B41</f>
        <v>0</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t="e">
        <f ca="1">IF(K21="按租金收入计税",ROUND(J7*M21,1),ROUND(C31*F35*0.7,1))</f>
        <v>#VALUE!</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v>
      </c>
      <c r="G22" s="1594"/>
      <c r="H22" s="1834" t="s">
        <v>1851</v>
      </c>
      <c r="I22" s="1824" t="s">
        <v>668</v>
      </c>
      <c r="J22" s="54">
        <f ca="1">ROUND(M22*M23/10000,0)</f>
        <v>0</v>
      </c>
      <c r="K22" s="814" t="s">
        <v>669</v>
      </c>
      <c r="L22" s="784" t="s">
        <v>670</v>
      </c>
      <c r="M22" s="640">
        <f>'数据-取费表'!B52</f>
        <v>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t="e">
        <f ca="1">ROUND(J16*M24,0)</f>
        <v>#VALUE!</v>
      </c>
      <c r="K24" s="1979" t="s">
        <v>677</v>
      </c>
      <c r="L24" s="784" t="s">
        <v>649</v>
      </c>
      <c r="M24" s="817">
        <f ca="1">INDIRECT("'数据-取费表'!Ak"&amp;$G$1)</f>
        <v>0</v>
      </c>
    </row>
    <row r="25" spans="1:25" s="2066" customFormat="1" ht="18" customHeight="1">
      <c r="A25" s="803" t="s">
        <v>1876</v>
      </c>
      <c r="B25" s="784" t="s">
        <v>2440</v>
      </c>
      <c r="C25" s="53" t="e">
        <f ca="1">ROUND(IF('数据-取费表'!B22&lt;=1,(C21+C22)*F26*F25/2,(C21+C22)*(POWER((1+F26),F25/2)-1)),0)</f>
        <v>#VALUE!</v>
      </c>
      <c r="D25" s="2573" t="str">
        <f>IF(F25&lt;=1,"(建造成本+管理费用)×利率×(建设周期÷2)","(建造成本+管理费用)×((1+利率)^(建设周期÷2)-1)")</f>
        <v>(建造成本+管理费用)×利率×(建设周期÷2)</v>
      </c>
      <c r="E25" s="784" t="s">
        <v>678</v>
      </c>
      <c r="F25" s="640">
        <f>'数据-取费表'!B20</f>
        <v>0</v>
      </c>
      <c r="G25" s="1594"/>
      <c r="H25" s="803" t="s">
        <v>1879</v>
      </c>
      <c r="I25" s="784" t="s">
        <v>679</v>
      </c>
      <c r="J25" s="53" t="e">
        <f ca="1">ROUND(J15*M25,0)</f>
        <v>#VALUE!</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t="e">
        <f ca="1">ROUND(IF('数据-取费表'!B22&lt;=1,F23*F26*F25/2,F23*(POWER((1+F26),F25/2)-1)),4)</f>
        <v>#VALUE!</v>
      </c>
      <c r="D26" s="2573" t="str">
        <f>IF(F25&lt;=1,"销售费用×利率×(建设周期÷2)","销售费用×((1+利率)^(建设周期÷2)-1)")</f>
        <v>销售费用×利率×(建设周期÷2)</v>
      </c>
      <c r="E26" s="784" t="s">
        <v>682</v>
      </c>
      <c r="F26" s="819" t="e">
        <f ca="1">'数据-取费表'!B40</f>
        <v>#VALUE!</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t="e">
        <f ca="1">J7-J18</f>
        <v>#VALUE!</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0</v>
      </c>
      <c r="D30" s="812" t="s">
        <v>709</v>
      </c>
      <c r="E30" s="784" t="s">
        <v>649</v>
      </c>
      <c r="F30" s="809">
        <f>'数据-取费表'!B41</f>
        <v>0</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t="e">
        <f ca="1">ROUND((C21+C22+C25+C28)/(1-F23-C26-C29-C30),0)</f>
        <v>#VALUE!</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t="e">
        <f ca="1">ROUND(C33+C38+C39+C40,0)</f>
        <v>#VALUE!</v>
      </c>
      <c r="D32" s="1823" t="s">
        <v>652</v>
      </c>
      <c r="E32" s="2489"/>
      <c r="F32" s="2493"/>
      <c r="G32" s="2064"/>
      <c r="H32" s="2067"/>
      <c r="I32" s="2068"/>
      <c r="J32" s="2069"/>
      <c r="K32" s="2070"/>
      <c r="L32" s="2071"/>
      <c r="M32" s="2072"/>
    </row>
    <row r="33" spans="1:18" ht="18" customHeight="1">
      <c r="A33" s="803" t="s">
        <v>1877</v>
      </c>
      <c r="B33" s="784" t="s">
        <v>656</v>
      </c>
      <c r="C33" s="53" t="e">
        <f ca="1">ROUND(IF(项目基本情况!B11="自然人",C7*F33,C34+C35+C36),1)</f>
        <v>#VALUE!</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0</v>
      </c>
      <c r="G34" s="2064"/>
      <c r="H34" s="2073"/>
      <c r="I34" s="2074"/>
      <c r="J34" s="2075"/>
      <c r="K34" s="2076"/>
      <c r="L34" s="2077"/>
      <c r="M34" s="2078"/>
    </row>
    <row r="35" spans="1:18" ht="18" customHeight="1">
      <c r="A35" s="803" t="s">
        <v>1850</v>
      </c>
      <c r="B35" s="784" t="s">
        <v>664</v>
      </c>
      <c r="C35" s="53" t="e">
        <f ca="1">IF(D35="按租金收入计税",ROUND(C7*F35,1),IF(D35="按房产原值计税",ROUND(C31*F35*0.7,1),INDIRECT("'数据-取费表'!Aj"&amp;$G$1)))</f>
        <v>#VALUE!</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0</v>
      </c>
      <c r="G36" s="2064"/>
      <c r="H36" s="2067"/>
      <c r="I36" s="3422"/>
      <c r="J36" s="2081"/>
      <c r="K36" s="2082"/>
      <c r="L36" s="2081"/>
      <c r="M36" s="2081"/>
    </row>
    <row r="37" spans="1:18" ht="18" customHeight="1">
      <c r="A37" s="815"/>
      <c r="B37" s="793"/>
      <c r="C37" s="69"/>
      <c r="D37" s="816"/>
      <c r="E37" s="784" t="s">
        <v>674</v>
      </c>
      <c r="F37" s="785">
        <f ca="1">INDIRECT("'数据-取费表'!r"&amp;$G$1)</f>
        <v>0</v>
      </c>
      <c r="G37" s="2064"/>
      <c r="H37" s="2067"/>
      <c r="I37" s="3422"/>
      <c r="J37" s="2079"/>
      <c r="K37" s="2080"/>
      <c r="L37" s="2079"/>
      <c r="M37" s="2079"/>
    </row>
    <row r="38" spans="1:18" ht="18" customHeight="1">
      <c r="A38" s="803" t="s">
        <v>1878</v>
      </c>
      <c r="B38" s="784" t="s">
        <v>676</v>
      </c>
      <c r="C38" s="53" t="e">
        <f ca="1">ROUND(C31*F38,1)</f>
        <v>#VALUE!</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t="e">
        <f ca="1">ROUND(C15*F39,1)</f>
        <v>#VALUE!</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t="e">
        <f ca="1">C7-C32</f>
        <v>#VALUE!</v>
      </c>
      <c r="D42" s="1981" t="s">
        <v>694</v>
      </c>
      <c r="E42" s="1983"/>
      <c r="F42" s="820"/>
      <c r="G42" s="2064"/>
      <c r="H42" s="2064"/>
      <c r="I42" s="2064"/>
      <c r="J42" s="2064"/>
      <c r="K42" s="2085"/>
      <c r="L42" s="2064"/>
      <c r="M42" s="2064"/>
    </row>
    <row r="43" spans="1:18" ht="18" customHeight="1">
      <c r="A43" s="803" t="s">
        <v>1878</v>
      </c>
      <c r="B43" s="835" t="s">
        <v>711</v>
      </c>
      <c r="C43" s="836" t="e">
        <f ca="1">ROUND(C15*F43,0)</f>
        <v>#VALUE!</v>
      </c>
      <c r="D43" s="1356" t="s">
        <v>712</v>
      </c>
      <c r="E43" s="3125" t="s">
        <v>2965</v>
      </c>
      <c r="F43" s="3126">
        <f ca="1">INDIRECT("'数据-取费表'!j"&amp;$G$1)</f>
        <v>0</v>
      </c>
      <c r="G43" s="2064"/>
      <c r="H43" s="2064"/>
      <c r="I43" s="2064"/>
      <c r="J43" s="2064"/>
      <c r="K43" s="2085"/>
      <c r="L43" s="2064"/>
      <c r="M43" s="2064"/>
    </row>
    <row r="44" spans="1:18" ht="18" customHeight="1">
      <c r="A44" s="803" t="s">
        <v>1879</v>
      </c>
      <c r="B44" s="835" t="s">
        <v>713</v>
      </c>
      <c r="C44" s="1357" t="e">
        <f ca="1">C42-C43</f>
        <v>#VALUE!</v>
      </c>
      <c r="D44" s="463" t="s">
        <v>714</v>
      </c>
      <c r="E44" s="464"/>
      <c r="F44" s="465"/>
      <c r="G44" s="2064"/>
      <c r="H44" s="2064"/>
      <c r="I44" s="2064"/>
      <c r="J44" s="2064"/>
      <c r="K44" s="2085"/>
      <c r="L44" s="2064"/>
      <c r="M44" s="2064"/>
    </row>
    <row r="45" spans="1:18" ht="18" customHeight="1">
      <c r="A45" s="803" t="s">
        <v>1880</v>
      </c>
      <c r="B45" s="1356" t="s">
        <v>715</v>
      </c>
      <c r="C45" s="3040" t="e">
        <f ca="1">ROUND(-PV(F45,F46,C44,0),0)</f>
        <v>#VALUE!</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e">
        <f ca="1">IF(M48="住宅",0,IF(L49&gt;J52,L61,J61))</f>
        <v>#DIV/0!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50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30.25</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t="e">
        <f ca="1">C31</f>
        <v>#VALUE!</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2982</v>
      </c>
      <c r="J54" s="3159">
        <f ca="1">IF(M48="住宅",MAX(J52,L49-'数据-取费表'!B20),MIN(J52,L49-'数据-取费表'!B20))</f>
        <v>0</v>
      </c>
      <c r="K54" s="3427"/>
      <c r="L54" s="3428"/>
      <c r="O54" s="2403" t="s">
        <v>2391</v>
      </c>
      <c r="P54" s="2401" t="s">
        <v>2392</v>
      </c>
      <c r="Q54" s="2402">
        <f ca="1">J54</f>
        <v>0</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30.25</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2945</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t="e">
        <f ca="1">ROUND(Q71-Q72*Q73,0)</f>
        <v>#VALUE!</v>
      </c>
      <c r="R70" s="2405"/>
    </row>
    <row r="71" spans="1:18" s="2061" customFormat="1" ht="15.75" thickBot="1">
      <c r="A71" s="2098"/>
      <c r="B71" s="2099"/>
      <c r="C71" s="2099"/>
      <c r="K71" s="2088"/>
      <c r="O71" s="2403" t="s">
        <v>2402</v>
      </c>
      <c r="P71" s="2409" t="s">
        <v>2403</v>
      </c>
      <c r="Q71" s="2402" t="e">
        <f ca="1">C42</f>
        <v>#VALUE!</v>
      </c>
      <c r="R71" s="2401" t="s">
        <v>2383</v>
      </c>
    </row>
    <row r="72" spans="1:18" s="2061" customFormat="1" ht="15.75" thickBot="1">
      <c r="A72" s="2098"/>
      <c r="B72" s="2099"/>
      <c r="C72" s="2099"/>
      <c r="K72" s="2088"/>
      <c r="O72" s="2403" t="s">
        <v>2404</v>
      </c>
      <c r="P72" s="2409" t="s">
        <v>2405</v>
      </c>
      <c r="Q72" s="2402" t="e">
        <f ca="1">C15</f>
        <v>#VALUE!</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5" sqref="I5"/>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31" t="s">
        <v>2579</v>
      </c>
      <c r="C1" s="3431"/>
      <c r="D1" s="3431"/>
      <c r="E1" s="3431"/>
      <c r="F1" s="3431"/>
      <c r="G1" s="3430" t="s">
        <v>2580</v>
      </c>
      <c r="H1" s="3430"/>
      <c r="I1" s="3430"/>
      <c r="J1" s="3430"/>
      <c r="K1" s="3430"/>
      <c r="L1" s="3430"/>
      <c r="N1" s="3430" t="s">
        <v>2581</v>
      </c>
      <c r="O1" s="3430"/>
      <c r="P1" s="3430"/>
      <c r="Q1" s="3430"/>
      <c r="R1" s="2656"/>
      <c r="S1" s="3430" t="s">
        <v>2582</v>
      </c>
      <c r="T1" s="3430"/>
      <c r="U1" s="3430"/>
      <c r="V1" s="3430"/>
      <c r="X1" s="3429" t="s">
        <v>2642</v>
      </c>
      <c r="Y1" s="3430"/>
      <c r="Z1" s="3430"/>
      <c r="AA1" s="3430"/>
      <c r="AB1" s="3430"/>
      <c r="AD1" s="3429" t="s">
        <v>2646</v>
      </c>
      <c r="AE1" s="3430"/>
      <c r="AF1" s="3430"/>
      <c r="AG1" s="3430"/>
      <c r="AH1" s="3430"/>
    </row>
    <row r="2" spans="1:34" s="2758" customFormat="1" ht="14.25" thickBot="1">
      <c r="B2" s="2766" t="s">
        <v>2583</v>
      </c>
      <c r="C2" s="2766" t="s">
        <v>2644</v>
      </c>
      <c r="D2" s="2759" t="s">
        <v>1645</v>
      </c>
      <c r="E2" s="2759" t="s">
        <v>1952</v>
      </c>
      <c r="F2" s="2766" t="s">
        <v>2645</v>
      </c>
      <c r="G2" s="2762"/>
      <c r="H2" s="2761"/>
      <c r="I2" s="2766" t="s">
        <v>2959</v>
      </c>
      <c r="J2" s="2759" t="s">
        <v>2961</v>
      </c>
      <c r="K2" s="2759" t="s">
        <v>2962</v>
      </c>
      <c r="L2" s="2766" t="s">
        <v>2963</v>
      </c>
      <c r="N2" s="2766" t="s">
        <v>2583</v>
      </c>
      <c r="O2" s="2759" t="s">
        <v>2960</v>
      </c>
      <c r="P2" s="2759" t="s">
        <v>1952</v>
      </c>
      <c r="Q2" s="2766" t="s">
        <v>2645</v>
      </c>
      <c r="R2" s="2760"/>
      <c r="S2" s="2766" t="s">
        <v>2583</v>
      </c>
      <c r="T2" s="2759" t="s">
        <v>2960</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2972</v>
      </c>
      <c r="B3" s="3138"/>
      <c r="C3" s="3138"/>
      <c r="D3" s="3139"/>
      <c r="E3" s="3139"/>
      <c r="F3" s="3138"/>
      <c r="G3" s="3140"/>
      <c r="H3" s="3141"/>
      <c r="I3" s="3148">
        <f>ROUND(AVERAGE($I8:$I23),2)</f>
        <v>2.4500000000000002</v>
      </c>
      <c r="J3" s="3148">
        <f>ROUND(AVERAGE($J8:$J23),2)</f>
        <v>1.65</v>
      </c>
      <c r="K3" s="3148">
        <f>ROUND(AVERAGE($K8:$K23),2)</f>
        <v>2.71</v>
      </c>
      <c r="L3" s="3148">
        <f>ROUND(AVERAGE($L8:$L23),2)</f>
        <v>1.39</v>
      </c>
      <c r="N3" s="3140"/>
      <c r="O3" s="3142"/>
      <c r="P3" s="3142"/>
      <c r="Q3" s="3142"/>
      <c r="R3" s="3142"/>
      <c r="S3" s="3140"/>
      <c r="T3" s="3142"/>
      <c r="U3" s="3142"/>
      <c r="V3" s="3142"/>
      <c r="W3" s="3145"/>
      <c r="X3" s="3143">
        <f>ROUND(SUMPRODUCT(PRODUCT(1+N3:N$22)),4)</f>
        <v>1.4953000000000001</v>
      </c>
      <c r="Y3" s="3143">
        <f>ROUND(SUMPRODUCT(PRODUCT(1+O3:O$22)),4)</f>
        <v>1.3178000000000001</v>
      </c>
      <c r="Z3" s="3143">
        <f t="shared" ref="Z3:Z20" si="0">Y3</f>
        <v>1.3178000000000001</v>
      </c>
      <c r="AA3" s="3143">
        <f>ROUND(SUMPRODUCT(PRODUCT(1+P3:P$22)),4)</f>
        <v>1.5548999999999999</v>
      </c>
      <c r="AB3" s="3143">
        <f>ROUND(SUMPRODUCT(PRODUCT(1+Q3:Q$22)),4)</f>
        <v>1.3177000000000001</v>
      </c>
      <c r="AD3" s="3144">
        <f>ROUND(AVERAGE(I3:I$23)/100,4)</f>
        <v>2.3099999999999999E-2</v>
      </c>
      <c r="AE3" s="3144">
        <f>ROUND(AVERAGE(J3:J$23)/100,4)</f>
        <v>1.5900000000000001E-2</v>
      </c>
      <c r="AF3" s="3144">
        <f t="shared" ref="AF3:AF21" si="1">AE3</f>
        <v>1.5900000000000001E-2</v>
      </c>
      <c r="AG3" s="3144">
        <f>ROUND(AVERAGE(K3:K$23)/100,4)</f>
        <v>2.5499999999999998E-2</v>
      </c>
      <c r="AH3" s="3144">
        <f>ROUND(AVERAGE(L3:L$23)/100,4)</f>
        <v>1.5299999999999999E-2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2983</v>
      </c>
      <c r="B5" s="2797">
        <f>B6*(1+N5)</f>
        <v>459.86671665062988</v>
      </c>
      <c r="C5" s="2797">
        <f t="shared" ref="C5" si="2">C6*(1+O5)</f>
        <v>339.70806021734404</v>
      </c>
      <c r="D5" s="2797">
        <f t="shared" ref="D5" si="3">C5</f>
        <v>339.70806021734404</v>
      </c>
      <c r="E5" s="2797">
        <f t="shared" ref="E5" si="4">E6*(1+P5)</f>
        <v>657.58002775819193</v>
      </c>
      <c r="F5" s="2797">
        <f t="shared" ref="F5" si="5">F6*(1+Q5)</f>
        <v>302.94816250628804</v>
      </c>
      <c r="G5" s="2757">
        <v>2018</v>
      </c>
      <c r="H5" s="3117">
        <v>3</v>
      </c>
      <c r="I5" s="3131">
        <v>1.49</v>
      </c>
      <c r="J5" s="3131">
        <v>0.96</v>
      </c>
      <c r="K5" s="3131">
        <v>1.58</v>
      </c>
      <c r="L5" s="3131">
        <v>2.44</v>
      </c>
      <c r="N5" s="2764">
        <f t="shared" ref="N5" si="6">I5/100</f>
        <v>1.49E-2</v>
      </c>
      <c r="O5" s="2764">
        <f t="shared" ref="O5" si="7">J5/100</f>
        <v>9.5999999999999992E-3</v>
      </c>
      <c r="P5" s="2764">
        <f t="shared" ref="P5" si="8">K5/100</f>
        <v>1.5800000000000002E-2</v>
      </c>
      <c r="Q5" s="2764">
        <f t="shared" ref="Q5" si="9">L5/100</f>
        <v>2.4399999999999998E-2</v>
      </c>
      <c r="R5" s="3119"/>
      <c r="S5" s="3120"/>
      <c r="T5" s="3119"/>
      <c r="U5" s="3119"/>
      <c r="V5" s="3119"/>
      <c r="W5" s="3147" t="s">
        <v>2973</v>
      </c>
      <c r="X5" s="3121">
        <f>ROUND(SUMPRODUCT(PRODUCT(1+N5:N$22)),4)</f>
        <v>1.4953000000000001</v>
      </c>
      <c r="Y5" s="3121">
        <f>ROUND(SUMPRODUCT(PRODUCT(1+O5:O$22)),4)</f>
        <v>1.3178000000000001</v>
      </c>
      <c r="Z5" s="3121">
        <f t="shared" ref="Z5" si="10">Y5</f>
        <v>1.3178000000000001</v>
      </c>
      <c r="AA5" s="3121">
        <f>ROUND(SUMPRODUCT(PRODUCT(1+P5:P$22)),4)</f>
        <v>1.5548999999999999</v>
      </c>
      <c r="AB5" s="3121">
        <f>ROUND(SUMPRODUCT(PRODUCT(1+Q5:Q$22)),4)</f>
        <v>1.3177000000000001</v>
      </c>
      <c r="AD5" s="3122">
        <f>ROUND(AVERAGE(I5:I$23)/100,4)</f>
        <v>2.3099999999999999E-2</v>
      </c>
      <c r="AE5" s="3122">
        <f>ROUND(AVERAGE(J5:J$23)/100,4)</f>
        <v>1.5900000000000001E-2</v>
      </c>
      <c r="AF5" s="3122">
        <f t="shared" ref="AF5" si="11">AE5</f>
        <v>1.5900000000000001E-2</v>
      </c>
      <c r="AG5" s="3122">
        <f>ROUND(AVERAGE(K5:K$23)/100,4)</f>
        <v>2.5399999999999999E-2</v>
      </c>
      <c r="AH5" s="3122">
        <f>ROUND(AVERAGE(L5:L$23)/100,4)</f>
        <v>1.54E-2</v>
      </c>
    </row>
    <row r="6" spans="1:34" s="2763" customFormat="1" ht="13.5" thickBot="1">
      <c r="A6" s="2657" t="s">
        <v>2984</v>
      </c>
      <c r="B6" s="2671">
        <f>B7*(1+N6)</f>
        <v>453.11529869999993</v>
      </c>
      <c r="C6" s="2671">
        <f t="shared" ref="C6" si="12">C7*(1+O6)</f>
        <v>336.47787264000004</v>
      </c>
      <c r="D6" s="2671">
        <f t="shared" ref="D6" si="13">C6</f>
        <v>336.47787264000004</v>
      </c>
      <c r="E6" s="2671">
        <f t="shared" ref="E6" si="14">E7*(1+P6)</f>
        <v>647.35186823999993</v>
      </c>
      <c r="F6" s="2671">
        <f t="shared" ref="F6" si="15">F7*(1+Q6)</f>
        <v>295.73229452000004</v>
      </c>
      <c r="G6" s="3136"/>
      <c r="H6" s="2661">
        <v>2</v>
      </c>
      <c r="I6" s="2661">
        <v>1.49</v>
      </c>
      <c r="J6" s="2661">
        <v>0.96</v>
      </c>
      <c r="K6" s="2661">
        <v>1.58</v>
      </c>
      <c r="L6" s="2672">
        <v>2.44</v>
      </c>
      <c r="M6" s="2665"/>
      <c r="N6" s="2666">
        <f t="shared" ref="N6" si="16">I6/100</f>
        <v>1.49E-2</v>
      </c>
      <c r="O6" s="2667">
        <f t="shared" ref="O6" si="17">J6/100</f>
        <v>9.5999999999999992E-3</v>
      </c>
      <c r="P6" s="2667">
        <f t="shared" ref="P6" si="18">K6/100</f>
        <v>1.5800000000000002E-2</v>
      </c>
      <c r="Q6" s="2667">
        <f t="shared" ref="Q6" si="19">L6/100</f>
        <v>2.4399999999999998E-2</v>
      </c>
      <c r="R6" s="2668"/>
      <c r="S6" s="2674"/>
      <c r="T6" s="2675"/>
      <c r="U6" s="2675"/>
      <c r="V6" s="2675"/>
      <c r="W6" s="2665"/>
      <c r="X6" s="2756">
        <f>ROUND(SUMPRODUCT(PRODUCT(1+N6:N$22)),4)</f>
        <v>1.4733000000000001</v>
      </c>
      <c r="Y6" s="2756">
        <f>ROUND(SUMPRODUCT(PRODUCT(1+O6:O$22)),4)</f>
        <v>1.3052999999999999</v>
      </c>
      <c r="Z6" s="2756">
        <f t="shared" ref="Z6" si="20">Y6</f>
        <v>1.3052999999999999</v>
      </c>
      <c r="AA6" s="2756">
        <f>ROUND(SUMPRODUCT(PRODUCT(1+P6:P$22)),4)</f>
        <v>1.5306999999999999</v>
      </c>
      <c r="AB6" s="2756">
        <f>ROUND(SUMPRODUCT(PRODUCT(1+Q6:Q$22)),4)</f>
        <v>1.2863</v>
      </c>
      <c r="AC6" s="2665"/>
      <c r="AD6" s="2676">
        <f>ROUND(AVERAGE(I6:I$23)/100,4)</f>
        <v>2.35E-2</v>
      </c>
      <c r="AE6" s="2676">
        <f>ROUND(AVERAGE(J6:J$23)/100,4)</f>
        <v>1.6199999999999999E-2</v>
      </c>
      <c r="AF6" s="2676">
        <f t="shared" ref="AF6" si="21">AE6</f>
        <v>1.6199999999999999E-2</v>
      </c>
      <c r="AG6" s="2676">
        <f>ROUND(AVERAGE(K6:K$23)/100,4)</f>
        <v>2.5899999999999999E-2</v>
      </c>
      <c r="AH6" s="2676">
        <f>ROUND(AVERAGE(L6:L$23)/100,4)</f>
        <v>1.49E-2</v>
      </c>
    </row>
    <row r="7" spans="1:34" s="2763" customFormat="1" ht="13.5" thickBot="1">
      <c r="A7" s="2657" t="s">
        <v>2979</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6"/>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2970</v>
      </c>
      <c r="B8" s="3151">
        <v>439</v>
      </c>
      <c r="C8" s="3151">
        <v>327</v>
      </c>
      <c r="D8" s="3151">
        <f t="shared" si="23"/>
        <v>327</v>
      </c>
      <c r="E8" s="3151">
        <v>627</v>
      </c>
      <c r="F8" s="3152">
        <v>283</v>
      </c>
      <c r="G8" s="3134">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2974</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6"/>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5"/>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6"/>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38">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33"/>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33"/>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34"/>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32">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33"/>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33"/>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34"/>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32">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33"/>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33"/>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34"/>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435">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36"/>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36"/>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37"/>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32">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33"/>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33"/>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34"/>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32">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33">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33">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34">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32">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33">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33">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34">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32">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33">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33">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34">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32">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33">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33">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34">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32">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33">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33">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34">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32">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33">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33">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34">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32">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33">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33">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34">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32">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33">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33">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34">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32">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33">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33">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34">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32">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33">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33">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34">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password="C66D"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北京农商银行怀柔支行：</v>
      </c>
    </row>
    <row r="4" spans="1:4" ht="37.5">
      <c r="A4" s="1793" t="str">
        <f>"受贵公司委托，我公司对"&amp;项目基本情况!K2&amp;项目基本情况!B9&amp;"进行了预评估。"</f>
        <v>受贵公司委托，我公司对北京市桥梓镇岐庄村29号出让国有建设用地使用权市场价格进行了预评估。</v>
      </c>
    </row>
    <row r="5" spans="1:4" ht="18.75">
      <c r="A5" s="1796" t="s">
        <v>1906</v>
      </c>
    </row>
    <row r="6" spans="1:4" ht="18.75">
      <c r="A6" s="1793"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2018年9月27日（评估专业人员勘察现场之日）</v>
      </c>
    </row>
    <row r="12" spans="1:4" ht="18.75">
      <c r="A12" s="1799" t="s">
        <v>2028</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18.75">
      <c r="A20" s="256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2048年12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27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#VALUE!</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23" t="s">
        <v>2466</v>
      </c>
      <c r="C6" s="783">
        <f ca="1">ROUND(F6*F8*F7*(1-F9)/10000,0)</f>
        <v>0</v>
      </c>
      <c r="D6" s="2499" t="s">
        <v>2465</v>
      </c>
      <c r="E6" s="784" t="s">
        <v>1739</v>
      </c>
      <c r="F6" s="785">
        <f ca="1">INDIRECT("'数据-取费表'!u"&amp;$G$1)</f>
        <v>0</v>
      </c>
      <c r="G6" s="1593"/>
      <c r="H6" s="2506" t="s">
        <v>2471</v>
      </c>
      <c r="I6" s="3423" t="s">
        <v>2466</v>
      </c>
      <c r="J6" s="783">
        <f ca="1">ROUND(M6*M8*M7*(1-M9)/10000,0)</f>
        <v>0</v>
      </c>
      <c r="K6" s="341" t="s">
        <v>1738</v>
      </c>
      <c r="L6" s="784" t="s">
        <v>1739</v>
      </c>
      <c r="M6" s="785">
        <f ca="1">INDIRECT("'数据-取费表'!z"&amp;$G$1)</f>
        <v>0</v>
      </c>
    </row>
    <row r="7" spans="1:33" ht="18" customHeight="1">
      <c r="A7" s="2502"/>
      <c r="B7" s="3424"/>
      <c r="C7" s="788"/>
      <c r="D7" s="789"/>
      <c r="E7" s="784" t="s">
        <v>1740</v>
      </c>
      <c r="F7" s="785">
        <f ca="1">IF(INDIRECT("'数据-取费表'!ah"&amp;$G$1)="",INDIRECT("'数据-取费表'!k"&amp;$G$1),INDIRECT("'数据-取费表'!ah"&amp;$G$1))</f>
        <v>0</v>
      </c>
      <c r="G7" s="1593"/>
      <c r="H7" s="2491"/>
      <c r="I7" s="3424"/>
      <c r="J7" s="788"/>
      <c r="K7" s="789"/>
      <c r="L7" s="784" t="s">
        <v>1740</v>
      </c>
      <c r="M7" s="785">
        <f ca="1">F7</f>
        <v>0</v>
      </c>
    </row>
    <row r="8" spans="1:33" ht="18" customHeight="1">
      <c r="A8" s="2495"/>
      <c r="B8" s="3425"/>
      <c r="C8" s="788"/>
      <c r="D8" s="789"/>
      <c r="E8" s="784" t="s">
        <v>1741</v>
      </c>
      <c r="F8" s="785">
        <f ca="1">INDIRECT("'数据-取费表'!ai"&amp;$G$1)</f>
        <v>0</v>
      </c>
      <c r="G8" s="1593"/>
      <c r="H8" s="2491"/>
      <c r="I8" s="3425"/>
      <c r="J8" s="788"/>
      <c r="K8" s="789"/>
      <c r="L8" s="784" t="s">
        <v>1741</v>
      </c>
      <c r="M8" s="785">
        <f ca="1">INDIRECT("'数据-取费表'!ai"&amp;$G$1)</f>
        <v>0</v>
      </c>
    </row>
    <row r="9" spans="1:33" ht="18" customHeight="1">
      <c r="A9" s="786"/>
      <c r="B9" s="3426"/>
      <c r="C9" s="788"/>
      <c r="D9" s="789"/>
      <c r="E9" s="784" t="s">
        <v>1742</v>
      </c>
      <c r="F9" s="794">
        <f ca="1">INDIRECT("'数据-取费表'!w"&amp;$G$1)</f>
        <v>0</v>
      </c>
      <c r="G9" s="1593"/>
      <c r="H9" s="2507"/>
      <c r="I9" s="3425"/>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2977</v>
      </c>
      <c r="E10" s="2500" t="s">
        <v>2467</v>
      </c>
      <c r="F10" s="2623"/>
      <c r="G10" s="1593"/>
      <c r="H10" s="2563" t="s">
        <v>2472</v>
      </c>
      <c r="I10" s="2568" t="s">
        <v>2462</v>
      </c>
      <c r="J10" s="783">
        <f ca="1">ROUND(IF(M10="押一",J6/12*M11,IF(M10="押二",J6/12*2*M11,IF(M10="押三",J6/12*3*M11,J11*M11))),0)</f>
        <v>0</v>
      </c>
      <c r="K10" s="2503" t="s">
        <v>2977</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t="e">
        <f ca="1">ROUND(C29*F13,0)</f>
        <v>#VALUE!</v>
      </c>
      <c r="D13" s="1836" t="s">
        <v>2300</v>
      </c>
      <c r="E13" s="1836" t="s">
        <v>1745</v>
      </c>
      <c r="F13" s="2538">
        <f ca="1">INDIRECT("'数据-取费表'!y"&amp;$G$1)</f>
        <v>0</v>
      </c>
      <c r="G13" s="1593"/>
      <c r="H13" s="1831">
        <v>2</v>
      </c>
      <c r="I13" s="1829" t="s">
        <v>1743</v>
      </c>
      <c r="J13" s="1821" t="e">
        <f ca="1">ROUND(J14*J15,0)</f>
        <v>#VALUE!</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t="e">
        <f ca="1">C29</f>
        <v>#VALUE!</v>
      </c>
      <c r="K14" s="26"/>
      <c r="L14" s="801"/>
      <c r="M14" s="802"/>
    </row>
    <row r="15" spans="1:33" s="2066" customFormat="1" ht="18" customHeight="1" thickBot="1">
      <c r="A15" s="1649" t="s">
        <v>1886</v>
      </c>
      <c r="B15" s="784" t="s">
        <v>647</v>
      </c>
      <c r="C15" s="53">
        <f ca="1">ROUND(C14*F15,0)</f>
        <v>0</v>
      </c>
      <c r="D15" s="806" t="s">
        <v>1747</v>
      </c>
      <c r="E15" s="806" t="s">
        <v>1748</v>
      </c>
      <c r="F15" s="807">
        <f>'数据-取费表'!B33</f>
        <v>0</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t="e">
        <f ca="1">ROUND(J17+J22+J23+J24,0)</f>
        <v>#VALUE!</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0</v>
      </c>
      <c r="G17" s="1594"/>
      <c r="H17" s="1650" t="s">
        <v>1831</v>
      </c>
      <c r="I17" s="784" t="s">
        <v>656</v>
      </c>
      <c r="J17" s="53" t="e">
        <f ca="1">ROUND(IF(项目基本情况!B11="自然人",J5*M17,J18+J19+J20),0)</f>
        <v>#VALUE!</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0</v>
      </c>
      <c r="G18" s="1594"/>
      <c r="H18" s="1649" t="s">
        <v>1885</v>
      </c>
      <c r="I18" s="784" t="s">
        <v>1756</v>
      </c>
      <c r="J18" s="53">
        <f ca="1">ROUND(J5*M18/1.05,1)</f>
        <v>0</v>
      </c>
      <c r="K18" s="2486" t="s">
        <v>1757</v>
      </c>
      <c r="L18" s="784" t="s">
        <v>1748</v>
      </c>
      <c r="M18" s="809">
        <f>'数据-取费表'!B41</f>
        <v>0</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t="e">
        <f ca="1">IF(K19="按租金收入计税",ROUND(J5*M19,1),ROUND(C29*F33*0.7,1))</f>
        <v>#VALUE!</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v>
      </c>
      <c r="G20" s="1594"/>
      <c r="H20" s="1652" t="s">
        <v>1881</v>
      </c>
      <c r="I20" s="341" t="s">
        <v>1761</v>
      </c>
      <c r="J20" s="54">
        <f ca="1">ROUND(M20*M21/10000,0)</f>
        <v>0</v>
      </c>
      <c r="K20" s="814" t="s">
        <v>1762</v>
      </c>
      <c r="L20" s="784" t="s">
        <v>1763</v>
      </c>
      <c r="M20" s="640">
        <f>'数据-取费表'!B52</f>
        <v>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t="e">
        <f ca="1">ROUND(J14*M22,0)</f>
        <v>#VALUE!</v>
      </c>
      <c r="K22" s="2486" t="s">
        <v>1770</v>
      </c>
      <c r="L22" s="784" t="s">
        <v>1748</v>
      </c>
      <c r="M22" s="817">
        <f ca="1">INDIRECT("'数据-取费表'!Ak"&amp;$G$1)</f>
        <v>0</v>
      </c>
    </row>
    <row r="23" spans="1:33" s="2066" customFormat="1" ht="18" customHeight="1">
      <c r="A23" s="1649" t="s">
        <v>1832</v>
      </c>
      <c r="B23" s="784" t="s">
        <v>2538</v>
      </c>
      <c r="C23" s="53" t="e">
        <f ca="1">ROUND(IF('数据-取费表'!B22&lt;=1,(C19+C20)*F24*F23/2,(C19+C20)*(POWER((1+F24),F23/2)-1)),0)</f>
        <v>#VALUE!</v>
      </c>
      <c r="D23" s="2573" t="str">
        <f>IF(F23&lt;=1,"(建造成本+管理费用)×利率×(建设周期÷2)","(建造成本+管理费用)×((1+利率)^(建设周期÷2)-1)")</f>
        <v>(建造成本+管理费用)×利率×(建设周期÷2)</v>
      </c>
      <c r="E23" s="784" t="s">
        <v>1771</v>
      </c>
      <c r="F23" s="640">
        <f>'数据-取费表'!B20</f>
        <v>0</v>
      </c>
      <c r="G23" s="1594"/>
      <c r="H23" s="1650" t="s">
        <v>1891</v>
      </c>
      <c r="I23" s="784" t="s">
        <v>679</v>
      </c>
      <c r="J23" s="53" t="e">
        <f ca="1">ROUND(J13*M23,0)</f>
        <v>#VALUE!</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t="e">
        <f ca="1">ROUND(IF('数据-取费表'!B22&lt;=1,F21*F24*F23/2,F21*(POWER((1+F24),F23/2)-1)),4)</f>
        <v>#VALUE!</v>
      </c>
      <c r="D24" s="2573" t="str">
        <f>IF(F23&lt;=1,"销售费用×利率×(建设周期÷2)","销售费用×((1+利率)^(建设周期÷2)-1)")</f>
        <v>销售费用×利率×(建设周期÷2)</v>
      </c>
      <c r="E24" s="784" t="s">
        <v>1774</v>
      </c>
      <c r="F24" s="819" t="e">
        <f ca="1">'数据-取费表'!B40</f>
        <v>#VALUE!</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t="e">
        <f ca="1">J5-J16</f>
        <v>#VALUE!</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0</v>
      </c>
      <c r="D28" s="812" t="s">
        <v>2302</v>
      </c>
      <c r="E28" s="784" t="s">
        <v>1786</v>
      </c>
      <c r="F28" s="809">
        <f>'数据-取费表'!B41</f>
        <v>0</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t="e">
        <f ca="1">ROUND((C19+C20+C23+C26)/(1-F21-C24-C27-C28),0)</f>
        <v>#VALUE!</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t="e">
        <f ca="1">ROUND(C31+C36+C37+C38,0)</f>
        <v>#VALUE!</v>
      </c>
      <c r="D30" s="1823" t="s">
        <v>1792</v>
      </c>
      <c r="E30" s="2488"/>
      <c r="F30" s="2493"/>
      <c r="G30" s="2064"/>
      <c r="H30" s="2067"/>
      <c r="I30" s="2068"/>
      <c r="J30" s="2069"/>
      <c r="K30" s="2070"/>
      <c r="L30" s="2071"/>
      <c r="M30" s="2072"/>
    </row>
    <row r="31" spans="1:33" ht="18" customHeight="1">
      <c r="A31" s="1650" t="s">
        <v>1831</v>
      </c>
      <c r="B31" s="784" t="s">
        <v>656</v>
      </c>
      <c r="C31" s="53" t="e">
        <f ca="1">ROUND(IF(项目基本情况!B11="自然人",C5*F31,C32+C33+C34),1)</f>
        <v>#VALUE!</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0</v>
      </c>
      <c r="G32" s="2064"/>
      <c r="H32" s="2073"/>
      <c r="I32" s="2074"/>
      <c r="J32" s="2075"/>
      <c r="K32" s="2076"/>
      <c r="L32" s="2077"/>
      <c r="M32" s="2078"/>
    </row>
    <row r="33" spans="1:18" ht="18" customHeight="1">
      <c r="A33" s="1649" t="s">
        <v>1833</v>
      </c>
      <c r="B33" s="784" t="s">
        <v>1798</v>
      </c>
      <c r="C33" s="53" t="e">
        <f ca="1">IF(D33="按租金收入计税",ROUND(C5*F33,1),IF(D33="按房产原值计税",ROUND(C29*F33*0.7,1),INDIRECT("'数据-取费表'!Aj"&amp;$G$1)))</f>
        <v>#VALUE!</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0</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t="e">
        <f ca="1">ROUND(C13*J36,0)</f>
        <v>#VALUE!</v>
      </c>
      <c r="K35" s="2080"/>
      <c r="L35" s="2079"/>
      <c r="M35" s="2079"/>
    </row>
    <row r="36" spans="1:18" ht="18" customHeight="1">
      <c r="A36" s="1650" t="s">
        <v>1890</v>
      </c>
      <c r="B36" s="784" t="s">
        <v>1803</v>
      </c>
      <c r="C36" s="53" t="e">
        <f ca="1">ROUND(C29*F36,1)</f>
        <v>#VALUE!</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t="e">
        <f ca="1">ROUND(C13*F37,1)</f>
        <v>#VALUE!</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t="e">
        <f ca="1">C5-C30</f>
        <v>#VALUE!</v>
      </c>
      <c r="D39" s="2550" t="s">
        <v>1807</v>
      </c>
      <c r="E39" s="2551"/>
      <c r="F39" s="2552"/>
      <c r="G39" s="2064"/>
      <c r="H39" s="2079"/>
      <c r="I39" s="837" t="s">
        <v>1819</v>
      </c>
      <c r="J39" s="845" t="e">
        <f ca="1">ROUND(J35/C39,3)</f>
        <v>#VALUE!</v>
      </c>
      <c r="K39" s="2085"/>
      <c r="L39" s="2079"/>
      <c r="M39" s="2079"/>
    </row>
    <row r="40" spans="1:18" ht="18" customHeight="1">
      <c r="A40" s="781" t="s">
        <v>1896</v>
      </c>
      <c r="B40" s="2234" t="s">
        <v>2304</v>
      </c>
      <c r="C40" s="783" t="e">
        <f ca="1">ROUND(C39*(1-((1+F42)/(1+F40))^F41)/(F40-F42),0)</f>
        <v>#VALUE!</v>
      </c>
      <c r="D40" s="814" t="s">
        <v>1808</v>
      </c>
      <c r="E40" s="784" t="s">
        <v>2422</v>
      </c>
      <c r="F40" s="794">
        <f ca="1">INDIRECT("'数据-取费表'!I"&amp;$G$1)</f>
        <v>0</v>
      </c>
      <c r="G40" s="2064"/>
      <c r="H40" s="2064"/>
      <c r="I40" s="837" t="s">
        <v>1820</v>
      </c>
      <c r="J40" s="845" t="e">
        <f ca="1">1-J39</f>
        <v>#VALUE!</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#VALUE!</v>
      </c>
      <c r="K42" s="2084"/>
      <c r="L42" s="1990"/>
      <c r="M42" s="1990"/>
    </row>
    <row r="43" spans="1:18" ht="18" customHeight="1" thickBot="1">
      <c r="A43" s="823" t="s">
        <v>1788</v>
      </c>
      <c r="B43" s="824" t="s">
        <v>1811</v>
      </c>
      <c r="C43" s="825" t="e">
        <f ca="1">ROUND(C40*10000/F43,0)</f>
        <v>#VALUE!</v>
      </c>
      <c r="D43" s="826" t="s">
        <v>1812</v>
      </c>
      <c r="E43" s="827" t="s">
        <v>1813</v>
      </c>
      <c r="F43" s="828">
        <f ca="1">INDIRECT("'数据-取费表'!k"&amp;$G$1)</f>
        <v>0</v>
      </c>
      <c r="G43" s="2064"/>
      <c r="H43" s="1990"/>
      <c r="I43" s="847" t="s">
        <v>1823</v>
      </c>
      <c r="J43" s="848" t="e">
        <f ca="1">1-J42</f>
        <v>#VALUE!</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#VALUE!</v>
      </c>
      <c r="D46" s="2087"/>
      <c r="E46" s="2087"/>
      <c r="F46" s="2087"/>
      <c r="I46" s="2380" t="s">
        <v>2346</v>
      </c>
      <c r="J46" s="2381"/>
      <c r="K46" s="2382"/>
      <c r="L46" s="3163" t="e">
        <f ca="1">IF(OR(M47="住宅",D1="土地（套用方法）"),0,IF(L48&gt;J51,L60,J60))</f>
        <v>#VALUE!</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c r="K47" s="3160" t="s">
        <v>2352</v>
      </c>
      <c r="L47" s="3164">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61" t="s">
        <v>2354</v>
      </c>
      <c r="L48" s="1910">
        <f ca="1">INDIRECT("'数据-取费表'!f"&amp;$G$1)</f>
        <v>30.25</v>
      </c>
      <c r="O48" s="2400" t="s">
        <v>2382</v>
      </c>
      <c r="P48" s="2401" t="s">
        <v>2408</v>
      </c>
      <c r="Q48" s="2402" t="e">
        <f ca="1">C40+J29</f>
        <v>#VALUE!</v>
      </c>
      <c r="R48" s="2401" t="s">
        <v>2383</v>
      </c>
    </row>
    <row r="49" spans="1:18" s="2061" customFormat="1" ht="18" customHeight="1" thickBot="1">
      <c r="A49" s="786"/>
      <c r="B49" s="787"/>
      <c r="C49" s="788"/>
      <c r="D49" s="789"/>
      <c r="E49" s="784" t="s">
        <v>1740</v>
      </c>
      <c r="F49" s="785">
        <f ca="1">F7</f>
        <v>0</v>
      </c>
      <c r="G49" s="2092"/>
      <c r="H49" s="2095"/>
      <c r="I49" s="3129" t="s">
        <v>2349</v>
      </c>
      <c r="J49" s="2385"/>
      <c r="K49" s="3162"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0</v>
      </c>
      <c r="G50" s="2097"/>
      <c r="H50" s="2095"/>
      <c r="I50" s="3129" t="s">
        <v>2350</v>
      </c>
      <c r="J50" s="3157">
        <f>SUMPRODUCT((I63:I65=J47)*(J62:L62=J48)*(J63:L65))</f>
        <v>0</v>
      </c>
      <c r="K50" s="3162" t="s">
        <v>2356</v>
      </c>
      <c r="L50" s="2386"/>
      <c r="O50" s="2403" t="s">
        <v>2386</v>
      </c>
      <c r="P50" s="2401" t="s">
        <v>2410</v>
      </c>
      <c r="Q50" s="2402" t="e">
        <f ca="1">C29</f>
        <v>#VALUE!</v>
      </c>
      <c r="R50" s="2401" t="s">
        <v>2383</v>
      </c>
    </row>
    <row r="51" spans="1:18" s="2061" customFormat="1" ht="18" customHeight="1" thickBot="1">
      <c r="A51" s="786"/>
      <c r="B51" s="787"/>
      <c r="C51" s="788"/>
      <c r="D51" s="789"/>
      <c r="E51" s="784" t="s">
        <v>640</v>
      </c>
      <c r="F51" s="2373"/>
      <c r="H51" s="2095"/>
      <c r="I51" s="3154" t="s">
        <v>2351</v>
      </c>
      <c r="J51" s="3158">
        <f>IF(J49="",J50,J49+J50-YEAR('数据-取费表'!B2))</f>
        <v>0</v>
      </c>
      <c r="K51" s="3129" t="s">
        <v>2357</v>
      </c>
      <c r="L51" s="3165" t="e">
        <f ca="1">ROUND(-PV(INDIRECT("'数据-取费表'!h"&amp;$G$1),L48,(C39-C13*J36),0),0)</f>
        <v>#VALUE!</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2978</v>
      </c>
      <c r="E52" s="2500" t="s">
        <v>2467</v>
      </c>
      <c r="F52" s="2623"/>
      <c r="I52" s="3155" t="s">
        <v>2424</v>
      </c>
      <c r="J52" s="2387"/>
      <c r="K52" s="3155"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6" t="s">
        <v>2982</v>
      </c>
      <c r="J53" s="3159">
        <f ca="1">IF(M47="住宅",IF(D1="——",MAX(J51,L48),MAX(J51,L48-'数据-取费表'!B20)),IF(D1="——",MIN(J51,L48),MIN(J51,L48-'数据-取费表'!B20)))</f>
        <v>0</v>
      </c>
      <c r="K53" s="3439" t="s">
        <v>2969</v>
      </c>
      <c r="L53" s="3440"/>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#VALUE!</v>
      </c>
      <c r="R54" s="2405" t="s">
        <v>2395</v>
      </c>
    </row>
    <row r="55" spans="1:18" s="2061" customFormat="1" ht="18" customHeight="1" thickTop="1" thickBot="1">
      <c r="A55" s="797">
        <v>2</v>
      </c>
      <c r="B55" s="798" t="s">
        <v>644</v>
      </c>
      <c r="C55" s="799" t="e">
        <f ca="1">C13</f>
        <v>#VALUE!</v>
      </c>
      <c r="D55" s="795"/>
      <c r="E55" s="795"/>
      <c r="F55" s="800"/>
      <c r="I55" s="3168" t="s">
        <v>2358</v>
      </c>
      <c r="J55" s="3104" t="e">
        <f ca="1">ROUND(IF(J47="钢混",J57/J50,1-(1-2%)*(J50-J57)/J50),3)</f>
        <v>#VALUE!</v>
      </c>
      <c r="K55" s="3169" t="s">
        <v>2359</v>
      </c>
      <c r="L55" s="2388"/>
      <c r="O55" s="2406" t="s">
        <v>2414</v>
      </c>
      <c r="P55" s="1593"/>
      <c r="Q55" s="1605"/>
      <c r="R55" s="1593"/>
    </row>
    <row r="56" spans="1:18" s="2061" customFormat="1" ht="42.75" customHeight="1" thickBot="1">
      <c r="A56" s="1651"/>
      <c r="B56" s="2233" t="s">
        <v>2305</v>
      </c>
      <c r="C56" s="53" t="e">
        <f ca="1">C29</f>
        <v>#VALUE!</v>
      </c>
      <c r="D56" s="2641"/>
      <c r="E56" s="784"/>
      <c r="F56" s="809"/>
      <c r="I56" s="3170" t="s">
        <v>2360</v>
      </c>
      <c r="J56" s="3180"/>
      <c r="K56" s="3129" t="s">
        <v>2365</v>
      </c>
      <c r="L56" s="1910">
        <f ca="1">IF(L48&lt;J51,"——",L48-J51)</f>
        <v>30.25</v>
      </c>
      <c r="O56" s="2397" t="s">
        <v>2378</v>
      </c>
      <c r="P56" s="2398" t="s">
        <v>2379</v>
      </c>
      <c r="Q56" s="2399" t="s">
        <v>2380</v>
      </c>
      <c r="R56" s="2398" t="s">
        <v>2381</v>
      </c>
    </row>
    <row r="57" spans="1:18" s="2061" customFormat="1" ht="28.5" customHeight="1" thickBot="1">
      <c r="A57" s="797" t="s">
        <v>1749</v>
      </c>
      <c r="B57" s="798" t="s">
        <v>651</v>
      </c>
      <c r="C57" s="799" t="e">
        <f ca="1">ROUND(C58+C63+C64+C65,0)</f>
        <v>#VALUE!</v>
      </c>
      <c r="D57" s="26" t="s">
        <v>1751</v>
      </c>
      <c r="E57" s="2642"/>
      <c r="F57" s="56"/>
      <c r="I57" s="3171" t="s">
        <v>2361</v>
      </c>
      <c r="J57" s="3172" t="str">
        <f ca="1">IF(OR(M47="住宅",J51&lt;L48,J56="是"),"——",J51-L48)</f>
        <v>——</v>
      </c>
      <c r="K57" s="3129" t="s">
        <v>2366</v>
      </c>
      <c r="L57" s="1910" t="e">
        <f ca="1">IF(L48&lt;J51,"——",IF(L55="比较法",L49,IF(L55="基准地价",L50,L51)))</f>
        <v>#VALUE!</v>
      </c>
      <c r="O57" s="2400" t="s">
        <v>2382</v>
      </c>
      <c r="P57" s="2401" t="s">
        <v>2412</v>
      </c>
      <c r="Q57" s="2402" t="e">
        <f ca="1">C40+J29</f>
        <v>#VALUE!</v>
      </c>
      <c r="R57" s="2401" t="s">
        <v>2383</v>
      </c>
    </row>
    <row r="58" spans="1:18" s="2061" customFormat="1" ht="28.5" customHeight="1" thickBot="1">
      <c r="A58" s="1650" t="s">
        <v>1825</v>
      </c>
      <c r="B58" s="784" t="s">
        <v>656</v>
      </c>
      <c r="C58" s="53" t="e">
        <f ca="1">ROUND(IF(项目基本情况!B11="自然人",C47*F58,C59+C60+C61),1)</f>
        <v>#VALUE!</v>
      </c>
      <c r="D58" s="2640" t="s">
        <v>657</v>
      </c>
      <c r="E58" s="2641" t="s">
        <v>690</v>
      </c>
      <c r="F58" s="810" t="str">
        <f ca="1">IF(项目基本情况!B11="企业","",IF(INDIRECT("'数据-取费表'!c"&amp;$G$1)="住宅",5%,IF(F48*F49*F50/12/(1+'数据-取费表'!C42)&gt;20000,12%,7%)))</f>
        <v/>
      </c>
      <c r="I58" s="3171" t="s">
        <v>2362</v>
      </c>
      <c r="J58" s="3105" t="e">
        <f ca="1">IF(J55&lt;0.4,0.4,J55)</f>
        <v>#VALUE!</v>
      </c>
      <c r="K58" s="3129" t="s">
        <v>2367</v>
      </c>
      <c r="L58" s="1910" t="e">
        <f ca="1">ROUND(POWER(1+L52,L47-L48)*(POWER(1+L52,L48)-1)/(POWER(1+L52,L47)-1),4)</f>
        <v>#DIV/0!</v>
      </c>
      <c r="O58" s="2400" t="s">
        <v>2384</v>
      </c>
      <c r="P58" s="2401" t="s">
        <v>2415</v>
      </c>
      <c r="Q58" s="2402" t="e">
        <f ca="1">L60</f>
        <v>#VALUE!</v>
      </c>
      <c r="R58" s="2405" t="s">
        <v>2417</v>
      </c>
    </row>
    <row r="59" spans="1:18" s="2061" customFormat="1" ht="28.5" customHeight="1" thickBot="1">
      <c r="A59" s="1649" t="s">
        <v>1832</v>
      </c>
      <c r="B59" s="784" t="s">
        <v>660</v>
      </c>
      <c r="C59" s="53">
        <f ca="1">ROUND(C47*F59/1.05,1)</f>
        <v>0</v>
      </c>
      <c r="D59" s="2641" t="s">
        <v>1757</v>
      </c>
      <c r="E59" s="784" t="s">
        <v>1748</v>
      </c>
      <c r="F59" s="809">
        <f t="shared" ref="F59:F65" si="0">F32</f>
        <v>0</v>
      </c>
      <c r="I59" s="3171" t="s">
        <v>2363</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t="e">
        <f ca="1">IF(D60="按租金收入计税",ROUND(C47*F60,1),IF(D60="按房产原值计税",ROUND(C56*F60*0.7,1),INDIRECT("'数据-取费表'!Aj"&amp;$G$1)))</f>
        <v>#VALUE!</v>
      </c>
      <c r="D60" s="2641" t="str">
        <f>D33</f>
        <v>按房产原值计税</v>
      </c>
      <c r="E60" s="784" t="s">
        <v>1748</v>
      </c>
      <c r="F60" s="809">
        <f t="shared" si="0"/>
        <v>1.2E-2</v>
      </c>
      <c r="I60" s="3173" t="s">
        <v>2364</v>
      </c>
      <c r="J60" s="3174" t="str">
        <f ca="1">IF(OR(M47="住宅",J51&lt;L48,J56="是"),"0",ROUND(J59/(1+J52)^J53,0))</f>
        <v>0</v>
      </c>
      <c r="K60" s="3175" t="s">
        <v>2369</v>
      </c>
      <c r="L60" s="3174" t="e">
        <f ca="1">IF(OR(M47="住宅",L48&lt;J51),0,ROUND(L57*(L58/L59-1),0))</f>
        <v>#VALUE!</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6" t="s">
        <v>2370</v>
      </c>
      <c r="J62" s="3177" t="s">
        <v>2371</v>
      </c>
      <c r="K62" s="3177" t="s">
        <v>2372</v>
      </c>
      <c r="L62" s="3177" t="s">
        <v>2353</v>
      </c>
      <c r="M62" s="3178" t="s">
        <v>2945</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t="e">
        <f ca="1">ROUND(C56*F63,1)</f>
        <v>#VALUE!</v>
      </c>
      <c r="D63" s="2641" t="s">
        <v>1804</v>
      </c>
      <c r="E63" s="784" t="s">
        <v>1748</v>
      </c>
      <c r="F63" s="817">
        <f t="shared" ca="1" si="0"/>
        <v>0</v>
      </c>
      <c r="I63" s="3176" t="s">
        <v>2373</v>
      </c>
      <c r="J63" s="3177">
        <v>70</v>
      </c>
      <c r="K63" s="3177">
        <v>50</v>
      </c>
      <c r="L63" s="3177">
        <v>80</v>
      </c>
      <c r="M63" s="3179">
        <v>0.02</v>
      </c>
      <c r="O63" s="2400" t="s">
        <v>2394</v>
      </c>
      <c r="P63" s="2401" t="s">
        <v>2411</v>
      </c>
      <c r="Q63" s="2402" t="e">
        <f ca="1">Q57+Q58</f>
        <v>#VALUE!</v>
      </c>
      <c r="R63" s="2405" t="s">
        <v>2395</v>
      </c>
    </row>
    <row r="64" spans="1:18" s="2061" customFormat="1" ht="16.5" thickBot="1">
      <c r="A64" s="1650" t="s">
        <v>1891</v>
      </c>
      <c r="B64" s="784" t="s">
        <v>679</v>
      </c>
      <c r="C64" s="53" t="e">
        <f ca="1">ROUND(C55*F64,1)</f>
        <v>#VALUE!</v>
      </c>
      <c r="D64" s="2641" t="s">
        <v>680</v>
      </c>
      <c r="E64" s="784" t="s">
        <v>1748</v>
      </c>
      <c r="F64" s="818">
        <f t="shared" ca="1" si="0"/>
        <v>0</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2824</v>
      </c>
      <c r="C66" s="799" t="e">
        <f ca="1">C47-C57</f>
        <v>#VALUE!</v>
      </c>
      <c r="D66" s="2640" t="s">
        <v>700</v>
      </c>
      <c r="E66" s="2639"/>
      <c r="F66" s="820"/>
      <c r="K66" s="2088"/>
      <c r="O66" s="2400" t="s">
        <v>2382</v>
      </c>
      <c r="P66" s="2401" t="s">
        <v>2412</v>
      </c>
      <c r="Q66" s="2402" t="e">
        <f ca="1">C40+J29</f>
        <v>#VALUE!</v>
      </c>
      <c r="R66" s="2401" t="s">
        <v>2383</v>
      </c>
    </row>
    <row r="67" spans="1:18" s="2061" customFormat="1" ht="20.25" thickBot="1">
      <c r="A67" s="781" t="s">
        <v>1781</v>
      </c>
      <c r="B67" s="2234" t="s">
        <v>2304</v>
      </c>
      <c r="C67" s="783" t="e">
        <f ca="1">ROUND(C66*(1-((1+F69)/(1+F67))^F68)/(F67-F69),0)</f>
        <v>#VALUE!</v>
      </c>
      <c r="D67" s="814" t="s">
        <v>704</v>
      </c>
      <c r="E67" s="784" t="s">
        <v>705</v>
      </c>
      <c r="F67" s="794">
        <f ca="1">F40</f>
        <v>0</v>
      </c>
      <c r="K67" s="2088"/>
      <c r="O67" s="2400" t="s">
        <v>2384</v>
      </c>
      <c r="P67" s="2401" t="s">
        <v>2415</v>
      </c>
      <c r="Q67" s="2402" t="e">
        <f ca="1">L60</f>
        <v>#VALUE!</v>
      </c>
      <c r="R67" s="2405" t="s">
        <v>2417</v>
      </c>
    </row>
    <row r="68" spans="1:18" ht="21.75" thickBot="1">
      <c r="A68" s="786"/>
      <c r="B68" s="787"/>
      <c r="C68" s="788"/>
      <c r="D68" s="821" t="s">
        <v>1809</v>
      </c>
      <c r="E68" s="784" t="s">
        <v>1785</v>
      </c>
      <c r="F68" s="822">
        <f ca="1">F41</f>
        <v>0</v>
      </c>
      <c r="O68" s="2403" t="s">
        <v>2386</v>
      </c>
      <c r="P68" s="2401" t="s">
        <v>2416</v>
      </c>
      <c r="Q68" s="2407" t="e">
        <f ca="1">L51</f>
        <v>#VALUE!</v>
      </c>
      <c r="R68" s="2408" t="s">
        <v>2419</v>
      </c>
    </row>
    <row r="69" spans="1:18" ht="20.25" thickBot="1">
      <c r="A69" s="790"/>
      <c r="B69" s="791"/>
      <c r="C69" s="792"/>
      <c r="D69" s="816"/>
      <c r="E69" s="784" t="s">
        <v>710</v>
      </c>
      <c r="F69" s="2373"/>
      <c r="O69" s="2403" t="s">
        <v>2387</v>
      </c>
      <c r="P69" s="2409" t="s">
        <v>2401</v>
      </c>
      <c r="Q69" s="2402" t="e">
        <f ca="1">ROUND(Q70-Q71*Q72,0)</f>
        <v>#VALUE!</v>
      </c>
      <c r="R69" s="2405"/>
    </row>
    <row r="70" spans="1:18" ht="15.75" thickBot="1">
      <c r="A70" s="823" t="s">
        <v>1788</v>
      </c>
      <c r="B70" s="824" t="s">
        <v>1811</v>
      </c>
      <c r="C70" s="825" t="e">
        <f ca="1">ROUND(C67*10000/F70,0)</f>
        <v>#VALUE!</v>
      </c>
      <c r="D70" s="826" t="s">
        <v>1812</v>
      </c>
      <c r="E70" s="827" t="s">
        <v>1813</v>
      </c>
      <c r="F70" s="828">
        <f ca="1">F43</f>
        <v>0</v>
      </c>
      <c r="O70" s="2403" t="s">
        <v>2402</v>
      </c>
      <c r="P70" s="2409" t="s">
        <v>2403</v>
      </c>
      <c r="Q70" s="2402" t="e">
        <f ca="1">C39</f>
        <v>#VALUE!</v>
      </c>
      <c r="R70" s="2401" t="s">
        <v>2383</v>
      </c>
    </row>
    <row r="71" spans="1:18" ht="15.75" thickBot="1">
      <c r="O71" s="2403" t="s">
        <v>2404</v>
      </c>
      <c r="P71" s="2409" t="s">
        <v>2405</v>
      </c>
      <c r="Q71" s="2402" t="e">
        <f ca="1">C13</f>
        <v>#VALUE!</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#VALUE!</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57" t="s">
        <v>2474</v>
      </c>
      <c r="B1" s="3458"/>
      <c r="C1" s="3459"/>
      <c r="D1" s="3460">
        <f>SUM(I10,I15,I20,I21,I23)</f>
        <v>0</v>
      </c>
      <c r="E1" s="3460"/>
      <c r="F1" s="3460"/>
      <c r="G1" s="3460"/>
      <c r="H1" s="3460"/>
      <c r="I1" s="3461"/>
    </row>
    <row r="2" spans="1:9">
      <c r="A2" s="3447" t="s">
        <v>2475</v>
      </c>
      <c r="B2" s="3448" t="s">
        <v>2476</v>
      </c>
      <c r="C2" s="3448"/>
      <c r="D2" s="2509" t="s">
        <v>2477</v>
      </c>
      <c r="E2" s="2509" t="s">
        <v>2478</v>
      </c>
      <c r="F2" s="2509" t="s">
        <v>2479</v>
      </c>
      <c r="G2" s="2509" t="s">
        <v>2480</v>
      </c>
      <c r="H2" s="2509" t="s">
        <v>2481</v>
      </c>
      <c r="I2" s="2510" t="s">
        <v>2482</v>
      </c>
    </row>
    <row r="3" spans="1:9">
      <c r="A3" s="3447"/>
      <c r="B3" s="3448" t="s">
        <v>2483</v>
      </c>
      <c r="C3" s="3448"/>
      <c r="D3" s="2511"/>
      <c r="E3" s="2509"/>
      <c r="F3" s="2512"/>
      <c r="G3" s="2512"/>
      <c r="H3" s="2513"/>
      <c r="I3" s="2514">
        <f>ROUND(D3*E3*F3*G3*H3/10000,0)</f>
        <v>0</v>
      </c>
    </row>
    <row r="4" spans="1:9">
      <c r="A4" s="3447"/>
      <c r="B4" s="3448" t="s">
        <v>2484</v>
      </c>
      <c r="C4" s="3448"/>
      <c r="D4" s="2511"/>
      <c r="E4" s="2509"/>
      <c r="F4" s="2512"/>
      <c r="G4" s="2512"/>
      <c r="H4" s="2513"/>
      <c r="I4" s="2514">
        <f t="shared" ref="I4:I9" si="0">ROUND(D4*E4*F4*G4*H4/10000,0)</f>
        <v>0</v>
      </c>
    </row>
    <row r="5" spans="1:9">
      <c r="A5" s="3447"/>
      <c r="B5" s="3448" t="s">
        <v>2485</v>
      </c>
      <c r="C5" s="3448"/>
      <c r="D5" s="2511"/>
      <c r="E5" s="2509"/>
      <c r="F5" s="2512"/>
      <c r="G5" s="2512"/>
      <c r="H5" s="2513"/>
      <c r="I5" s="2514">
        <f t="shared" si="0"/>
        <v>0</v>
      </c>
    </row>
    <row r="6" spans="1:9">
      <c r="A6" s="3447"/>
      <c r="B6" s="3448" t="s">
        <v>2486</v>
      </c>
      <c r="C6" s="3448"/>
      <c r="D6" s="2511"/>
      <c r="E6" s="2509"/>
      <c r="F6" s="2512"/>
      <c r="G6" s="2512"/>
      <c r="H6" s="2513"/>
      <c r="I6" s="2514">
        <f t="shared" si="0"/>
        <v>0</v>
      </c>
    </row>
    <row r="7" spans="1:9">
      <c r="A7" s="3447"/>
      <c r="B7" s="3448" t="s">
        <v>2487</v>
      </c>
      <c r="C7" s="3448"/>
      <c r="D7" s="2511"/>
      <c r="E7" s="2509"/>
      <c r="F7" s="2512"/>
      <c r="G7" s="2512"/>
      <c r="H7" s="2513"/>
      <c r="I7" s="2514">
        <f t="shared" si="0"/>
        <v>0</v>
      </c>
    </row>
    <row r="8" spans="1:9">
      <c r="A8" s="3447"/>
      <c r="B8" s="3448" t="s">
        <v>2488</v>
      </c>
      <c r="C8" s="3448"/>
      <c r="D8" s="2511"/>
      <c r="E8" s="2509"/>
      <c r="F8" s="2512"/>
      <c r="G8" s="2512"/>
      <c r="H8" s="2513"/>
      <c r="I8" s="2514">
        <f t="shared" si="0"/>
        <v>0</v>
      </c>
    </row>
    <row r="9" spans="1:9">
      <c r="A9" s="3447"/>
      <c r="B9" s="3448" t="s">
        <v>2489</v>
      </c>
      <c r="C9" s="3448"/>
      <c r="D9" s="2511"/>
      <c r="E9" s="2509"/>
      <c r="F9" s="2512"/>
      <c r="G9" s="2512"/>
      <c r="H9" s="2513"/>
      <c r="I9" s="2514">
        <f t="shared" si="0"/>
        <v>0</v>
      </c>
    </row>
    <row r="10" spans="1:9">
      <c r="A10" s="3447"/>
      <c r="B10" s="3449" t="s">
        <v>2490</v>
      </c>
      <c r="C10" s="3449"/>
      <c r="D10" s="2515">
        <v>527</v>
      </c>
      <c r="E10" s="2515" t="e">
        <f>ROUND(D1*10000/D10/H9,0)</f>
        <v>#DIV/0!</v>
      </c>
      <c r="F10" s="2516"/>
      <c r="G10" s="2516"/>
      <c r="H10" s="2517"/>
      <c r="I10" s="2518">
        <f>SUM(I3:I9)</f>
        <v>0</v>
      </c>
    </row>
    <row r="11" spans="1:9" ht="14.25">
      <c r="A11" s="3447" t="s">
        <v>2491</v>
      </c>
      <c r="B11" s="3448" t="s">
        <v>2492</v>
      </c>
      <c r="C11" s="3448"/>
      <c r="D11" s="2511" t="s">
        <v>2493</v>
      </c>
      <c r="E11" s="2511" t="s">
        <v>2494</v>
      </c>
      <c r="F11" s="2512" t="s">
        <v>2495</v>
      </c>
      <c r="G11" s="2512" t="s">
        <v>2496</v>
      </c>
      <c r="H11" s="2519" t="s">
        <v>2497</v>
      </c>
      <c r="I11" s="2510" t="s">
        <v>2498</v>
      </c>
    </row>
    <row r="12" spans="1:9">
      <c r="A12" s="3447"/>
      <c r="B12" s="3448" t="s">
        <v>2499</v>
      </c>
      <c r="C12" s="3448"/>
      <c r="D12" s="2511"/>
      <c r="E12" s="2511"/>
      <c r="F12" s="2512"/>
      <c r="G12" s="2513"/>
      <c r="H12" s="2520"/>
      <c r="I12" s="2510">
        <f>ROUND(D12*E12*F12*G12/10000,0)</f>
        <v>0</v>
      </c>
    </row>
    <row r="13" spans="1:9">
      <c r="A13" s="3447"/>
      <c r="B13" s="3448" t="s">
        <v>2500</v>
      </c>
      <c r="C13" s="3448"/>
      <c r="D13" s="2511"/>
      <c r="E13" s="2511"/>
      <c r="F13" s="2512"/>
      <c r="G13" s="2513"/>
      <c r="H13" s="2520"/>
      <c r="I13" s="2510">
        <f>ROUND(D13*E13*F13*G13/10000,0)</f>
        <v>0</v>
      </c>
    </row>
    <row r="14" spans="1:9">
      <c r="A14" s="3447"/>
      <c r="B14" s="3448" t="s">
        <v>2501</v>
      </c>
      <c r="C14" s="3448"/>
      <c r="D14" s="2511"/>
      <c r="E14" s="2511"/>
      <c r="F14" s="2512"/>
      <c r="G14" s="2513"/>
      <c r="H14" s="2520"/>
      <c r="I14" s="2510">
        <f>ROUND(D14*E14*F14*G14/10000,0)</f>
        <v>0</v>
      </c>
    </row>
    <row r="15" spans="1:9">
      <c r="A15" s="3447"/>
      <c r="B15" s="3449" t="s">
        <v>2490</v>
      </c>
      <c r="C15" s="3449"/>
      <c r="D15" s="2515"/>
      <c r="E15" s="2515">
        <f>SUM(E12:E14)</f>
        <v>0</v>
      </c>
      <c r="F15" s="2516"/>
      <c r="G15" s="2513"/>
      <c r="H15" s="2520"/>
      <c r="I15" s="2521">
        <f>SUM(I12:I14)</f>
        <v>0</v>
      </c>
    </row>
    <row r="16" spans="1:9" ht="24">
      <c r="A16" s="3447" t="s">
        <v>2502</v>
      </c>
      <c r="B16" s="3448" t="s">
        <v>2503</v>
      </c>
      <c r="C16" s="3448"/>
      <c r="D16" s="2511" t="s">
        <v>2504</v>
      </c>
      <c r="E16" s="2522" t="s">
        <v>2505</v>
      </c>
      <c r="F16" s="2512" t="s">
        <v>2506</v>
      </c>
      <c r="G16" s="2513" t="s">
        <v>2496</v>
      </c>
      <c r="H16" s="2519" t="s">
        <v>2497</v>
      </c>
      <c r="I16" s="2510" t="s">
        <v>2498</v>
      </c>
    </row>
    <row r="17" spans="1:9" ht="14.25">
      <c r="A17" s="3447"/>
      <c r="B17" s="3448" t="s">
        <v>2507</v>
      </c>
      <c r="C17" s="3448"/>
      <c r="D17" s="2511"/>
      <c r="E17" s="2511"/>
      <c r="F17" s="2512"/>
      <c r="G17" s="2513"/>
      <c r="H17" s="2523"/>
      <c r="I17" s="2524">
        <f>ROUND(D17*E17*F17*G17/10000,0)</f>
        <v>0</v>
      </c>
    </row>
    <row r="18" spans="1:9" ht="14.25">
      <c r="A18" s="3447"/>
      <c r="B18" s="3448" t="s">
        <v>2508</v>
      </c>
      <c r="C18" s="3448"/>
      <c r="D18" s="2511"/>
      <c r="E18" s="2511"/>
      <c r="F18" s="2512"/>
      <c r="G18" s="2513"/>
      <c r="H18" s="2523"/>
      <c r="I18" s="2524">
        <f>ROUND(D18*E18*F18*G18/10000,0)</f>
        <v>0</v>
      </c>
    </row>
    <row r="19" spans="1:9" ht="14.25">
      <c r="A19" s="3447"/>
      <c r="B19" s="3448" t="s">
        <v>2509</v>
      </c>
      <c r="C19" s="3448"/>
      <c r="D19" s="2511"/>
      <c r="E19" s="2511"/>
      <c r="F19" s="2512"/>
      <c r="G19" s="2513"/>
      <c r="H19" s="2523"/>
      <c r="I19" s="2524">
        <f>ROUND(D19*E19*F19*G19/10000,0)</f>
        <v>0</v>
      </c>
    </row>
    <row r="20" spans="1:9">
      <c r="A20" s="3447"/>
      <c r="B20" s="3449" t="s">
        <v>2490</v>
      </c>
      <c r="C20" s="3449"/>
      <c r="D20" s="2515">
        <f>SUM(D17:D19)</f>
        <v>0</v>
      </c>
      <c r="E20" s="2515"/>
      <c r="F20" s="2516"/>
      <c r="G20" s="2513"/>
      <c r="H20" s="2520"/>
      <c r="I20" s="2521">
        <f>SUM(I17:I19)</f>
        <v>0</v>
      </c>
    </row>
    <row r="21" spans="1:9">
      <c r="A21" s="3447" t="s">
        <v>2510</v>
      </c>
      <c r="B21" s="3450"/>
      <c r="C21" s="3450"/>
      <c r="D21" s="3450"/>
      <c r="E21" s="3450"/>
      <c r="F21" s="3450"/>
      <c r="G21" s="3450"/>
      <c r="H21" s="2525">
        <v>0.1</v>
      </c>
      <c r="I21" s="2518">
        <f>ROUND(I10*H21,0)</f>
        <v>0</v>
      </c>
    </row>
    <row r="22" spans="1:9" ht="14.25">
      <c r="A22" s="3451" t="s">
        <v>2511</v>
      </c>
      <c r="B22" s="3452"/>
      <c r="C22" s="3453"/>
      <c r="D22" s="2526" t="s">
        <v>2512</v>
      </c>
      <c r="E22" s="2526" t="s">
        <v>2513</v>
      </c>
      <c r="F22" s="2527" t="s">
        <v>2514</v>
      </c>
      <c r="G22" s="2527" t="s">
        <v>2515</v>
      </c>
      <c r="H22" s="2519" t="s">
        <v>2516</v>
      </c>
      <c r="I22" s="2510" t="s">
        <v>2517</v>
      </c>
    </row>
    <row r="23" spans="1:9" ht="14.25" thickBot="1">
      <c r="A23" s="3454"/>
      <c r="B23" s="3455"/>
      <c r="C23" s="3456"/>
      <c r="D23" s="2528"/>
      <c r="E23" s="2528"/>
      <c r="F23" s="2528"/>
      <c r="G23" s="2529"/>
      <c r="H23" s="2530"/>
      <c r="I23" s="2531">
        <f>ROUND(E23*D23*F23*(1-G23)/10000,0)</f>
        <v>0</v>
      </c>
    </row>
    <row r="26" spans="1:9">
      <c r="A26" s="2532" t="s">
        <v>2518</v>
      </c>
      <c r="B26" s="2532"/>
      <c r="C26" s="2532"/>
      <c r="D26" s="2532"/>
      <c r="E26" s="3444">
        <f>C27-C30-C31-C32</f>
        <v>0</v>
      </c>
      <c r="F26" s="3444"/>
      <c r="G26" s="3444"/>
      <c r="H26" s="3046" t="s">
        <v>2845</v>
      </c>
    </row>
    <row r="27" spans="1:9">
      <c r="A27" s="2533">
        <v>1</v>
      </c>
      <c r="B27" s="2534" t="s">
        <v>2519</v>
      </c>
      <c r="C27" s="2534"/>
      <c r="D27" s="2534"/>
      <c r="E27" s="3445"/>
      <c r="F27" s="3445"/>
      <c r="G27" s="3445"/>
    </row>
    <row r="28" spans="1:9">
      <c r="A28" s="2535" t="s">
        <v>2520</v>
      </c>
      <c r="B28" s="2534" t="s">
        <v>2521</v>
      </c>
      <c r="C28" s="2534"/>
      <c r="D28" s="2534"/>
      <c r="E28" s="3445"/>
      <c r="F28" s="3445"/>
      <c r="G28" s="3445"/>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46"/>
      <c r="F32" s="3446"/>
      <c r="G32" s="3446"/>
    </row>
    <row r="33" spans="1:7" hidden="1">
      <c r="A33" s="3441" t="s">
        <v>2529</v>
      </c>
      <c r="B33" s="3442"/>
      <c r="C33" s="3442"/>
      <c r="D33" s="3443"/>
      <c r="E33" s="3444"/>
      <c r="F33" s="3444"/>
      <c r="G33" s="3444"/>
    </row>
    <row r="34" spans="1:7" hidden="1">
      <c r="A34" s="2537">
        <v>1</v>
      </c>
      <c r="B34" s="2534" t="s">
        <v>2530</v>
      </c>
      <c r="C34" s="2534"/>
      <c r="D34" s="2534"/>
      <c r="E34" s="3445"/>
      <c r="F34" s="3445"/>
      <c r="G34" s="3445"/>
    </row>
    <row r="35" spans="1:7" hidden="1">
      <c r="A35" s="2537">
        <v>2</v>
      </c>
      <c r="B35" s="2534" t="s">
        <v>2531</v>
      </c>
      <c r="C35" s="2534"/>
      <c r="D35" s="2534"/>
      <c r="E35" s="3445"/>
      <c r="F35" s="3445"/>
      <c r="G35" s="3445"/>
    </row>
    <row r="36" spans="1:7" hidden="1">
      <c r="A36" s="2537">
        <v>3</v>
      </c>
      <c r="B36" s="2534" t="s">
        <v>2532</v>
      </c>
      <c r="C36" s="2534"/>
      <c r="D36" s="2534"/>
      <c r="E36" s="3445"/>
      <c r="F36" s="3445"/>
      <c r="G36" s="3445"/>
    </row>
    <row r="37" spans="1:7" hidden="1">
      <c r="A37" s="2537">
        <v>4</v>
      </c>
      <c r="B37" s="2534" t="s">
        <v>2533</v>
      </c>
      <c r="C37" s="2534"/>
      <c r="D37" s="2534"/>
      <c r="E37" s="3445"/>
      <c r="F37" s="3445"/>
      <c r="G37" s="3445"/>
    </row>
    <row r="38" spans="1:7" hidden="1">
      <c r="A38" s="3441" t="s">
        <v>2534</v>
      </c>
      <c r="B38" s="3442"/>
      <c r="C38" s="3442"/>
      <c r="D38" s="3443"/>
      <c r="E38" s="3444"/>
      <c r="F38" s="3444"/>
      <c r="G38" s="34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t="e">
        <f ca="1">C23</f>
        <v>#DIV/0!</v>
      </c>
      <c r="C2" s="2110"/>
      <c r="D2" s="2110"/>
      <c r="E2" s="2110"/>
      <c r="F2" s="2110"/>
      <c r="G2" s="2110"/>
    </row>
    <row r="3" spans="1:25" s="2061" customFormat="1" ht="18" customHeight="1">
      <c r="A3" s="1380" t="s">
        <v>1686</v>
      </c>
      <c r="B3" s="425" t="e">
        <f ca="1">ROUND(B2*10000/'数据-汇总表'!E3,0)</f>
        <v>#DIV/0!</v>
      </c>
      <c r="C3" s="2110"/>
      <c r="D3" s="2110"/>
      <c r="E3" s="2110"/>
      <c r="F3" s="2110"/>
      <c r="G3" s="2110"/>
    </row>
    <row r="4" spans="1:25" s="2061" customFormat="1" ht="18" customHeight="1">
      <c r="A4" s="426" t="s">
        <v>468</v>
      </c>
      <c r="B4" s="427" t="e">
        <f ca="1">ROUND(B2*10000/'数据-汇总表'!D3,0)</f>
        <v>#DIV/0!</v>
      </c>
      <c r="C4" s="2063"/>
      <c r="D4" s="2110"/>
      <c r="E4" s="2110"/>
      <c r="F4" s="2110"/>
      <c r="G4" s="2110"/>
    </row>
    <row r="5" spans="1:25" s="2061" customFormat="1" ht="18" customHeight="1" thickBot="1">
      <c r="A5" s="429"/>
      <c r="B5" s="430" t="e">
        <f ca="1">ROUND(B2/('数据-汇总表'!D3/666.67),0)</f>
        <v>#DIV/0!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0</v>
      </c>
      <c r="E10" s="749">
        <f>'数据-取费表'!B31</f>
        <v>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0</v>
      </c>
      <c r="D13" s="758">
        <f>'数据-汇总表'!E6</f>
        <v>0</v>
      </c>
      <c r="E13" s="757">
        <f>'数据-取费表'!B28</f>
        <v>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t="e">
        <f>ROUND((C7+C10+C16)*F18,0)</f>
        <v>#DIV/0!</v>
      </c>
      <c r="D18" s="762"/>
      <c r="E18" s="763"/>
      <c r="F18" s="761" t="e">
        <f>'数据-取费表'!Q16</f>
        <v>#DIV/0!</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t="e">
        <f ca="1">C7+C10+C16+C17+C18</f>
        <v>#DIV/0!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t="e">
        <f ca="1">ROUND(C19*F20,0)</f>
        <v>#DIV/0!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t="e">
        <f ca="1">C19+C20</f>
        <v>#DIV/0!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t="e">
        <f ca="1">ROUND(C21*F22,0)</f>
        <v>#DIV/0!</v>
      </c>
      <c r="D22" s="760"/>
      <c r="E22" s="749"/>
      <c r="F22" s="766" t="e">
        <f>'数据-取费表'!AP16</f>
        <v>#DIV/0!</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t="e">
        <f ca="1">C22</f>
        <v>#DIV/0!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9" t="s">
        <v>522</v>
      </c>
      <c r="D4" s="3370"/>
      <c r="E4" s="3393" t="s">
        <v>523</v>
      </c>
      <c r="F4" s="3394"/>
      <c r="G4" s="3369" t="s">
        <v>524</v>
      </c>
      <c r="H4" s="3370"/>
      <c r="I4" s="3369" t="s">
        <v>525</v>
      </c>
      <c r="J4" s="3370"/>
      <c r="K4" s="853" t="s">
        <v>526</v>
      </c>
      <c r="L4" s="2135"/>
      <c r="M4" s="2136"/>
      <c r="N4" s="2136"/>
      <c r="O4" s="2136"/>
      <c r="P4" s="3371"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2932</v>
      </c>
      <c r="D5" s="3381"/>
      <c r="E5" s="3395" t="s">
        <v>2933</v>
      </c>
      <c r="F5" s="3396"/>
      <c r="G5" s="3380" t="s">
        <v>2934</v>
      </c>
      <c r="H5" s="3381"/>
      <c r="I5" s="3380" t="s">
        <v>2935</v>
      </c>
      <c r="J5" s="3381"/>
      <c r="K5" s="85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854" t="s">
        <v>528</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14"/>
      <c r="B7" s="2921" t="s">
        <v>529</v>
      </c>
      <c r="C7" s="519">
        <f>'数据-取费表'!B2</f>
        <v>43370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5" t="s">
        <v>530</v>
      </c>
      <c r="Q7" s="3364"/>
      <c r="R7" s="1569" t="s">
        <v>13</v>
      </c>
      <c r="S7" s="1570">
        <f t="shared" ref="S7:S15" si="0">F7</f>
        <v>0</v>
      </c>
      <c r="T7" s="1569" t="s">
        <v>13</v>
      </c>
      <c r="U7" s="1570">
        <f t="shared" ref="U7:U15" si="1">H7</f>
        <v>0</v>
      </c>
      <c r="V7" s="1569" t="s">
        <v>13</v>
      </c>
      <c r="W7" s="1570">
        <f t="shared" ref="W7:W15"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5" t="s">
        <v>533</v>
      </c>
      <c r="Q8" s="3356"/>
      <c r="R8" s="1569" t="s">
        <v>13</v>
      </c>
      <c r="S8" s="1570">
        <f t="shared" si="0"/>
        <v>0</v>
      </c>
      <c r="T8" s="1569" t="s">
        <v>13</v>
      </c>
      <c r="U8" s="1570">
        <f t="shared" si="1"/>
        <v>0</v>
      </c>
      <c r="V8" s="1569" t="s">
        <v>13</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3"/>
      <c r="Q11" s="1151" t="str">
        <f t="shared" si="6"/>
        <v>容积率</v>
      </c>
      <c r="R11" s="1569" t="s">
        <v>11</v>
      </c>
      <c r="S11" s="1570" t="e">
        <f t="shared" si="0"/>
        <v>#N/A</v>
      </c>
      <c r="T11" s="1569" t="s">
        <v>11</v>
      </c>
      <c r="U11" s="1570" t="e">
        <f t="shared" si="1"/>
        <v>#N/A</v>
      </c>
      <c r="V11" s="1569" t="s">
        <v>11</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3"/>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3"/>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3"/>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5" t="s">
        <v>540</v>
      </c>
      <c r="Q15" s="1573" t="str">
        <f t="shared" si="6"/>
        <v>居住社区成熟度</v>
      </c>
      <c r="R15" s="1574" t="s">
        <v>11</v>
      </c>
      <c r="S15" s="1575">
        <f t="shared" si="0"/>
        <v>100</v>
      </c>
      <c r="T15" s="1574" t="s">
        <v>11</v>
      </c>
      <c r="U15" s="1575">
        <f t="shared" si="1"/>
        <v>100</v>
      </c>
      <c r="V15" s="1574" t="s">
        <v>11</v>
      </c>
      <c r="W15" s="1575">
        <f t="shared" si="2"/>
        <v>100</v>
      </c>
      <c r="X15" s="1568"/>
      <c r="Y15" s="336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66"/>
      <c r="Q17" s="1573" t="str">
        <f>B17</f>
        <v>交通便捷度</v>
      </c>
      <c r="R17" s="1574" t="s">
        <v>11</v>
      </c>
      <c r="S17" s="1575">
        <f>F17</f>
        <v>100</v>
      </c>
      <c r="T17" s="1574" t="s">
        <v>11</v>
      </c>
      <c r="U17" s="1575">
        <f>H17</f>
        <v>100</v>
      </c>
      <c r="V17" s="1574" t="s">
        <v>11</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66"/>
      <c r="Q19" s="1573" t="str">
        <f>B19</f>
        <v>公共配套设施</v>
      </c>
      <c r="R19" s="1574" t="s">
        <v>11</v>
      </c>
      <c r="S19" s="1575">
        <f>F19</f>
        <v>100</v>
      </c>
      <c r="T19" s="1574" t="s">
        <v>11</v>
      </c>
      <c r="U19" s="1575">
        <f>H19</f>
        <v>100</v>
      </c>
      <c r="V19" s="1574" t="s">
        <v>11</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66"/>
      <c r="Q21" s="2581" t="str">
        <f>B21</f>
        <v>基础设施水平</v>
      </c>
      <c r="R21" s="1574" t="s">
        <v>11</v>
      </c>
      <c r="S21" s="1575">
        <f>F21</f>
        <v>100</v>
      </c>
      <c r="T21" s="1574" t="s">
        <v>11</v>
      </c>
      <c r="U21" s="1575">
        <f>H21</f>
        <v>100</v>
      </c>
      <c r="V21" s="1574" t="s">
        <v>11</v>
      </c>
      <c r="W21" s="1575">
        <f>J21</f>
        <v>100</v>
      </c>
      <c r="X21" s="2583"/>
      <c r="Y21" s="336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66"/>
      <c r="Q22" s="2581"/>
      <c r="R22" s="1574"/>
      <c r="S22" s="1575"/>
      <c r="T22" s="1574"/>
      <c r="U22" s="1575"/>
      <c r="V22" s="1574"/>
      <c r="W22" s="1575"/>
      <c r="X22" s="2583"/>
      <c r="Y22" s="3366"/>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66"/>
      <c r="Q23" s="1573" t="str">
        <f>B23</f>
        <v>自然及人文环境</v>
      </c>
      <c r="R23" s="1574" t="s">
        <v>11</v>
      </c>
      <c r="S23" s="1575">
        <f>F23</f>
        <v>100</v>
      </c>
      <c r="T23" s="1574" t="s">
        <v>11</v>
      </c>
      <c r="U23" s="1575">
        <f>H23</f>
        <v>100</v>
      </c>
      <c r="V23" s="1574" t="s">
        <v>11</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6"/>
      <c r="Q25" s="1573" t="str">
        <f t="shared" ref="Q25:Q46" si="11">B25</f>
        <v>楼层-1</v>
      </c>
      <c r="R25" s="1574" t="s">
        <v>11</v>
      </c>
      <c r="S25" s="1575">
        <f>F25</f>
        <v>100</v>
      </c>
      <c r="T25" s="1574" t="s">
        <v>11</v>
      </c>
      <c r="U25" s="1575">
        <f>H25</f>
        <v>100</v>
      </c>
      <c r="V25" s="1574" t="s">
        <v>11</v>
      </c>
      <c r="W25" s="1575">
        <f>J25</f>
        <v>100</v>
      </c>
      <c r="X25" s="1568"/>
      <c r="Y25" s="336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6"/>
      <c r="Q26" s="1573" t="str">
        <f t="shared" si="11"/>
        <v>朝向</v>
      </c>
      <c r="R26" s="1574" t="s">
        <v>11</v>
      </c>
      <c r="S26" s="1575">
        <f>F26</f>
        <v>100</v>
      </c>
      <c r="T26" s="1574" t="s">
        <v>11</v>
      </c>
      <c r="U26" s="1575">
        <f>H26</f>
        <v>100</v>
      </c>
      <c r="V26" s="1574" t="s">
        <v>11</v>
      </c>
      <c r="W26" s="1575">
        <f>J26</f>
        <v>100</v>
      </c>
      <c r="X26" s="1568"/>
      <c r="Y26" s="336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6"/>
      <c r="Q27" s="1151" t="str">
        <f t="shared" si="11"/>
        <v>道路级别</v>
      </c>
      <c r="R27" s="1569" t="s">
        <v>11</v>
      </c>
      <c r="S27" s="1570">
        <f>F27</f>
        <v>100</v>
      </c>
      <c r="T27" s="1569" t="s">
        <v>11</v>
      </c>
      <c r="U27" s="1570">
        <f>H27</f>
        <v>100</v>
      </c>
      <c r="V27" s="1569" t="s">
        <v>11</v>
      </c>
      <c r="W27" s="1570">
        <f>J27</f>
        <v>100</v>
      </c>
      <c r="X27" s="1571"/>
      <c r="Y27" s="336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6"/>
      <c r="Q29" s="1573">
        <f t="shared" si="11"/>
        <v>111</v>
      </c>
      <c r="R29" s="1574" t="s">
        <v>11</v>
      </c>
      <c r="S29" s="1575">
        <f t="shared" si="12"/>
        <v>100</v>
      </c>
      <c r="T29" s="1574" t="s">
        <v>11</v>
      </c>
      <c r="U29" s="1575">
        <f t="shared" si="13"/>
        <v>100</v>
      </c>
      <c r="V29" s="1574" t="s">
        <v>11</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6"/>
      <c r="Q30" s="1573">
        <f t="shared" si="11"/>
        <v>111</v>
      </c>
      <c r="R30" s="1574" t="s">
        <v>11</v>
      </c>
      <c r="S30" s="1575">
        <f t="shared" si="12"/>
        <v>100</v>
      </c>
      <c r="T30" s="1574" t="s">
        <v>11</v>
      </c>
      <c r="U30" s="1575">
        <f t="shared" si="13"/>
        <v>100</v>
      </c>
      <c r="V30" s="1574" t="s">
        <v>11</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6"/>
      <c r="Q31" s="1573">
        <f t="shared" si="11"/>
        <v>111</v>
      </c>
      <c r="R31" s="1574" t="s">
        <v>11</v>
      </c>
      <c r="S31" s="1575">
        <f t="shared" si="12"/>
        <v>100</v>
      </c>
      <c r="T31" s="1574" t="s">
        <v>11</v>
      </c>
      <c r="U31" s="1575">
        <f t="shared" si="13"/>
        <v>100</v>
      </c>
      <c r="V31" s="1574" t="s">
        <v>11</v>
      </c>
      <c r="W31" s="1575">
        <f t="shared" si="14"/>
        <v>100</v>
      </c>
      <c r="X31" s="1568"/>
      <c r="Y31" s="3366"/>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7" t="s">
        <v>550</v>
      </c>
      <c r="Q32" s="1573" t="str">
        <f t="shared" si="11"/>
        <v>建筑类型</v>
      </c>
      <c r="R32" s="1574" t="s">
        <v>11</v>
      </c>
      <c r="S32" s="1575">
        <f t="shared" si="12"/>
        <v>100</v>
      </c>
      <c r="T32" s="1574" t="s">
        <v>11</v>
      </c>
      <c r="U32" s="1575">
        <f t="shared" si="13"/>
        <v>100</v>
      </c>
      <c r="V32" s="1574" t="s">
        <v>11</v>
      </c>
      <c r="W32" s="1575">
        <f t="shared" si="14"/>
        <v>100</v>
      </c>
      <c r="X32" s="1568"/>
      <c r="Y32" s="336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68"/>
      <c r="Q33" s="1606" t="str">
        <f t="shared" si="11"/>
        <v>项目建筑规模</v>
      </c>
      <c r="R33" s="1578" t="s">
        <v>11</v>
      </c>
      <c r="S33" s="1579" t="e">
        <f t="shared" si="12"/>
        <v>#N/A</v>
      </c>
      <c r="T33" s="1578" t="s">
        <v>11</v>
      </c>
      <c r="U33" s="1579" t="e">
        <f t="shared" si="13"/>
        <v>#N/A</v>
      </c>
      <c r="V33" s="1578" t="s">
        <v>11</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8"/>
      <c r="Q34" s="1573" t="str">
        <f t="shared" si="11"/>
        <v>建筑结构</v>
      </c>
      <c r="R34" s="1574" t="s">
        <v>11</v>
      </c>
      <c r="S34" s="1575">
        <f t="shared" si="12"/>
        <v>100</v>
      </c>
      <c r="T34" s="1574" t="s">
        <v>11</v>
      </c>
      <c r="U34" s="1575">
        <f t="shared" si="13"/>
        <v>100</v>
      </c>
      <c r="V34" s="1574" t="s">
        <v>11</v>
      </c>
      <c r="W34" s="1575">
        <f t="shared" si="14"/>
        <v>100</v>
      </c>
      <c r="X34" s="1568"/>
      <c r="Y34" s="336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8"/>
      <c r="Q35" s="1573" t="str">
        <f t="shared" si="11"/>
        <v>建筑品质</v>
      </c>
      <c r="R35" s="1574" t="s">
        <v>11</v>
      </c>
      <c r="S35" s="1575">
        <f t="shared" si="12"/>
        <v>100</v>
      </c>
      <c r="T35" s="1574" t="s">
        <v>11</v>
      </c>
      <c r="U35" s="1575">
        <f t="shared" si="13"/>
        <v>100</v>
      </c>
      <c r="V35" s="1574" t="s">
        <v>11</v>
      </c>
      <c r="W35" s="1575">
        <f t="shared" si="14"/>
        <v>100</v>
      </c>
      <c r="X35" s="1568"/>
      <c r="Y35" s="336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8"/>
      <c r="Q36" s="1573" t="str">
        <f t="shared" si="11"/>
        <v>公共部分装修</v>
      </c>
      <c r="R36" s="1574" t="s">
        <v>11</v>
      </c>
      <c r="S36" s="1575">
        <f t="shared" si="12"/>
        <v>100</v>
      </c>
      <c r="T36" s="1574" t="s">
        <v>11</v>
      </c>
      <c r="U36" s="1575">
        <f t="shared" si="13"/>
        <v>100</v>
      </c>
      <c r="V36" s="1574" t="s">
        <v>11</v>
      </c>
      <c r="W36" s="1575">
        <f t="shared" si="14"/>
        <v>100</v>
      </c>
      <c r="X36" s="1568"/>
      <c r="Y36" s="336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68"/>
      <c r="Q37" s="1151" t="str">
        <f t="shared" si="11"/>
        <v>成新度</v>
      </c>
      <c r="R37" s="1569" t="s">
        <v>11</v>
      </c>
      <c r="S37" s="1570" t="e">
        <f t="shared" si="12"/>
        <v>#N/A</v>
      </c>
      <c r="T37" s="1569" t="s">
        <v>11</v>
      </c>
      <c r="U37" s="1570" t="e">
        <f t="shared" si="13"/>
        <v>#N/A</v>
      </c>
      <c r="V37" s="1569" t="s">
        <v>11</v>
      </c>
      <c r="W37" s="1570" t="e">
        <f t="shared" si="14"/>
        <v>#N/A</v>
      </c>
      <c r="X37" s="1571"/>
      <c r="Y37" s="336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8" t="s">
        <v>550</v>
      </c>
      <c r="Q38" s="1573" t="str">
        <f t="shared" si="11"/>
        <v>物业管理</v>
      </c>
      <c r="R38" s="1574" t="s">
        <v>11</v>
      </c>
      <c r="S38" s="1575">
        <f t="shared" si="12"/>
        <v>100</v>
      </c>
      <c r="T38" s="1574" t="s">
        <v>11</v>
      </c>
      <c r="U38" s="1575">
        <f t="shared" si="13"/>
        <v>100</v>
      </c>
      <c r="V38" s="1574" t="s">
        <v>11</v>
      </c>
      <c r="W38" s="1575">
        <f t="shared" si="14"/>
        <v>100</v>
      </c>
      <c r="X38" s="1568"/>
      <c r="Y38" s="3368"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8"/>
      <c r="Q39" s="1573" t="str">
        <f t="shared" si="11"/>
        <v>市政基础设施</v>
      </c>
      <c r="R39" s="1574" t="s">
        <v>11</v>
      </c>
      <c r="S39" s="1575">
        <f t="shared" si="12"/>
        <v>100</v>
      </c>
      <c r="T39" s="1574" t="s">
        <v>11</v>
      </c>
      <c r="U39" s="1575">
        <f t="shared" si="13"/>
        <v>100</v>
      </c>
      <c r="V39" s="1574" t="s">
        <v>11</v>
      </c>
      <c r="W39" s="1575">
        <f t="shared" si="14"/>
        <v>100</v>
      </c>
      <c r="X39" s="1568"/>
      <c r="Y39" s="336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8"/>
      <c r="Q40" s="1573" t="str">
        <f t="shared" si="11"/>
        <v>房型</v>
      </c>
      <c r="R40" s="1574" t="s">
        <v>11</v>
      </c>
      <c r="S40" s="1575">
        <f t="shared" si="12"/>
        <v>100</v>
      </c>
      <c r="T40" s="1574" t="s">
        <v>11</v>
      </c>
      <c r="U40" s="1575">
        <f t="shared" si="13"/>
        <v>100</v>
      </c>
      <c r="V40" s="1574" t="s">
        <v>11</v>
      </c>
      <c r="W40" s="1575">
        <f t="shared" si="14"/>
        <v>100</v>
      </c>
      <c r="X40" s="1568"/>
      <c r="Y40" s="336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8"/>
      <c r="Q41" s="1606" t="str">
        <f t="shared" si="11"/>
        <v>单套/主力户型建筑面积</v>
      </c>
      <c r="R41" s="1578" t="s">
        <v>11</v>
      </c>
      <c r="S41" s="1579">
        <f t="shared" si="12"/>
        <v>100</v>
      </c>
      <c r="T41" s="1578" t="s">
        <v>11</v>
      </c>
      <c r="U41" s="1579">
        <f t="shared" si="13"/>
        <v>100</v>
      </c>
      <c r="V41" s="1578" t="s">
        <v>11</v>
      </c>
      <c r="W41" s="1579">
        <f t="shared" si="14"/>
        <v>100</v>
      </c>
      <c r="X41" s="1580"/>
      <c r="Y41" s="336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8"/>
      <c r="Q42" s="1573" t="str">
        <f t="shared" si="11"/>
        <v>内部装修</v>
      </c>
      <c r="R42" s="1574" t="s">
        <v>11</v>
      </c>
      <c r="S42" s="1575">
        <f t="shared" si="12"/>
        <v>100</v>
      </c>
      <c r="T42" s="1574" t="s">
        <v>11</v>
      </c>
      <c r="U42" s="1575">
        <f t="shared" si="13"/>
        <v>100</v>
      </c>
      <c r="V42" s="1574" t="s">
        <v>11</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8"/>
      <c r="Q43" s="1573" t="str">
        <f t="shared" si="11"/>
        <v>内部装修维护情况</v>
      </c>
      <c r="R43" s="1574" t="s">
        <v>11</v>
      </c>
      <c r="S43" s="1575">
        <f t="shared" si="12"/>
        <v>100</v>
      </c>
      <c r="T43" s="1574" t="s">
        <v>11</v>
      </c>
      <c r="U43" s="1575">
        <f t="shared" si="13"/>
        <v>100</v>
      </c>
      <c r="V43" s="1574" t="s">
        <v>11</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8"/>
      <c r="Q44" s="1151">
        <f t="shared" si="11"/>
        <v>111</v>
      </c>
      <c r="R44" s="1569" t="s">
        <v>11</v>
      </c>
      <c r="S44" s="1570">
        <f t="shared" si="12"/>
        <v>100</v>
      </c>
      <c r="T44" s="1569" t="s">
        <v>11</v>
      </c>
      <c r="U44" s="1570">
        <f t="shared" si="13"/>
        <v>100</v>
      </c>
      <c r="V44" s="1569" t="s">
        <v>11</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8"/>
      <c r="Q45" s="1573">
        <f t="shared" si="11"/>
        <v>111</v>
      </c>
      <c r="R45" s="1574" t="s">
        <v>11</v>
      </c>
      <c r="S45" s="1575">
        <f t="shared" si="12"/>
        <v>100</v>
      </c>
      <c r="T45" s="1574" t="s">
        <v>11</v>
      </c>
      <c r="U45" s="1575">
        <f t="shared" si="13"/>
        <v>100</v>
      </c>
      <c r="V45" s="1574" t="s">
        <v>11</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4"/>
      <c r="Q46" s="1573">
        <f t="shared" si="11"/>
        <v>111</v>
      </c>
      <c r="R46" s="1574" t="s">
        <v>10</v>
      </c>
      <c r="S46" s="1575">
        <f t="shared" si="12"/>
        <v>100</v>
      </c>
      <c r="T46" s="1574" t="s">
        <v>10</v>
      </c>
      <c r="U46" s="1575">
        <f t="shared" si="13"/>
        <v>100</v>
      </c>
      <c r="V46" s="1574" t="s">
        <v>10</v>
      </c>
      <c r="W46" s="1575">
        <f t="shared" si="14"/>
        <v>100</v>
      </c>
      <c r="X46" s="1568"/>
      <c r="Y46" s="3464"/>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63" t="str">
        <f>A47</f>
        <v>成交单价（元/平方米）</v>
      </c>
      <c r="Q47" s="3363"/>
      <c r="R47" s="3463">
        <f>E47</f>
        <v>0</v>
      </c>
      <c r="S47" s="3463"/>
      <c r="T47" s="3463">
        <f>G47</f>
        <v>0</v>
      </c>
      <c r="U47" s="3463"/>
      <c r="V47" s="3463">
        <f>I47</f>
        <v>0</v>
      </c>
      <c r="W47" s="346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63" t="str">
        <f>A48</f>
        <v>比较价格（元/平方米）</v>
      </c>
      <c r="Q48" s="3363"/>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2938</v>
      </c>
      <c r="B49" s="622"/>
      <c r="C49" s="2638" t="e">
        <f>R49</f>
        <v>#DIV/0!</v>
      </c>
      <c r="D49" s="2638"/>
      <c r="E49" s="2638"/>
      <c r="F49" s="2638"/>
      <c r="G49" s="2638"/>
      <c r="H49" s="2638"/>
      <c r="I49" s="2638"/>
      <c r="J49" s="2638"/>
      <c r="K49" s="1609"/>
      <c r="L49" s="2146"/>
      <c r="M49" s="2147"/>
      <c r="N49" s="2147"/>
      <c r="O49" s="2147"/>
      <c r="P49" s="3384" t="str">
        <f>A49</f>
        <v>估价对象XX用房的比较价格（楼面单价，元/平方米）</v>
      </c>
      <c r="Q49" s="3385"/>
      <c r="R49" s="3462" t="e">
        <f>IF(F1="售价",ROUND(AVERAGE(R48:V48),0),ROUND(AVERAGE(R48:V48),1))</f>
        <v>#DIV/0!</v>
      </c>
      <c r="S49" s="3462"/>
      <c r="T49" s="3462"/>
      <c r="U49" s="3462"/>
      <c r="V49" s="3462"/>
      <c r="W49" s="346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9" t="s">
        <v>522</v>
      </c>
      <c r="D4" s="3370"/>
      <c r="E4" s="3393" t="s">
        <v>523</v>
      </c>
      <c r="F4" s="3394"/>
      <c r="G4" s="3369" t="s">
        <v>524</v>
      </c>
      <c r="H4" s="3370"/>
      <c r="I4" s="3369" t="s">
        <v>525</v>
      </c>
      <c r="J4" s="3370"/>
      <c r="K4" s="514" t="s">
        <v>526</v>
      </c>
      <c r="L4" s="2135"/>
      <c r="M4" s="2136"/>
      <c r="N4" s="2136"/>
      <c r="O4" s="2136"/>
      <c r="P4" s="3371" t="s">
        <v>527</v>
      </c>
      <c r="Q4" s="3372"/>
      <c r="R4" s="3357" t="s">
        <v>523</v>
      </c>
      <c r="S4" s="3358"/>
      <c r="T4" s="3357" t="s">
        <v>524</v>
      </c>
      <c r="U4" s="3358"/>
      <c r="V4" s="3377" t="s">
        <v>525</v>
      </c>
      <c r="W4" s="3377"/>
      <c r="X4" s="1568"/>
      <c r="Y4" s="3357" t="s">
        <v>527</v>
      </c>
      <c r="Z4" s="3358"/>
      <c r="AA4" s="3352" t="s">
        <v>523</v>
      </c>
      <c r="AB4" s="3377" t="s">
        <v>524</v>
      </c>
      <c r="AC4" s="3352" t="s">
        <v>525</v>
      </c>
    </row>
    <row r="5" spans="1:29" ht="15">
      <c r="A5" s="515"/>
      <c r="B5" s="516"/>
      <c r="C5" s="3380" t="s">
        <v>2932</v>
      </c>
      <c r="D5" s="3381"/>
      <c r="E5" s="3395" t="s">
        <v>2933</v>
      </c>
      <c r="F5" s="3396"/>
      <c r="G5" s="3380" t="s">
        <v>2934</v>
      </c>
      <c r="H5" s="3381"/>
      <c r="I5" s="3380" t="s">
        <v>2935</v>
      </c>
      <c r="J5" s="3381"/>
      <c r="K5" s="514"/>
      <c r="L5" s="2135"/>
      <c r="M5" s="2136"/>
      <c r="N5" s="2136"/>
      <c r="O5" s="2136"/>
      <c r="P5" s="3373"/>
      <c r="Q5" s="3374"/>
      <c r="R5" s="3359"/>
      <c r="S5" s="3360"/>
      <c r="T5" s="3359"/>
      <c r="U5" s="3360"/>
      <c r="V5" s="3377"/>
      <c r="W5" s="3377"/>
      <c r="X5" s="1568"/>
      <c r="Y5" s="3359"/>
      <c r="Z5" s="3360"/>
      <c r="AA5" s="3353"/>
      <c r="AB5" s="3377"/>
      <c r="AC5" s="3353"/>
    </row>
    <row r="6" spans="1:29" ht="15.75" thickBot="1">
      <c r="A6" s="517"/>
      <c r="B6" s="518"/>
      <c r="C6" s="3378" t="s">
        <v>2936</v>
      </c>
      <c r="D6" s="3379"/>
      <c r="E6" s="3397" t="s">
        <v>2936</v>
      </c>
      <c r="F6" s="3398"/>
      <c r="G6" s="3378" t="s">
        <v>2936</v>
      </c>
      <c r="H6" s="3379"/>
      <c r="I6" s="3378" t="s">
        <v>2936</v>
      </c>
      <c r="J6" s="3379"/>
      <c r="K6" s="514" t="s">
        <v>528</v>
      </c>
      <c r="L6" s="2135"/>
      <c r="M6" s="2136"/>
      <c r="N6" s="2136"/>
      <c r="O6" s="2136"/>
      <c r="P6" s="3375"/>
      <c r="Q6" s="3376"/>
      <c r="R6" s="3359"/>
      <c r="S6" s="3360"/>
      <c r="T6" s="3361"/>
      <c r="U6" s="3362"/>
      <c r="V6" s="3377"/>
      <c r="W6" s="3377"/>
      <c r="X6" s="1568"/>
      <c r="Y6" s="3361"/>
      <c r="Z6" s="3362"/>
      <c r="AA6" s="3354"/>
      <c r="AB6" s="3377"/>
      <c r="AC6" s="3354"/>
    </row>
    <row r="7" spans="1:29" s="1220" customFormat="1" ht="15.75" thickBot="1">
      <c r="A7" s="2914"/>
      <c r="B7" s="2921" t="s">
        <v>529</v>
      </c>
      <c r="C7" s="519">
        <f>'数据-取费表'!B2</f>
        <v>43370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5" t="s">
        <v>533</v>
      </c>
      <c r="Q8" s="3356"/>
      <c r="R8" s="1569" t="s">
        <v>8</v>
      </c>
      <c r="S8" s="1570">
        <f t="shared" si="0"/>
        <v>0</v>
      </c>
      <c r="T8" s="1569" t="s">
        <v>8</v>
      </c>
      <c r="U8" s="1570">
        <f t="shared" si="1"/>
        <v>0</v>
      </c>
      <c r="V8" s="1569" t="s">
        <v>8</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5" t="s">
        <v>540</v>
      </c>
      <c r="Q15" s="1573" t="str">
        <f t="shared" si="6"/>
        <v>商业繁华度</v>
      </c>
      <c r="R15" s="1574" t="s">
        <v>8</v>
      </c>
      <c r="S15" s="1575">
        <f t="shared" si="0"/>
        <v>100</v>
      </c>
      <c r="T15" s="1574" t="s">
        <v>8</v>
      </c>
      <c r="U15" s="1575">
        <f t="shared" si="1"/>
        <v>100</v>
      </c>
      <c r="V15" s="1574" t="s">
        <v>8</v>
      </c>
      <c r="W15" s="1575">
        <f t="shared" si="2"/>
        <v>100</v>
      </c>
      <c r="X15" s="1568"/>
      <c r="Y15" s="336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6"/>
      <c r="Q21" s="2581" t="str">
        <f>B21</f>
        <v>基础设施水平</v>
      </c>
      <c r="R21" s="1574" t="s">
        <v>8</v>
      </c>
      <c r="S21" s="1575">
        <f>F21</f>
        <v>100</v>
      </c>
      <c r="T21" s="1574" t="s">
        <v>8</v>
      </c>
      <c r="U21" s="1575">
        <f>H21</f>
        <v>100</v>
      </c>
      <c r="V21" s="1574" t="s">
        <v>8</v>
      </c>
      <c r="W21" s="1575">
        <f>J21</f>
        <v>100</v>
      </c>
      <c r="X21" s="2583"/>
      <c r="Y21" s="336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66"/>
      <c r="Q22" s="2581"/>
      <c r="R22" s="1574"/>
      <c r="S22" s="1575"/>
      <c r="T22" s="1574"/>
      <c r="U22" s="1575"/>
      <c r="V22" s="1574"/>
      <c r="W22" s="1575"/>
      <c r="X22" s="2583"/>
      <c r="Y22" s="3366"/>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6"/>
      <c r="Q23" s="1573" t="str">
        <f>B23</f>
        <v>自然及人文环境</v>
      </c>
      <c r="R23" s="1574" t="s">
        <v>8</v>
      </c>
      <c r="S23" s="1575">
        <f>F23</f>
        <v>100</v>
      </c>
      <c r="T23" s="1574" t="s">
        <v>8</v>
      </c>
      <c r="U23" s="1575">
        <f>H23</f>
        <v>100</v>
      </c>
      <c r="V23" s="1574" t="s">
        <v>8</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6"/>
      <c r="Q25" s="1573" t="str">
        <f t="shared" ref="Q25:Q46" si="11">B25</f>
        <v>临街状况</v>
      </c>
      <c r="R25" s="1574" t="s">
        <v>8</v>
      </c>
      <c r="S25" s="1575">
        <f>F25</f>
        <v>100</v>
      </c>
      <c r="T25" s="1574" t="s">
        <v>8</v>
      </c>
      <c r="U25" s="1575">
        <f>H25</f>
        <v>100</v>
      </c>
      <c r="V25" s="1574" t="s">
        <v>8</v>
      </c>
      <c r="W25" s="1575">
        <f>J25</f>
        <v>100</v>
      </c>
      <c r="X25" s="1568"/>
      <c r="Y25" s="336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6"/>
      <c r="Q26" s="1573" t="str">
        <f t="shared" si="11"/>
        <v>平面位置/可视性</v>
      </c>
      <c r="R26" s="1574" t="s">
        <v>8</v>
      </c>
      <c r="S26" s="1575">
        <f>F26</f>
        <v>100</v>
      </c>
      <c r="T26" s="1574" t="s">
        <v>8</v>
      </c>
      <c r="U26" s="1575">
        <f>H26</f>
        <v>100</v>
      </c>
      <c r="V26" s="1574" t="s">
        <v>8</v>
      </c>
      <c r="W26" s="1575">
        <f>J26</f>
        <v>100</v>
      </c>
      <c r="X26" s="1568"/>
      <c r="Y26" s="336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6"/>
      <c r="Q27" s="1151" t="str">
        <f t="shared" si="11"/>
        <v>人流量</v>
      </c>
      <c r="R27" s="1569" t="s">
        <v>8</v>
      </c>
      <c r="S27" s="1570">
        <f>F27</f>
        <v>100</v>
      </c>
      <c r="T27" s="1569" t="s">
        <v>8</v>
      </c>
      <c r="U27" s="1570">
        <f>H27</f>
        <v>100</v>
      </c>
      <c r="V27" s="1569" t="s">
        <v>8</v>
      </c>
      <c r="W27" s="1570">
        <f>J27</f>
        <v>100</v>
      </c>
      <c r="X27" s="1571"/>
      <c r="Y27" s="336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6"/>
      <c r="Q29" s="1573">
        <f t="shared" si="11"/>
        <v>111</v>
      </c>
      <c r="R29" s="1574" t="s">
        <v>8</v>
      </c>
      <c r="S29" s="1575">
        <f t="shared" si="12"/>
        <v>100</v>
      </c>
      <c r="T29" s="1574" t="s">
        <v>8</v>
      </c>
      <c r="U29" s="1575">
        <f t="shared" si="13"/>
        <v>100</v>
      </c>
      <c r="V29" s="1574" t="s">
        <v>8</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7" t="s">
        <v>550</v>
      </c>
      <c r="Q32" s="1573" t="str">
        <f t="shared" si="11"/>
        <v>商业类型</v>
      </c>
      <c r="R32" s="1574" t="s">
        <v>8</v>
      </c>
      <c r="S32" s="1575">
        <f t="shared" si="12"/>
        <v>100</v>
      </c>
      <c r="T32" s="1574" t="s">
        <v>8</v>
      </c>
      <c r="U32" s="1575">
        <f t="shared" si="13"/>
        <v>100</v>
      </c>
      <c r="V32" s="1574" t="s">
        <v>8</v>
      </c>
      <c r="W32" s="1575">
        <f t="shared" si="14"/>
        <v>100</v>
      </c>
      <c r="X32" s="1568"/>
      <c r="Y32" s="336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8"/>
      <c r="Q33" s="1606" t="str">
        <f t="shared" si="11"/>
        <v>项目建筑规模</v>
      </c>
      <c r="R33" s="1578" t="s">
        <v>8</v>
      </c>
      <c r="S33" s="1579" t="e">
        <f t="shared" si="12"/>
        <v>#N/A</v>
      </c>
      <c r="T33" s="1578" t="s">
        <v>8</v>
      </c>
      <c r="U33" s="1579" t="e">
        <f t="shared" si="13"/>
        <v>#N/A</v>
      </c>
      <c r="V33" s="1578" t="s">
        <v>8</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8"/>
      <c r="Q34" s="1573" t="str">
        <f t="shared" si="11"/>
        <v>建筑结构</v>
      </c>
      <c r="R34" s="1574" t="s">
        <v>8</v>
      </c>
      <c r="S34" s="1575">
        <f t="shared" si="12"/>
        <v>100</v>
      </c>
      <c r="T34" s="1574" t="s">
        <v>8</v>
      </c>
      <c r="U34" s="1575">
        <f t="shared" si="13"/>
        <v>100</v>
      </c>
      <c r="V34" s="1574" t="s">
        <v>8</v>
      </c>
      <c r="W34" s="1575">
        <f t="shared" si="14"/>
        <v>100</v>
      </c>
      <c r="X34" s="1568"/>
      <c r="Y34" s="336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8"/>
      <c r="Q35" s="1573" t="str">
        <f t="shared" si="11"/>
        <v>公共部分装修</v>
      </c>
      <c r="R35" s="1574" t="s">
        <v>8</v>
      </c>
      <c r="S35" s="1575">
        <f t="shared" si="12"/>
        <v>100</v>
      </c>
      <c r="T35" s="1574" t="s">
        <v>8</v>
      </c>
      <c r="U35" s="1575">
        <f t="shared" si="13"/>
        <v>100</v>
      </c>
      <c r="V35" s="1574" t="s">
        <v>8</v>
      </c>
      <c r="W35" s="1575">
        <f t="shared" si="14"/>
        <v>100</v>
      </c>
      <c r="X35" s="1568"/>
      <c r="Y35" s="336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8"/>
      <c r="Q36" s="1573" t="str">
        <f t="shared" si="11"/>
        <v>成新度</v>
      </c>
      <c r="R36" s="1574" t="s">
        <v>8</v>
      </c>
      <c r="S36" s="1575" t="e">
        <f t="shared" si="12"/>
        <v>#N/A</v>
      </c>
      <c r="T36" s="1574" t="s">
        <v>8</v>
      </c>
      <c r="U36" s="1575" t="e">
        <f t="shared" si="13"/>
        <v>#N/A</v>
      </c>
      <c r="V36" s="1574" t="s">
        <v>8</v>
      </c>
      <c r="W36" s="1575" t="e">
        <f t="shared" si="14"/>
        <v>#N/A</v>
      </c>
      <c r="X36" s="1568"/>
      <c r="Y36" s="3368"/>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8"/>
      <c r="Q37" s="1151" t="str">
        <f t="shared" si="11"/>
        <v>市政基础设施</v>
      </c>
      <c r="R37" s="1569" t="s">
        <v>8</v>
      </c>
      <c r="S37" s="1570">
        <f t="shared" si="12"/>
        <v>100</v>
      </c>
      <c r="T37" s="1569" t="s">
        <v>8</v>
      </c>
      <c r="U37" s="1570">
        <f t="shared" si="13"/>
        <v>100</v>
      </c>
      <c r="V37" s="1569" t="s">
        <v>8</v>
      </c>
      <c r="W37" s="1570">
        <f t="shared" si="14"/>
        <v>100</v>
      </c>
      <c r="X37" s="1571"/>
      <c r="Y37" s="336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8" t="s">
        <v>766</v>
      </c>
      <c r="Q38" s="1573" t="str">
        <f t="shared" si="11"/>
        <v>业态</v>
      </c>
      <c r="R38" s="1574" t="s">
        <v>8</v>
      </c>
      <c r="S38" s="1575">
        <f t="shared" si="12"/>
        <v>100</v>
      </c>
      <c r="T38" s="1574" t="s">
        <v>8</v>
      </c>
      <c r="U38" s="1575">
        <f t="shared" si="13"/>
        <v>100</v>
      </c>
      <c r="V38" s="1574" t="s">
        <v>8</v>
      </c>
      <c r="W38" s="1575">
        <f t="shared" si="14"/>
        <v>100</v>
      </c>
      <c r="X38" s="1568"/>
      <c r="Y38" s="336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8"/>
      <c r="Q39" s="1573" t="str">
        <f t="shared" si="11"/>
        <v>层高</v>
      </c>
      <c r="R39" s="1574" t="s">
        <v>8</v>
      </c>
      <c r="S39" s="1575">
        <f t="shared" si="12"/>
        <v>100</v>
      </c>
      <c r="T39" s="1574" t="s">
        <v>8</v>
      </c>
      <c r="U39" s="1575">
        <f t="shared" si="13"/>
        <v>100</v>
      </c>
      <c r="V39" s="1574" t="s">
        <v>8</v>
      </c>
      <c r="W39" s="1575">
        <f t="shared" si="14"/>
        <v>100</v>
      </c>
      <c r="X39" s="1568"/>
      <c r="Y39" s="336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8"/>
      <c r="Q40" s="1573" t="str">
        <f t="shared" si="11"/>
        <v>单套建筑面积</v>
      </c>
      <c r="R40" s="1574" t="s">
        <v>8</v>
      </c>
      <c r="S40" s="1575">
        <f t="shared" si="12"/>
        <v>100</v>
      </c>
      <c r="T40" s="1574" t="s">
        <v>8</v>
      </c>
      <c r="U40" s="1575">
        <f t="shared" si="13"/>
        <v>100</v>
      </c>
      <c r="V40" s="1574" t="s">
        <v>8</v>
      </c>
      <c r="W40" s="1575">
        <f t="shared" si="14"/>
        <v>100</v>
      </c>
      <c r="X40" s="1568"/>
      <c r="Y40" s="336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8"/>
      <c r="Q41" s="1606" t="str">
        <f t="shared" si="11"/>
        <v>进深比</v>
      </c>
      <c r="R41" s="1578" t="s">
        <v>8</v>
      </c>
      <c r="S41" s="1579">
        <f t="shared" si="12"/>
        <v>100</v>
      </c>
      <c r="T41" s="1578" t="s">
        <v>8</v>
      </c>
      <c r="U41" s="1579">
        <f t="shared" si="13"/>
        <v>100</v>
      </c>
      <c r="V41" s="1578" t="s">
        <v>8</v>
      </c>
      <c r="W41" s="1579">
        <f t="shared" si="14"/>
        <v>100</v>
      </c>
      <c r="X41" s="1580"/>
      <c r="Y41" s="336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8"/>
      <c r="Q42" s="1573" t="str">
        <f t="shared" si="11"/>
        <v>内部装修</v>
      </c>
      <c r="R42" s="1574" t="s">
        <v>8</v>
      </c>
      <c r="S42" s="1575">
        <f t="shared" si="12"/>
        <v>100</v>
      </c>
      <c r="T42" s="1574" t="s">
        <v>8</v>
      </c>
      <c r="U42" s="1575">
        <f t="shared" si="13"/>
        <v>100</v>
      </c>
      <c r="V42" s="1574" t="s">
        <v>8</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8"/>
      <c r="Q43" s="1573" t="str">
        <f t="shared" si="11"/>
        <v>内部装修维护情况</v>
      </c>
      <c r="R43" s="1574" t="s">
        <v>8</v>
      </c>
      <c r="S43" s="1575">
        <f t="shared" si="12"/>
        <v>100</v>
      </c>
      <c r="T43" s="1574" t="s">
        <v>8</v>
      </c>
      <c r="U43" s="1575">
        <f t="shared" si="13"/>
        <v>100</v>
      </c>
      <c r="V43" s="1574" t="s">
        <v>8</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8"/>
      <c r="Q44" s="1151">
        <f t="shared" si="11"/>
        <v>111</v>
      </c>
      <c r="R44" s="1569" t="s">
        <v>8</v>
      </c>
      <c r="S44" s="1570">
        <f t="shared" si="12"/>
        <v>100</v>
      </c>
      <c r="T44" s="1569" t="s">
        <v>8</v>
      </c>
      <c r="U44" s="1570">
        <f t="shared" si="13"/>
        <v>100</v>
      </c>
      <c r="V44" s="1569" t="s">
        <v>8</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8"/>
      <c r="Q45" s="1573">
        <f t="shared" si="11"/>
        <v>111</v>
      </c>
      <c r="R45" s="1574" t="s">
        <v>8</v>
      </c>
      <c r="S45" s="1575">
        <f t="shared" si="12"/>
        <v>100</v>
      </c>
      <c r="T45" s="1574" t="s">
        <v>8</v>
      </c>
      <c r="U45" s="1575">
        <f t="shared" si="13"/>
        <v>100</v>
      </c>
      <c r="V45" s="1574" t="s">
        <v>8</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4"/>
      <c r="Q46" s="1573">
        <f t="shared" si="11"/>
        <v>111</v>
      </c>
      <c r="R46" s="1574" t="s">
        <v>8</v>
      </c>
      <c r="S46" s="1575">
        <f t="shared" si="12"/>
        <v>100</v>
      </c>
      <c r="T46" s="1574" t="s">
        <v>8</v>
      </c>
      <c r="U46" s="1575">
        <f t="shared" si="13"/>
        <v>100</v>
      </c>
      <c r="V46" s="1574" t="s">
        <v>8</v>
      </c>
      <c r="W46" s="1575">
        <f t="shared" si="14"/>
        <v>100</v>
      </c>
      <c r="X46" s="1568"/>
      <c r="Y46" s="3464"/>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63" t="str">
        <f>A47</f>
        <v>成交单价（元/平方米）</v>
      </c>
      <c r="Q47" s="3363"/>
      <c r="R47" s="3463">
        <f>E47</f>
        <v>0</v>
      </c>
      <c r="S47" s="3463"/>
      <c r="T47" s="3463">
        <f>G47</f>
        <v>0</v>
      </c>
      <c r="U47" s="3463"/>
      <c r="V47" s="3463">
        <f>I47</f>
        <v>0</v>
      </c>
      <c r="W47" s="3463"/>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63" t="str">
        <f>A48</f>
        <v>比较价格（元/平方米）</v>
      </c>
      <c r="Q48" s="3363"/>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0"/>
      <c r="Y48" s="1560"/>
      <c r="Z48" s="1560"/>
      <c r="AA48" s="1560"/>
      <c r="AB48" s="1560"/>
      <c r="AC48" s="1560"/>
    </row>
    <row r="49" spans="1:29" ht="15.75" thickBot="1">
      <c r="A49" s="621" t="s">
        <v>2938</v>
      </c>
      <c r="B49" s="622"/>
      <c r="C49" s="2638" t="e">
        <f>R49</f>
        <v>#DIV/0!</v>
      </c>
      <c r="D49" s="2638"/>
      <c r="E49" s="2638"/>
      <c r="F49" s="2638"/>
      <c r="G49" s="2638"/>
      <c r="H49" s="2638"/>
      <c r="I49" s="2638"/>
      <c r="J49" s="2638"/>
      <c r="K49" s="1614"/>
      <c r="L49" s="2146"/>
      <c r="M49" s="2147"/>
      <c r="N49" s="2136"/>
      <c r="O49" s="2147"/>
      <c r="P49" s="3384" t="str">
        <f>A49</f>
        <v>估价对象XX用房的比较价格（楼面单价，元/平方米）</v>
      </c>
      <c r="Q49" s="3385"/>
      <c r="R49" s="3462" t="e">
        <f>IF(F1="售价",ROUND(AVERAGE(R48:V48),0),ROUND(AVERAGE(R48:V48),1))</f>
        <v>#DIV/0!</v>
      </c>
      <c r="S49" s="3462"/>
      <c r="T49" s="3462"/>
      <c r="U49" s="3462"/>
      <c r="V49" s="3462"/>
      <c r="W49" s="346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9" t="s">
        <v>522</v>
      </c>
      <c r="D4" s="3370"/>
      <c r="E4" s="3393" t="s">
        <v>523</v>
      </c>
      <c r="F4" s="3394"/>
      <c r="G4" s="3369" t="s">
        <v>524</v>
      </c>
      <c r="H4" s="3370"/>
      <c r="I4" s="3369" t="s">
        <v>525</v>
      </c>
      <c r="J4" s="3370"/>
      <c r="K4" s="514" t="s">
        <v>526</v>
      </c>
      <c r="L4" s="2135"/>
      <c r="M4" s="2136"/>
      <c r="N4" s="2136"/>
      <c r="O4" s="2136"/>
      <c r="P4" s="3465"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2932</v>
      </c>
      <c r="D5" s="3381"/>
      <c r="E5" s="3395" t="s">
        <v>2933</v>
      </c>
      <c r="F5" s="3396"/>
      <c r="G5" s="3380" t="s">
        <v>2934</v>
      </c>
      <c r="H5" s="3381"/>
      <c r="I5" s="3380" t="s">
        <v>2935</v>
      </c>
      <c r="J5" s="3381"/>
      <c r="K5" s="514"/>
      <c r="L5" s="2135"/>
      <c r="M5" s="2136"/>
      <c r="N5" s="2136"/>
      <c r="O5" s="2136"/>
      <c r="P5" s="3466"/>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5"/>
      <c r="M6" s="2136"/>
      <c r="N6" s="2136"/>
      <c r="O6" s="2136"/>
      <c r="P6" s="3467"/>
      <c r="Q6" s="3376"/>
      <c r="R6" s="3359"/>
      <c r="S6" s="3360"/>
      <c r="T6" s="3361"/>
      <c r="U6" s="3362"/>
      <c r="V6" s="3377"/>
      <c r="W6" s="3377"/>
      <c r="X6" s="1568"/>
      <c r="Y6" s="3361"/>
      <c r="Z6" s="3362"/>
      <c r="AA6" s="3354"/>
      <c r="AB6" s="3354"/>
      <c r="AC6" s="3354"/>
    </row>
    <row r="7" spans="1:29" s="1220" customFormat="1" ht="15.75" thickBot="1">
      <c r="A7" s="2914"/>
      <c r="B7" s="2921" t="s">
        <v>529</v>
      </c>
      <c r="C7" s="519">
        <f>'数据-取费表'!B2</f>
        <v>43370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4"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4" t="s">
        <v>533</v>
      </c>
      <c r="Q8" s="3356"/>
      <c r="R8" s="1569" t="s">
        <v>8</v>
      </c>
      <c r="S8" s="1570">
        <f t="shared" si="0"/>
        <v>0</v>
      </c>
      <c r="T8" s="1569" t="s">
        <v>8</v>
      </c>
      <c r="U8" s="1570">
        <f t="shared" si="1"/>
        <v>0</v>
      </c>
      <c r="V8" s="1569" t="s">
        <v>8</v>
      </c>
      <c r="W8" s="1570">
        <f t="shared" si="2"/>
        <v>0</v>
      </c>
      <c r="X8" s="1571"/>
      <c r="Y8" s="3355" t="s">
        <v>533</v>
      </c>
      <c r="Z8" s="3356"/>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5" t="s">
        <v>540</v>
      </c>
      <c r="Q15" s="1573" t="str">
        <f t="shared" si="6"/>
        <v>办公集聚程度</v>
      </c>
      <c r="R15" s="1574" t="s">
        <v>8</v>
      </c>
      <c r="S15" s="1575">
        <f t="shared" si="0"/>
        <v>100</v>
      </c>
      <c r="T15" s="1574" t="s">
        <v>8</v>
      </c>
      <c r="U15" s="1575">
        <f t="shared" si="1"/>
        <v>100</v>
      </c>
      <c r="V15" s="1574" t="s">
        <v>8</v>
      </c>
      <c r="W15" s="1575">
        <f t="shared" si="2"/>
        <v>100</v>
      </c>
      <c r="X15" s="1568"/>
      <c r="Y15" s="336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6"/>
      <c r="Q16" s="1573"/>
      <c r="R16" s="1574"/>
      <c r="S16" s="1575"/>
      <c r="T16" s="1574"/>
      <c r="U16" s="1575"/>
      <c r="V16" s="1574"/>
      <c r="W16" s="1575"/>
      <c r="X16" s="1568"/>
      <c r="Y16" s="336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6"/>
      <c r="Q18" s="1573"/>
      <c r="R18" s="1574"/>
      <c r="S18" s="1575"/>
      <c r="T18" s="1574"/>
      <c r="U18" s="1575"/>
      <c r="V18" s="1574"/>
      <c r="W18" s="1575"/>
      <c r="X18" s="1568"/>
      <c r="Y18" s="3366"/>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6"/>
      <c r="Q20" s="1573"/>
      <c r="R20" s="1574"/>
      <c r="S20" s="1575"/>
      <c r="T20" s="1574"/>
      <c r="U20" s="1575"/>
      <c r="V20" s="1574"/>
      <c r="W20" s="1575"/>
      <c r="X20" s="1568"/>
      <c r="Y20" s="3366"/>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6"/>
      <c r="Q21" s="2581" t="str">
        <f>B21</f>
        <v>基础设施水平</v>
      </c>
      <c r="R21" s="1574" t="s">
        <v>8</v>
      </c>
      <c r="S21" s="1575">
        <f>F21</f>
        <v>100</v>
      </c>
      <c r="T21" s="1574" t="s">
        <v>8</v>
      </c>
      <c r="U21" s="1575">
        <f>H21</f>
        <v>100</v>
      </c>
      <c r="V21" s="1574" t="s">
        <v>8</v>
      </c>
      <c r="W21" s="1575">
        <f>J21</f>
        <v>100</v>
      </c>
      <c r="X21" s="2583"/>
      <c r="Y21" s="336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66"/>
      <c r="Q22" s="2581"/>
      <c r="R22" s="1574"/>
      <c r="S22" s="1575"/>
      <c r="T22" s="1574"/>
      <c r="U22" s="1575"/>
      <c r="V22" s="1574"/>
      <c r="W22" s="1575"/>
      <c r="X22" s="2583"/>
      <c r="Y22" s="3366"/>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6"/>
      <c r="Q24" s="1573"/>
      <c r="R24" s="1574"/>
      <c r="S24" s="1575"/>
      <c r="T24" s="1574"/>
      <c r="U24" s="1575"/>
      <c r="V24" s="1574"/>
      <c r="W24" s="1575"/>
      <c r="X24" s="1568"/>
      <c r="Y24" s="336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6"/>
      <c r="Q25" s="1573" t="str">
        <f>B25</f>
        <v>毗邻道路的类型与等级</v>
      </c>
      <c r="R25" s="1574" t="s">
        <v>8</v>
      </c>
      <c r="S25" s="1575">
        <f>F25</f>
        <v>100</v>
      </c>
      <c r="T25" s="1574" t="s">
        <v>8</v>
      </c>
      <c r="U25" s="1575">
        <f>H25</f>
        <v>100</v>
      </c>
      <c r="V25" s="1574" t="s">
        <v>8</v>
      </c>
      <c r="W25" s="1575">
        <f>J25</f>
        <v>100</v>
      </c>
      <c r="X25" s="1568"/>
      <c r="Y25" s="336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6"/>
      <c r="Q26" s="1573"/>
      <c r="R26" s="1574"/>
      <c r="S26" s="1575"/>
      <c r="T26" s="1574"/>
      <c r="U26" s="1575"/>
      <c r="V26" s="1574"/>
      <c r="W26" s="1575"/>
      <c r="X26" s="1568"/>
      <c r="Y26" s="336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6"/>
      <c r="Q27" s="1573" t="str">
        <f t="shared" ref="Q27:Q47" si="11">B27</f>
        <v>楼层</v>
      </c>
      <c r="R27" s="1574" t="s">
        <v>8</v>
      </c>
      <c r="S27" s="1575">
        <f>F27</f>
        <v>100</v>
      </c>
      <c r="T27" s="1574" t="s">
        <v>8</v>
      </c>
      <c r="U27" s="1575">
        <f>H27</f>
        <v>100</v>
      </c>
      <c r="V27" s="1574" t="s">
        <v>8</v>
      </c>
      <c r="W27" s="1575">
        <f>J27</f>
        <v>100</v>
      </c>
      <c r="X27" s="1568"/>
      <c r="Y27" s="336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6"/>
      <c r="Q28" s="1151" t="str">
        <f t="shared" si="11"/>
        <v>朝向</v>
      </c>
      <c r="R28" s="1569" t="s">
        <v>8</v>
      </c>
      <c r="S28" s="1570">
        <f>F28</f>
        <v>100</v>
      </c>
      <c r="T28" s="1569" t="s">
        <v>8</v>
      </c>
      <c r="U28" s="1570">
        <f>H28</f>
        <v>100</v>
      </c>
      <c r="V28" s="1569" t="s">
        <v>8</v>
      </c>
      <c r="W28" s="1570">
        <f>J28</f>
        <v>100</v>
      </c>
      <c r="X28" s="1571"/>
      <c r="Y28" s="336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6"/>
      <c r="Q29" s="1573">
        <f t="shared" si="11"/>
        <v>111</v>
      </c>
      <c r="R29" s="1574" t="s">
        <v>8</v>
      </c>
      <c r="S29" s="1575">
        <f t="shared" ref="S29:S47" si="12">F29</f>
        <v>100</v>
      </c>
      <c r="T29" s="1574" t="s">
        <v>8</v>
      </c>
      <c r="U29" s="1575">
        <f t="shared" ref="U29:U47" si="13">H29</f>
        <v>100</v>
      </c>
      <c r="V29" s="1574" t="s">
        <v>8</v>
      </c>
      <c r="W29" s="1575">
        <f t="shared" ref="W29:W47" si="14">J29</f>
        <v>100</v>
      </c>
      <c r="X29" s="1568"/>
      <c r="Y29" s="336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6"/>
      <c r="Q32" s="1573">
        <f t="shared" si="11"/>
        <v>111</v>
      </c>
      <c r="R32" s="1574" t="s">
        <v>8</v>
      </c>
      <c r="S32" s="1575">
        <f t="shared" si="12"/>
        <v>100</v>
      </c>
      <c r="T32" s="1574" t="s">
        <v>8</v>
      </c>
      <c r="U32" s="1575">
        <f t="shared" si="13"/>
        <v>100</v>
      </c>
      <c r="V32" s="1574" t="s">
        <v>8</v>
      </c>
      <c r="W32" s="1575">
        <f t="shared" si="14"/>
        <v>100</v>
      </c>
      <c r="X32" s="1568"/>
      <c r="Y32" s="3366"/>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7" t="s">
        <v>550</v>
      </c>
      <c r="Q33" s="1573" t="str">
        <f t="shared" si="11"/>
        <v>建筑类型</v>
      </c>
      <c r="R33" s="1574" t="s">
        <v>8</v>
      </c>
      <c r="S33" s="1575">
        <f t="shared" si="12"/>
        <v>100</v>
      </c>
      <c r="T33" s="1574" t="s">
        <v>8</v>
      </c>
      <c r="U33" s="1575">
        <f t="shared" si="13"/>
        <v>100</v>
      </c>
      <c r="V33" s="1574" t="s">
        <v>8</v>
      </c>
      <c r="W33" s="1575">
        <f t="shared" si="14"/>
        <v>100</v>
      </c>
      <c r="X33" s="1568"/>
      <c r="Y33" s="336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8"/>
      <c r="Q34" s="1606" t="str">
        <f t="shared" si="11"/>
        <v>项目建筑规模</v>
      </c>
      <c r="R34" s="1578" t="s">
        <v>8</v>
      </c>
      <c r="S34" s="1579" t="e">
        <f t="shared" si="12"/>
        <v>#N/A</v>
      </c>
      <c r="T34" s="1578" t="s">
        <v>8</v>
      </c>
      <c r="U34" s="1579" t="e">
        <f t="shared" si="13"/>
        <v>#N/A</v>
      </c>
      <c r="V34" s="1578" t="s">
        <v>8</v>
      </c>
      <c r="W34" s="1579" t="e">
        <f t="shared" si="14"/>
        <v>#N/A</v>
      </c>
      <c r="X34" s="1580"/>
      <c r="Y34" s="336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8"/>
      <c r="Q35" s="1573" t="str">
        <f t="shared" si="11"/>
        <v>建筑结构</v>
      </c>
      <c r="R35" s="1574" t="s">
        <v>8</v>
      </c>
      <c r="S35" s="1575">
        <f t="shared" si="12"/>
        <v>100</v>
      </c>
      <c r="T35" s="1574" t="s">
        <v>8</v>
      </c>
      <c r="U35" s="1575">
        <f t="shared" si="13"/>
        <v>100</v>
      </c>
      <c r="V35" s="1574" t="s">
        <v>8</v>
      </c>
      <c r="W35" s="1575">
        <f t="shared" si="14"/>
        <v>100</v>
      </c>
      <c r="X35" s="1568"/>
      <c r="Y35" s="336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8"/>
      <c r="Q36" s="1573" t="str">
        <f t="shared" si="11"/>
        <v>公共部分装修</v>
      </c>
      <c r="R36" s="1574" t="s">
        <v>8</v>
      </c>
      <c r="S36" s="1575">
        <f t="shared" si="12"/>
        <v>100</v>
      </c>
      <c r="T36" s="1574" t="s">
        <v>8</v>
      </c>
      <c r="U36" s="1575">
        <f t="shared" si="13"/>
        <v>100</v>
      </c>
      <c r="V36" s="1574" t="s">
        <v>8</v>
      </c>
      <c r="W36" s="1575">
        <f t="shared" si="14"/>
        <v>100</v>
      </c>
      <c r="X36" s="1568"/>
      <c r="Y36" s="336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8"/>
      <c r="Q37" s="1573" t="str">
        <f t="shared" si="11"/>
        <v>成新度</v>
      </c>
      <c r="R37" s="1574" t="s">
        <v>8</v>
      </c>
      <c r="S37" s="1575" t="e">
        <f t="shared" si="12"/>
        <v>#N/A</v>
      </c>
      <c r="T37" s="1574" t="s">
        <v>8</v>
      </c>
      <c r="U37" s="1575" t="e">
        <f t="shared" si="13"/>
        <v>#N/A</v>
      </c>
      <c r="V37" s="1574" t="s">
        <v>8</v>
      </c>
      <c r="W37" s="1575" t="e">
        <f t="shared" si="14"/>
        <v>#N/A</v>
      </c>
      <c r="X37" s="1568"/>
      <c r="Y37" s="336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8"/>
      <c r="Q38" s="1151" t="str">
        <f t="shared" si="11"/>
        <v>写字楼等级</v>
      </c>
      <c r="R38" s="1569" t="s">
        <v>8</v>
      </c>
      <c r="S38" s="1570">
        <f t="shared" si="12"/>
        <v>100</v>
      </c>
      <c r="T38" s="1569" t="s">
        <v>8</v>
      </c>
      <c r="U38" s="1570">
        <f t="shared" si="13"/>
        <v>100</v>
      </c>
      <c r="V38" s="1569" t="s">
        <v>8</v>
      </c>
      <c r="W38" s="1570">
        <f t="shared" si="14"/>
        <v>100</v>
      </c>
      <c r="X38" s="1571"/>
      <c r="Y38" s="336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8" t="s">
        <v>550</v>
      </c>
      <c r="Q39" s="1573" t="str">
        <f t="shared" si="11"/>
        <v>物业管理</v>
      </c>
      <c r="R39" s="1574" t="s">
        <v>8</v>
      </c>
      <c r="S39" s="1575">
        <f t="shared" si="12"/>
        <v>100</v>
      </c>
      <c r="T39" s="1574" t="s">
        <v>8</v>
      </c>
      <c r="U39" s="1575">
        <f t="shared" si="13"/>
        <v>100</v>
      </c>
      <c r="V39" s="1574" t="s">
        <v>8</v>
      </c>
      <c r="W39" s="1575">
        <f t="shared" si="14"/>
        <v>100</v>
      </c>
      <c r="X39" s="1568"/>
      <c r="Y39" s="3368"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8"/>
      <c r="Q40" s="1573" t="str">
        <f t="shared" si="11"/>
        <v>市政基础设施</v>
      </c>
      <c r="R40" s="1574" t="s">
        <v>8</v>
      </c>
      <c r="S40" s="1575">
        <f t="shared" si="12"/>
        <v>100</v>
      </c>
      <c r="T40" s="1574" t="s">
        <v>8</v>
      </c>
      <c r="U40" s="1575">
        <f t="shared" si="13"/>
        <v>100</v>
      </c>
      <c r="V40" s="1574" t="s">
        <v>8</v>
      </c>
      <c r="W40" s="1575">
        <f t="shared" si="14"/>
        <v>100</v>
      </c>
      <c r="X40" s="1568"/>
      <c r="Y40" s="336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8"/>
      <c r="Q41" s="1573" t="str">
        <f t="shared" si="11"/>
        <v>层高</v>
      </c>
      <c r="R41" s="1574" t="s">
        <v>8</v>
      </c>
      <c r="S41" s="1575">
        <f t="shared" si="12"/>
        <v>100</v>
      </c>
      <c r="T41" s="1574" t="s">
        <v>8</v>
      </c>
      <c r="U41" s="1575">
        <f t="shared" si="13"/>
        <v>100</v>
      </c>
      <c r="V41" s="1574" t="s">
        <v>8</v>
      </c>
      <c r="W41" s="1575">
        <f t="shared" si="14"/>
        <v>100</v>
      </c>
      <c r="X41" s="1568"/>
      <c r="Y41" s="336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8"/>
      <c r="Q42" s="1606" t="str">
        <f t="shared" si="11"/>
        <v>单套建筑面积</v>
      </c>
      <c r="R42" s="1578" t="s">
        <v>8</v>
      </c>
      <c r="S42" s="1579">
        <f t="shared" si="12"/>
        <v>100</v>
      </c>
      <c r="T42" s="1578" t="s">
        <v>8</v>
      </c>
      <c r="U42" s="1579">
        <f t="shared" si="13"/>
        <v>100</v>
      </c>
      <c r="V42" s="1578" t="s">
        <v>8</v>
      </c>
      <c r="W42" s="1579">
        <f t="shared" si="14"/>
        <v>100</v>
      </c>
      <c r="X42" s="1580"/>
      <c r="Y42" s="336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8"/>
      <c r="Q43" s="1573" t="str">
        <f t="shared" si="11"/>
        <v>内部装修</v>
      </c>
      <c r="R43" s="1574" t="s">
        <v>8</v>
      </c>
      <c r="S43" s="1575">
        <f t="shared" si="12"/>
        <v>100</v>
      </c>
      <c r="T43" s="1574" t="s">
        <v>8</v>
      </c>
      <c r="U43" s="1575">
        <f t="shared" si="13"/>
        <v>100</v>
      </c>
      <c r="V43" s="1574" t="s">
        <v>8</v>
      </c>
      <c r="W43" s="1575">
        <f t="shared" si="14"/>
        <v>100</v>
      </c>
      <c r="X43" s="1568"/>
      <c r="Y43" s="336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8"/>
      <c r="Q44" s="1573" t="str">
        <f t="shared" si="11"/>
        <v>内部装修维护情况</v>
      </c>
      <c r="R44" s="1574" t="s">
        <v>8</v>
      </c>
      <c r="S44" s="1575">
        <f t="shared" si="12"/>
        <v>100</v>
      </c>
      <c r="T44" s="1574" t="s">
        <v>8</v>
      </c>
      <c r="U44" s="1575">
        <f t="shared" si="13"/>
        <v>100</v>
      </c>
      <c r="V44" s="1574" t="s">
        <v>8</v>
      </c>
      <c r="W44" s="1575">
        <f t="shared" si="14"/>
        <v>100</v>
      </c>
      <c r="X44" s="1568"/>
      <c r="Y44" s="336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8"/>
      <c r="Q45" s="1151">
        <f t="shared" si="11"/>
        <v>111</v>
      </c>
      <c r="R45" s="1569" t="s">
        <v>8</v>
      </c>
      <c r="S45" s="1570">
        <f t="shared" si="12"/>
        <v>100</v>
      </c>
      <c r="T45" s="1569" t="s">
        <v>8</v>
      </c>
      <c r="U45" s="1570">
        <f t="shared" si="13"/>
        <v>100</v>
      </c>
      <c r="V45" s="1569" t="s">
        <v>8</v>
      </c>
      <c r="W45" s="1570">
        <f t="shared" si="14"/>
        <v>100</v>
      </c>
      <c r="X45" s="1571"/>
      <c r="Y45" s="336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8"/>
      <c r="Q46" s="1573">
        <f t="shared" si="11"/>
        <v>111</v>
      </c>
      <c r="R46" s="1574" t="s">
        <v>8</v>
      </c>
      <c r="S46" s="1575">
        <f t="shared" si="12"/>
        <v>100</v>
      </c>
      <c r="T46" s="1574" t="s">
        <v>8</v>
      </c>
      <c r="U46" s="1575">
        <f t="shared" si="13"/>
        <v>100</v>
      </c>
      <c r="V46" s="1574" t="s">
        <v>8</v>
      </c>
      <c r="W46" s="1575">
        <f t="shared" si="14"/>
        <v>100</v>
      </c>
      <c r="X46" s="1568"/>
      <c r="Y46" s="336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4"/>
      <c r="Q47" s="1573">
        <f t="shared" si="11"/>
        <v>111</v>
      </c>
      <c r="R47" s="1574" t="s">
        <v>8</v>
      </c>
      <c r="S47" s="1575">
        <f t="shared" si="12"/>
        <v>100</v>
      </c>
      <c r="T47" s="1574" t="s">
        <v>8</v>
      </c>
      <c r="U47" s="1575">
        <f t="shared" si="13"/>
        <v>100</v>
      </c>
      <c r="V47" s="1574" t="s">
        <v>8</v>
      </c>
      <c r="W47" s="1575">
        <f t="shared" si="14"/>
        <v>100</v>
      </c>
      <c r="X47" s="1568"/>
      <c r="Y47" s="3464"/>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5" t="str">
        <f>A48</f>
        <v>成交单价（元/平方米）</v>
      </c>
      <c r="Q48" s="3363"/>
      <c r="R48" s="3463">
        <f>E48</f>
        <v>0</v>
      </c>
      <c r="S48" s="3463"/>
      <c r="T48" s="3463">
        <f>G48</f>
        <v>0</v>
      </c>
      <c r="U48" s="3463"/>
      <c r="V48" s="3463">
        <f>I48</f>
        <v>0</v>
      </c>
      <c r="W48" s="3463"/>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85" t="str">
        <f>A49</f>
        <v>比较价格（元/平方米）</v>
      </c>
      <c r="Q49" s="3363"/>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0"/>
      <c r="Y49" s="1560"/>
      <c r="Z49" s="1560"/>
      <c r="AA49" s="1560"/>
      <c r="AB49" s="1560"/>
      <c r="AC49" s="1560"/>
    </row>
    <row r="50" spans="1:29" ht="15.75" thickBot="1">
      <c r="A50" s="621" t="s">
        <v>2938</v>
      </c>
      <c r="B50" s="622"/>
      <c r="C50" s="2638" t="e">
        <f>R50</f>
        <v>#DIV/0!</v>
      </c>
      <c r="D50" s="2638"/>
      <c r="E50" s="2638"/>
      <c r="F50" s="2638"/>
      <c r="G50" s="2638"/>
      <c r="H50" s="2638"/>
      <c r="I50" s="2638"/>
      <c r="J50" s="2638"/>
      <c r="K50" s="1614"/>
      <c r="L50" s="2146"/>
      <c r="M50" s="2136"/>
      <c r="N50" s="2136"/>
      <c r="O50" s="2136"/>
      <c r="P50" s="3468" t="str">
        <f>A50</f>
        <v>估价对象XX用房的比较价格（楼面单价，元/平方米）</v>
      </c>
      <c r="Q50" s="3385"/>
      <c r="R50" s="3462" t="e">
        <f>IF(F1="售价",ROUND(AVERAGE(R49:V49),0),ROUND(AVERAGE(R49:V49),1))</f>
        <v>#DIV/0!</v>
      </c>
      <c r="S50" s="3462"/>
      <c r="T50" s="3462"/>
      <c r="U50" s="3462"/>
      <c r="V50" s="3462"/>
      <c r="W50" s="346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9" t="s">
        <v>522</v>
      </c>
      <c r="D4" s="3370"/>
      <c r="E4" s="3393" t="s">
        <v>523</v>
      </c>
      <c r="F4" s="3394"/>
      <c r="G4" s="3369" t="s">
        <v>524</v>
      </c>
      <c r="H4" s="3370"/>
      <c r="I4" s="3369" t="s">
        <v>525</v>
      </c>
      <c r="J4" s="3370"/>
      <c r="K4" s="514" t="s">
        <v>526</v>
      </c>
      <c r="L4" s="2135"/>
      <c r="M4" s="2136"/>
      <c r="N4" s="2136"/>
      <c r="O4" s="2136"/>
      <c r="P4" s="3371" t="s">
        <v>527</v>
      </c>
      <c r="Q4" s="3372"/>
      <c r="R4" s="3357" t="s">
        <v>523</v>
      </c>
      <c r="S4" s="3358"/>
      <c r="T4" s="3357" t="s">
        <v>524</v>
      </c>
      <c r="U4" s="3358"/>
      <c r="V4" s="3377" t="s">
        <v>525</v>
      </c>
      <c r="W4" s="3377"/>
      <c r="X4" s="1568"/>
      <c r="Y4" s="3357" t="s">
        <v>527</v>
      </c>
      <c r="Z4" s="3358"/>
      <c r="AA4" s="3352" t="s">
        <v>523</v>
      </c>
      <c r="AB4" s="3353" t="s">
        <v>524</v>
      </c>
      <c r="AC4" s="3352" t="s">
        <v>525</v>
      </c>
    </row>
    <row r="5" spans="1:29" ht="15">
      <c r="A5" s="515"/>
      <c r="B5" s="516"/>
      <c r="C5" s="3380" t="s">
        <v>2932</v>
      </c>
      <c r="D5" s="3381"/>
      <c r="E5" s="3395" t="s">
        <v>2933</v>
      </c>
      <c r="F5" s="3396"/>
      <c r="G5" s="3380" t="s">
        <v>2934</v>
      </c>
      <c r="H5" s="3381"/>
      <c r="I5" s="3380" t="s">
        <v>2935</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14"/>
      <c r="B7" s="2921" t="s">
        <v>529</v>
      </c>
      <c r="C7" s="519">
        <f>'数据-取费表'!B2</f>
        <v>43370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5" t="s">
        <v>533</v>
      </c>
      <c r="Q8" s="3356"/>
      <c r="R8" s="1569" t="s">
        <v>8</v>
      </c>
      <c r="S8" s="1570">
        <f t="shared" si="0"/>
        <v>0</v>
      </c>
      <c r="T8" s="1569" t="s">
        <v>8</v>
      </c>
      <c r="U8" s="1570">
        <f t="shared" si="1"/>
        <v>0</v>
      </c>
      <c r="V8" s="1569" t="s">
        <v>8</v>
      </c>
      <c r="W8" s="1570">
        <f t="shared" si="2"/>
        <v>0</v>
      </c>
      <c r="X8" s="1571"/>
      <c r="Y8" s="3355" t="s">
        <v>533</v>
      </c>
      <c r="Z8" s="3356"/>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5" t="s">
        <v>540</v>
      </c>
      <c r="Q15" s="1573" t="str">
        <f t="shared" si="6"/>
        <v>产业集聚程度</v>
      </c>
      <c r="R15" s="1574" t="s">
        <v>8</v>
      </c>
      <c r="S15" s="1575">
        <f t="shared" si="0"/>
        <v>100</v>
      </c>
      <c r="T15" s="1574" t="s">
        <v>8</v>
      </c>
      <c r="U15" s="1575">
        <f t="shared" si="1"/>
        <v>100</v>
      </c>
      <c r="V15" s="1574" t="s">
        <v>8</v>
      </c>
      <c r="W15" s="1575">
        <f t="shared" si="2"/>
        <v>100</v>
      </c>
      <c r="X15" s="1568"/>
      <c r="Y15" s="336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6"/>
      <c r="Q18" s="1573"/>
      <c r="R18" s="1574"/>
      <c r="S18" s="1575"/>
      <c r="T18" s="1574"/>
      <c r="U18" s="1575"/>
      <c r="V18" s="1574"/>
      <c r="W18" s="1575"/>
      <c r="X18" s="1568"/>
      <c r="Y18" s="3366"/>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6"/>
      <c r="Q20" s="1573"/>
      <c r="R20" s="1574"/>
      <c r="S20" s="1575"/>
      <c r="T20" s="1574"/>
      <c r="U20" s="1575"/>
      <c r="V20" s="1574"/>
      <c r="W20" s="1575"/>
      <c r="X20" s="1568"/>
      <c r="Y20" s="3366"/>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6"/>
      <c r="Q21" s="2581" t="str">
        <f>B21</f>
        <v>基础设施水平</v>
      </c>
      <c r="R21" s="1574" t="s">
        <v>8</v>
      </c>
      <c r="S21" s="1575">
        <f>F21</f>
        <v>100</v>
      </c>
      <c r="T21" s="1574" t="s">
        <v>8</v>
      </c>
      <c r="U21" s="1575">
        <f>H21</f>
        <v>100</v>
      </c>
      <c r="V21" s="1574" t="s">
        <v>8</v>
      </c>
      <c r="W21" s="1575">
        <f>J21</f>
        <v>100</v>
      </c>
      <c r="X21" s="2583"/>
      <c r="Y21" s="336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66"/>
      <c r="Q22" s="2581"/>
      <c r="R22" s="1574"/>
      <c r="S22" s="1575"/>
      <c r="T22" s="1574"/>
      <c r="U22" s="1575"/>
      <c r="V22" s="1574"/>
      <c r="W22" s="1575"/>
      <c r="X22" s="2583"/>
      <c r="Y22" s="3366"/>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6"/>
      <c r="Q24" s="1573"/>
      <c r="R24" s="1574"/>
      <c r="S24" s="1575"/>
      <c r="T24" s="1574"/>
      <c r="U24" s="1575"/>
      <c r="V24" s="1574"/>
      <c r="W24" s="1575"/>
      <c r="X24" s="1568"/>
      <c r="Y24" s="336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6"/>
      <c r="Q25" s="1573">
        <f>B25</f>
        <v>111</v>
      </c>
      <c r="R25" s="1574" t="s">
        <v>8</v>
      </c>
      <c r="S25" s="1575">
        <f>F25</f>
        <v>100</v>
      </c>
      <c r="T25" s="1574" t="s">
        <v>8</v>
      </c>
      <c r="U25" s="1575">
        <f>H25</f>
        <v>100</v>
      </c>
      <c r="V25" s="1574" t="s">
        <v>8</v>
      </c>
      <c r="W25" s="1575">
        <f>J25</f>
        <v>100</v>
      </c>
      <c r="X25" s="1568"/>
      <c r="Y25" s="336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6"/>
      <c r="Q26" s="1573">
        <f t="shared" ref="Q26:Q40" si="11">B26</f>
        <v>111</v>
      </c>
      <c r="R26" s="1574" t="s">
        <v>8</v>
      </c>
      <c r="S26" s="1575">
        <f>F26</f>
        <v>100</v>
      </c>
      <c r="T26" s="1574" t="s">
        <v>8</v>
      </c>
      <c r="U26" s="1575">
        <f>H26</f>
        <v>100</v>
      </c>
      <c r="V26" s="1574" t="s">
        <v>8</v>
      </c>
      <c r="W26" s="1575">
        <f>J26</f>
        <v>100</v>
      </c>
      <c r="X26" s="1568"/>
      <c r="Y26" s="336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6"/>
      <c r="Q27" s="1151">
        <f t="shared" si="11"/>
        <v>111</v>
      </c>
      <c r="R27" s="1569" t="s">
        <v>8</v>
      </c>
      <c r="S27" s="1570">
        <f>F27</f>
        <v>100</v>
      </c>
      <c r="T27" s="1569" t="s">
        <v>8</v>
      </c>
      <c r="U27" s="1570">
        <f>H27</f>
        <v>100</v>
      </c>
      <c r="V27" s="1569" t="s">
        <v>8</v>
      </c>
      <c r="W27" s="1570">
        <f>J27</f>
        <v>100</v>
      </c>
      <c r="X27" s="1571"/>
      <c r="Y27" s="336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6"/>
      <c r="Q28" s="1573">
        <f t="shared" si="11"/>
        <v>111</v>
      </c>
      <c r="R28" s="1574" t="s">
        <v>8</v>
      </c>
      <c r="S28" s="1575">
        <f t="shared" ref="S28:S40" si="12">F28</f>
        <v>100</v>
      </c>
      <c r="T28" s="1574" t="s">
        <v>8</v>
      </c>
      <c r="U28" s="1575">
        <f t="shared" ref="U28:U40" si="13">H28</f>
        <v>100</v>
      </c>
      <c r="V28" s="1574" t="s">
        <v>8</v>
      </c>
      <c r="W28" s="1575">
        <f t="shared" ref="W28:W40" si="14">J28</f>
        <v>100</v>
      </c>
      <c r="X28" s="1568"/>
      <c r="Y28" s="3366"/>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7" t="s">
        <v>550</v>
      </c>
      <c r="Q29" s="1573" t="str">
        <f t="shared" si="11"/>
        <v>建筑类型</v>
      </c>
      <c r="R29" s="1574" t="s">
        <v>8</v>
      </c>
      <c r="S29" s="1575">
        <f t="shared" si="12"/>
        <v>100</v>
      </c>
      <c r="T29" s="1574" t="s">
        <v>8</v>
      </c>
      <c r="U29" s="1575">
        <f t="shared" si="13"/>
        <v>100</v>
      </c>
      <c r="V29" s="1574" t="s">
        <v>8</v>
      </c>
      <c r="W29" s="1575">
        <f t="shared" si="14"/>
        <v>100</v>
      </c>
      <c r="X29" s="1568"/>
      <c r="Y29" s="336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8"/>
      <c r="Q30" s="1606" t="str">
        <f t="shared" si="11"/>
        <v>项目建筑规模</v>
      </c>
      <c r="R30" s="1578" t="s">
        <v>8</v>
      </c>
      <c r="S30" s="1579" t="e">
        <f t="shared" si="12"/>
        <v>#N/A</v>
      </c>
      <c r="T30" s="1578" t="s">
        <v>8</v>
      </c>
      <c r="U30" s="1579" t="e">
        <f t="shared" si="13"/>
        <v>#N/A</v>
      </c>
      <c r="V30" s="1578" t="s">
        <v>8</v>
      </c>
      <c r="W30" s="1579" t="e">
        <f t="shared" si="14"/>
        <v>#N/A</v>
      </c>
      <c r="X30" s="1580"/>
      <c r="Y30" s="336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8"/>
      <c r="Q31" s="1573" t="str">
        <f t="shared" si="11"/>
        <v>建筑结构</v>
      </c>
      <c r="R31" s="1574" t="s">
        <v>8</v>
      </c>
      <c r="S31" s="1575">
        <f t="shared" si="12"/>
        <v>100</v>
      </c>
      <c r="T31" s="1574" t="s">
        <v>8</v>
      </c>
      <c r="U31" s="1575">
        <f t="shared" si="13"/>
        <v>100</v>
      </c>
      <c r="V31" s="1574" t="s">
        <v>8</v>
      </c>
      <c r="W31" s="1575">
        <f t="shared" si="14"/>
        <v>100</v>
      </c>
      <c r="X31" s="1568"/>
      <c r="Y31" s="336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8"/>
      <c r="Q32" s="1573" t="str">
        <f t="shared" si="11"/>
        <v>公共部分装修</v>
      </c>
      <c r="R32" s="1574" t="s">
        <v>8</v>
      </c>
      <c r="S32" s="1575">
        <f t="shared" si="12"/>
        <v>100</v>
      </c>
      <c r="T32" s="1574" t="s">
        <v>8</v>
      </c>
      <c r="U32" s="1575">
        <f t="shared" si="13"/>
        <v>100</v>
      </c>
      <c r="V32" s="1574" t="s">
        <v>8</v>
      </c>
      <c r="W32" s="1575">
        <f t="shared" si="14"/>
        <v>100</v>
      </c>
      <c r="X32" s="1568"/>
      <c r="Y32" s="336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8"/>
      <c r="Q33" s="1573" t="str">
        <f t="shared" si="11"/>
        <v>成新度</v>
      </c>
      <c r="R33" s="1574" t="s">
        <v>8</v>
      </c>
      <c r="S33" s="1575" t="e">
        <f t="shared" si="12"/>
        <v>#N/A</v>
      </c>
      <c r="T33" s="1574" t="s">
        <v>8</v>
      </c>
      <c r="U33" s="1575" t="e">
        <f t="shared" si="13"/>
        <v>#N/A</v>
      </c>
      <c r="V33" s="1574" t="s">
        <v>8</v>
      </c>
      <c r="W33" s="1575" t="e">
        <f t="shared" si="14"/>
        <v>#N/A</v>
      </c>
      <c r="X33" s="1568"/>
      <c r="Y33" s="336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8"/>
      <c r="Q34" s="1151" t="str">
        <f t="shared" si="11"/>
        <v>物业管理</v>
      </c>
      <c r="R34" s="1569" t="s">
        <v>8</v>
      </c>
      <c r="S34" s="1570">
        <f t="shared" si="12"/>
        <v>100</v>
      </c>
      <c r="T34" s="1569" t="s">
        <v>8</v>
      </c>
      <c r="U34" s="1570">
        <f t="shared" si="13"/>
        <v>100</v>
      </c>
      <c r="V34" s="1569" t="s">
        <v>8</v>
      </c>
      <c r="W34" s="1570">
        <f t="shared" si="14"/>
        <v>100</v>
      </c>
      <c r="X34" s="1571"/>
      <c r="Y34" s="3368"/>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8" t="s">
        <v>550</v>
      </c>
      <c r="Q35" s="1573" t="str">
        <f t="shared" si="11"/>
        <v>市政基础设施</v>
      </c>
      <c r="R35" s="1574" t="s">
        <v>8</v>
      </c>
      <c r="S35" s="1575">
        <f t="shared" si="12"/>
        <v>100</v>
      </c>
      <c r="T35" s="1574" t="s">
        <v>8</v>
      </c>
      <c r="U35" s="1575">
        <f t="shared" si="13"/>
        <v>100</v>
      </c>
      <c r="V35" s="1574" t="s">
        <v>8</v>
      </c>
      <c r="W35" s="1575">
        <f t="shared" si="14"/>
        <v>100</v>
      </c>
      <c r="X35" s="1568"/>
      <c r="Y35" s="336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8"/>
      <c r="Q36" s="1573" t="str">
        <f t="shared" si="11"/>
        <v>内部装修</v>
      </c>
      <c r="R36" s="1574" t="s">
        <v>8</v>
      </c>
      <c r="S36" s="1575">
        <f t="shared" si="12"/>
        <v>100</v>
      </c>
      <c r="T36" s="1574" t="s">
        <v>8</v>
      </c>
      <c r="U36" s="1575">
        <f t="shared" si="13"/>
        <v>100</v>
      </c>
      <c r="V36" s="1574" t="s">
        <v>8</v>
      </c>
      <c r="W36" s="1575">
        <f t="shared" si="14"/>
        <v>100</v>
      </c>
      <c r="X36" s="1568"/>
      <c r="Y36" s="336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8"/>
      <c r="Q37" s="1573" t="str">
        <f t="shared" si="11"/>
        <v>内部装修状况</v>
      </c>
      <c r="R37" s="1574" t="s">
        <v>8</v>
      </c>
      <c r="S37" s="1575">
        <f t="shared" si="12"/>
        <v>100</v>
      </c>
      <c r="T37" s="1574" t="s">
        <v>8</v>
      </c>
      <c r="U37" s="1575">
        <f t="shared" si="13"/>
        <v>100</v>
      </c>
      <c r="V37" s="1574" t="s">
        <v>8</v>
      </c>
      <c r="W37" s="1575">
        <f t="shared" si="14"/>
        <v>100</v>
      </c>
      <c r="X37" s="1568"/>
      <c r="Y37" s="336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8"/>
      <c r="Q38" s="1606">
        <f t="shared" si="11"/>
        <v>111</v>
      </c>
      <c r="R38" s="1578" t="s">
        <v>8</v>
      </c>
      <c r="S38" s="1579">
        <f t="shared" si="12"/>
        <v>100</v>
      </c>
      <c r="T38" s="1578" t="s">
        <v>8</v>
      </c>
      <c r="U38" s="1579">
        <f t="shared" si="13"/>
        <v>100</v>
      </c>
      <c r="V38" s="1578" t="s">
        <v>8</v>
      </c>
      <c r="W38" s="1579">
        <f t="shared" si="14"/>
        <v>100</v>
      </c>
      <c r="X38" s="1580"/>
      <c r="Y38" s="336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8"/>
      <c r="Q39" s="1573">
        <f t="shared" si="11"/>
        <v>111</v>
      </c>
      <c r="R39" s="1574" t="s">
        <v>8</v>
      </c>
      <c r="S39" s="1575">
        <f t="shared" si="12"/>
        <v>100</v>
      </c>
      <c r="T39" s="1574" t="s">
        <v>8</v>
      </c>
      <c r="U39" s="1575">
        <f t="shared" si="13"/>
        <v>100</v>
      </c>
      <c r="V39" s="1574" t="s">
        <v>8</v>
      </c>
      <c r="W39" s="1575">
        <f t="shared" si="14"/>
        <v>100</v>
      </c>
      <c r="X39" s="1568"/>
      <c r="Y39" s="336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4"/>
      <c r="Q40" s="1573">
        <f t="shared" si="11"/>
        <v>111</v>
      </c>
      <c r="R40" s="1574" t="s">
        <v>8</v>
      </c>
      <c r="S40" s="1575">
        <f t="shared" si="12"/>
        <v>100</v>
      </c>
      <c r="T40" s="1574" t="s">
        <v>8</v>
      </c>
      <c r="U40" s="1575">
        <f t="shared" si="13"/>
        <v>100</v>
      </c>
      <c r="V40" s="1574" t="s">
        <v>8</v>
      </c>
      <c r="W40" s="1575">
        <f t="shared" si="14"/>
        <v>100</v>
      </c>
      <c r="X40" s="1568"/>
      <c r="Y40" s="3464"/>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63" t="str">
        <f>A41</f>
        <v>成交单价（元/平方米）</v>
      </c>
      <c r="Q41" s="3363"/>
      <c r="R41" s="3463">
        <f>E41</f>
        <v>0</v>
      </c>
      <c r="S41" s="3463"/>
      <c r="T41" s="3463">
        <f>G41</f>
        <v>0</v>
      </c>
      <c r="U41" s="3463"/>
      <c r="V41" s="3463">
        <f>I41</f>
        <v>0</v>
      </c>
      <c r="W41" s="3463"/>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63" t="str">
        <f>A42</f>
        <v>比较价格（元/平方米）</v>
      </c>
      <c r="Q42" s="3363"/>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0"/>
      <c r="Y42" s="1560"/>
      <c r="Z42" s="1560"/>
      <c r="AA42" s="1560"/>
      <c r="AB42" s="1560"/>
      <c r="AC42" s="1560"/>
    </row>
    <row r="43" spans="1:29" ht="15.75" thickBot="1">
      <c r="A43" s="621" t="s">
        <v>2938</v>
      </c>
      <c r="B43" s="622"/>
      <c r="C43" s="2638" t="e">
        <f>R43</f>
        <v>#DIV/0!</v>
      </c>
      <c r="D43" s="2638"/>
      <c r="E43" s="2638"/>
      <c r="F43" s="2638"/>
      <c r="G43" s="2638"/>
      <c r="H43" s="2638"/>
      <c r="I43" s="2638"/>
      <c r="J43" s="2638"/>
      <c r="K43" s="1614"/>
      <c r="L43" s="2146"/>
      <c r="M43" s="2147"/>
      <c r="N43" s="2147"/>
      <c r="O43" s="2147"/>
      <c r="P43" s="3384" t="str">
        <f>A43</f>
        <v>估价对象XX用房的比较价格（楼面单价，元/平方米）</v>
      </c>
      <c r="Q43" s="3385"/>
      <c r="R43" s="3462" t="e">
        <f>IF(F1="售价",ROUND(AVERAGE(R42:V42),0),ROUND(AVERAGE(R42:V42),1))</f>
        <v>#DIV/0!</v>
      </c>
      <c r="S43" s="3462"/>
      <c r="T43" s="3462"/>
      <c r="U43" s="3462"/>
      <c r="V43" s="3462"/>
      <c r="W43" s="346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9" t="s">
        <v>798</v>
      </c>
      <c r="D4" s="3370"/>
      <c r="E4" s="3369" t="s">
        <v>799</v>
      </c>
      <c r="F4" s="3370"/>
      <c r="G4" s="3369" t="s">
        <v>800</v>
      </c>
      <c r="H4" s="3370"/>
      <c r="I4" s="3369" t="s">
        <v>801</v>
      </c>
      <c r="J4" s="3370"/>
      <c r="K4" s="514" t="s">
        <v>802</v>
      </c>
      <c r="L4" s="2135"/>
      <c r="M4" s="2136"/>
      <c r="N4" s="2136"/>
      <c r="O4" s="2136"/>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2932</v>
      </c>
      <c r="D5" s="3381"/>
      <c r="E5" s="3380" t="s">
        <v>2933</v>
      </c>
      <c r="F5" s="3381"/>
      <c r="G5" s="3380" t="s">
        <v>2934</v>
      </c>
      <c r="H5" s="3381"/>
      <c r="I5" s="3380" t="s">
        <v>2935</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2936</v>
      </c>
      <c r="D6" s="3379"/>
      <c r="E6" s="3382" t="s">
        <v>2936</v>
      </c>
      <c r="F6" s="3383"/>
      <c r="G6" s="3378" t="s">
        <v>2936</v>
      </c>
      <c r="H6" s="3379"/>
      <c r="I6" s="3378" t="s">
        <v>2936</v>
      </c>
      <c r="J6" s="3379"/>
      <c r="K6" s="514" t="s">
        <v>528</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14"/>
      <c r="B7" s="2921" t="s">
        <v>529</v>
      </c>
      <c r="C7" s="519">
        <f>'数据-取费表'!B2</f>
        <v>43370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5" t="s">
        <v>533</v>
      </c>
      <c r="Q8" s="3356"/>
      <c r="R8" s="1569" t="s">
        <v>8</v>
      </c>
      <c r="S8" s="1570">
        <f t="shared" si="0"/>
        <v>0</v>
      </c>
      <c r="T8" s="1569" t="s">
        <v>8</v>
      </c>
      <c r="U8" s="1570">
        <f t="shared" si="1"/>
        <v>0</v>
      </c>
      <c r="V8" s="1569" t="s">
        <v>8</v>
      </c>
      <c r="W8" s="1570">
        <f t="shared" si="2"/>
        <v>0</v>
      </c>
      <c r="X8" s="1571"/>
      <c r="Y8" s="3355" t="s">
        <v>533</v>
      </c>
      <c r="Z8" s="3356"/>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6"/>
      <c r="Q15" s="1573"/>
      <c r="R15" s="1574"/>
      <c r="S15" s="1575"/>
      <c r="T15" s="1574"/>
      <c r="U15" s="1575"/>
      <c r="V15" s="1574"/>
      <c r="W15" s="1575"/>
      <c r="X15" s="1568"/>
      <c r="Y15" s="3366"/>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6"/>
      <c r="Q17" s="1573"/>
      <c r="R17" s="1574"/>
      <c r="S17" s="1575"/>
      <c r="T17" s="1574"/>
      <c r="U17" s="1575"/>
      <c r="V17" s="1574"/>
      <c r="W17" s="1575"/>
      <c r="X17" s="1568"/>
      <c r="Y17" s="3366"/>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6"/>
      <c r="Q18" s="2581" t="str">
        <f>B18</f>
        <v>基础设施水平</v>
      </c>
      <c r="R18" s="1574" t="s">
        <v>8</v>
      </c>
      <c r="S18" s="1575">
        <f>F18</f>
        <v>100</v>
      </c>
      <c r="T18" s="1574" t="s">
        <v>8</v>
      </c>
      <c r="U18" s="1575">
        <f>H18</f>
        <v>100</v>
      </c>
      <c r="V18" s="1574" t="s">
        <v>8</v>
      </c>
      <c r="W18" s="1575">
        <f>J18</f>
        <v>100</v>
      </c>
      <c r="X18" s="2583"/>
      <c r="Y18" s="336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66"/>
      <c r="Q19" s="2581"/>
      <c r="R19" s="1574"/>
      <c r="S19" s="1575"/>
      <c r="T19" s="1574"/>
      <c r="U19" s="1575"/>
      <c r="V19" s="1574"/>
      <c r="W19" s="1575"/>
      <c r="X19" s="2583"/>
      <c r="Y19" s="3366"/>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6"/>
      <c r="Q21" s="1573"/>
      <c r="R21" s="1574"/>
      <c r="S21" s="1575"/>
      <c r="T21" s="1574"/>
      <c r="U21" s="1575"/>
      <c r="V21" s="1574"/>
      <c r="W21" s="1575"/>
      <c r="X21" s="1568"/>
      <c r="Y21" s="336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6"/>
      <c r="Q24" s="1573">
        <f t="shared" ref="Q24:Q36"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8"/>
      <c r="Q27" s="1606" t="str">
        <f t="shared" si="11"/>
        <v>项目停车位配比</v>
      </c>
      <c r="R27" s="1578" t="s">
        <v>8</v>
      </c>
      <c r="S27" s="1579">
        <f t="shared" si="12"/>
        <v>100</v>
      </c>
      <c r="T27" s="1578" t="s">
        <v>8</v>
      </c>
      <c r="U27" s="1579">
        <f t="shared" si="13"/>
        <v>100</v>
      </c>
      <c r="V27" s="1578" t="s">
        <v>8</v>
      </c>
      <c r="W27" s="1579">
        <f t="shared" si="14"/>
        <v>100</v>
      </c>
      <c r="X27" s="1580"/>
      <c r="Y27" s="336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8"/>
      <c r="Q28" s="1573" t="str">
        <f t="shared" si="11"/>
        <v>公共部分装修</v>
      </c>
      <c r="R28" s="1574" t="s">
        <v>8</v>
      </c>
      <c r="S28" s="1575">
        <f t="shared" si="12"/>
        <v>100</v>
      </c>
      <c r="T28" s="1574" t="s">
        <v>8</v>
      </c>
      <c r="U28" s="1575">
        <f t="shared" si="13"/>
        <v>100</v>
      </c>
      <c r="V28" s="1574" t="s">
        <v>8</v>
      </c>
      <c r="W28" s="1575">
        <f t="shared" si="14"/>
        <v>100</v>
      </c>
      <c r="X28" s="1568"/>
      <c r="Y28" s="336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8"/>
      <c r="Q29" s="1573" t="str">
        <f t="shared" si="11"/>
        <v>成新率</v>
      </c>
      <c r="R29" s="1574" t="s">
        <v>8</v>
      </c>
      <c r="S29" s="1575" t="e">
        <f t="shared" si="12"/>
        <v>#N/A</v>
      </c>
      <c r="T29" s="1574" t="s">
        <v>8</v>
      </c>
      <c r="U29" s="1575" t="e">
        <f t="shared" si="13"/>
        <v>#N/A</v>
      </c>
      <c r="V29" s="1574" t="s">
        <v>8</v>
      </c>
      <c r="W29" s="1575" t="e">
        <f t="shared" si="14"/>
        <v>#N/A</v>
      </c>
      <c r="X29" s="1568"/>
      <c r="Y29" s="336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8"/>
      <c r="Q30" s="1573" t="str">
        <f t="shared" si="11"/>
        <v>物业等级</v>
      </c>
      <c r="R30" s="1574" t="s">
        <v>8</v>
      </c>
      <c r="S30" s="1575">
        <f t="shared" si="12"/>
        <v>100</v>
      </c>
      <c r="T30" s="1574" t="s">
        <v>8</v>
      </c>
      <c r="U30" s="1575">
        <f t="shared" si="13"/>
        <v>100</v>
      </c>
      <c r="V30" s="1574" t="s">
        <v>8</v>
      </c>
      <c r="W30" s="1575">
        <f t="shared" si="14"/>
        <v>100</v>
      </c>
      <c r="X30" s="1568"/>
      <c r="Y30" s="336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8"/>
      <c r="Q31" s="1151" t="str">
        <f t="shared" si="11"/>
        <v>停车位面积</v>
      </c>
      <c r="R31" s="1569" t="s">
        <v>8</v>
      </c>
      <c r="S31" s="1570" t="e">
        <f t="shared" si="12"/>
        <v>#N/A</v>
      </c>
      <c r="T31" s="1569" t="s">
        <v>8</v>
      </c>
      <c r="U31" s="1570" t="e">
        <f t="shared" si="13"/>
        <v>#N/A</v>
      </c>
      <c r="V31" s="1569" t="s">
        <v>8</v>
      </c>
      <c r="W31" s="1570" t="e">
        <f t="shared" si="14"/>
        <v>#N/A</v>
      </c>
      <c r="X31" s="1571"/>
      <c r="Y31" s="336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8" t="s">
        <v>550</v>
      </c>
      <c r="Q32" s="1573" t="str">
        <f t="shared" si="11"/>
        <v>车位类型</v>
      </c>
      <c r="R32" s="1574" t="s">
        <v>8</v>
      </c>
      <c r="S32" s="1575">
        <f t="shared" si="12"/>
        <v>100</v>
      </c>
      <c r="T32" s="1574" t="s">
        <v>8</v>
      </c>
      <c r="U32" s="1575">
        <f t="shared" si="13"/>
        <v>100</v>
      </c>
      <c r="V32" s="1574" t="s">
        <v>8</v>
      </c>
      <c r="W32" s="1575">
        <f t="shared" si="14"/>
        <v>100</v>
      </c>
      <c r="X32" s="1568"/>
      <c r="Y32" s="336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8"/>
      <c r="Q33" s="1573" t="str">
        <f t="shared" si="11"/>
        <v>是否直接入户</v>
      </c>
      <c r="R33" s="1574" t="s">
        <v>8</v>
      </c>
      <c r="S33" s="1575">
        <f t="shared" si="12"/>
        <v>100</v>
      </c>
      <c r="T33" s="1574" t="s">
        <v>8</v>
      </c>
      <c r="U33" s="1575">
        <f t="shared" si="13"/>
        <v>100</v>
      </c>
      <c r="V33" s="1574" t="s">
        <v>8</v>
      </c>
      <c r="W33" s="1575">
        <f t="shared" si="14"/>
        <v>100</v>
      </c>
      <c r="X33" s="1568"/>
      <c r="Y33" s="336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8"/>
      <c r="Q35" s="1606">
        <f t="shared" si="11"/>
        <v>111</v>
      </c>
      <c r="R35" s="1578" t="s">
        <v>8</v>
      </c>
      <c r="S35" s="1579">
        <f t="shared" si="12"/>
        <v>100</v>
      </c>
      <c r="T35" s="1578" t="s">
        <v>8</v>
      </c>
      <c r="U35" s="1579">
        <f t="shared" si="13"/>
        <v>100</v>
      </c>
      <c r="V35" s="1578" t="s">
        <v>8</v>
      </c>
      <c r="W35" s="1579">
        <f t="shared" si="14"/>
        <v>100</v>
      </c>
      <c r="X35" s="1580"/>
      <c r="Y35" s="336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8"/>
      <c r="Q36" s="1573">
        <f t="shared" si="11"/>
        <v>111</v>
      </c>
      <c r="R36" s="1574" t="s">
        <v>8</v>
      </c>
      <c r="S36" s="1575">
        <f t="shared" si="12"/>
        <v>100</v>
      </c>
      <c r="T36" s="1574" t="s">
        <v>8</v>
      </c>
      <c r="U36" s="1575">
        <f t="shared" si="13"/>
        <v>100</v>
      </c>
      <c r="V36" s="1574" t="s">
        <v>8</v>
      </c>
      <c r="W36" s="1575">
        <f t="shared" si="14"/>
        <v>100</v>
      </c>
      <c r="X36" s="1568"/>
      <c r="Y36" s="3368"/>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63" t="str">
        <f>A37</f>
        <v>成交单价</v>
      </c>
      <c r="Q37" s="3363"/>
      <c r="R37" s="3463">
        <f>E37</f>
        <v>0</v>
      </c>
      <c r="S37" s="3463"/>
      <c r="T37" s="3463">
        <f>G37</f>
        <v>0</v>
      </c>
      <c r="U37" s="3463"/>
      <c r="V37" s="3463">
        <f>I37</f>
        <v>0</v>
      </c>
      <c r="W37" s="3463"/>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63" t="str">
        <f>A38</f>
        <v>比较价格（元/平方米）</v>
      </c>
      <c r="Q38" s="3363"/>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0"/>
      <c r="Y38" s="1560"/>
      <c r="Z38" s="1560"/>
      <c r="AA38" s="1560"/>
      <c r="AB38" s="1560"/>
      <c r="AC38" s="1560"/>
    </row>
    <row r="39" spans="1:29" ht="15.75" thickBot="1">
      <c r="A39" s="621" t="s">
        <v>2938</v>
      </c>
      <c r="B39" s="622"/>
      <c r="C39" s="2638" t="e">
        <f>R39</f>
        <v>#DIV/0!</v>
      </c>
      <c r="D39" s="2638"/>
      <c r="E39" s="2638"/>
      <c r="F39" s="2638"/>
      <c r="G39" s="2638"/>
      <c r="H39" s="2638"/>
      <c r="I39" s="2638"/>
      <c r="J39" s="2638"/>
      <c r="K39" s="1614"/>
      <c r="L39" s="2146"/>
      <c r="M39" s="2147"/>
      <c r="N39" s="2147"/>
      <c r="O39" s="2147"/>
      <c r="P39" s="3384" t="str">
        <f>A39</f>
        <v>估价对象XX用房的比较价格（楼面单价，元/平方米）</v>
      </c>
      <c r="Q39" s="3385"/>
      <c r="R39" s="3462" t="e">
        <f>IF(F1="售价",ROUND(AVERAGE(R38:V38),0),ROUND(AVERAGE(R38:V38),1))</f>
        <v>#DIV/0!</v>
      </c>
      <c r="S39" s="3462"/>
      <c r="T39" s="3462"/>
      <c r="U39" s="3462"/>
      <c r="V39" s="3462"/>
      <c r="W39" s="346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9" t="s">
        <v>798</v>
      </c>
      <c r="D4" s="3370"/>
      <c r="E4" s="3393" t="s">
        <v>799</v>
      </c>
      <c r="F4" s="3394"/>
      <c r="G4" s="3369" t="s">
        <v>800</v>
      </c>
      <c r="H4" s="3370"/>
      <c r="I4" s="3369" t="s">
        <v>801</v>
      </c>
      <c r="J4" s="3370"/>
      <c r="K4" s="514" t="s">
        <v>802</v>
      </c>
      <c r="L4" s="2135"/>
      <c r="M4" s="2136"/>
      <c r="N4" s="2136"/>
      <c r="O4" s="2136"/>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2932</v>
      </c>
      <c r="D5" s="3381"/>
      <c r="E5" s="3395" t="s">
        <v>2933</v>
      </c>
      <c r="F5" s="3396"/>
      <c r="G5" s="3380" t="s">
        <v>2934</v>
      </c>
      <c r="H5" s="3381"/>
      <c r="I5" s="3380" t="s">
        <v>2935</v>
      </c>
      <c r="J5" s="3381"/>
      <c r="K5" s="514"/>
      <c r="L5" s="2135"/>
      <c r="M5" s="2136"/>
      <c r="N5" s="2136"/>
      <c r="O5" s="2136"/>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5"/>
      <c r="M6" s="2136"/>
      <c r="N6" s="2136"/>
      <c r="O6" s="2136"/>
      <c r="P6" s="3375"/>
      <c r="Q6" s="3376"/>
      <c r="R6" s="3359"/>
      <c r="S6" s="3360"/>
      <c r="T6" s="3361"/>
      <c r="U6" s="3362"/>
      <c r="V6" s="3377"/>
      <c r="W6" s="3377"/>
      <c r="X6" s="1568"/>
      <c r="Y6" s="3361"/>
      <c r="Z6" s="3362"/>
      <c r="AA6" s="3354"/>
      <c r="AB6" s="3354"/>
      <c r="AC6" s="3354"/>
    </row>
    <row r="7" spans="1:29" s="1220" customFormat="1" ht="15.75" thickBot="1">
      <c r="A7" s="2914"/>
      <c r="B7" s="2921" t="s">
        <v>529</v>
      </c>
      <c r="C7" s="519">
        <f>'数据-取费表'!B2</f>
        <v>43370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5" t="s">
        <v>533</v>
      </c>
      <c r="Q8" s="3356"/>
      <c r="R8" s="1569" t="s">
        <v>8</v>
      </c>
      <c r="S8" s="1570">
        <f t="shared" si="0"/>
        <v>0</v>
      </c>
      <c r="T8" s="1569" t="s">
        <v>8</v>
      </c>
      <c r="U8" s="1570">
        <f t="shared" si="1"/>
        <v>0</v>
      </c>
      <c r="V8" s="1569" t="s">
        <v>8</v>
      </c>
      <c r="W8" s="1570">
        <f t="shared" si="2"/>
        <v>0</v>
      </c>
      <c r="X8" s="1571"/>
      <c r="Y8" s="3355" t="s">
        <v>533</v>
      </c>
      <c r="Z8" s="3356"/>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6"/>
      <c r="Q15" s="1573"/>
      <c r="R15" s="1574"/>
      <c r="S15" s="1575"/>
      <c r="T15" s="1574"/>
      <c r="U15" s="1575"/>
      <c r="V15" s="1574"/>
      <c r="W15" s="1575"/>
      <c r="X15" s="1568"/>
      <c r="Y15" s="3366"/>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6"/>
      <c r="Q17" s="1573"/>
      <c r="R17" s="1574"/>
      <c r="S17" s="1575"/>
      <c r="T17" s="1574"/>
      <c r="U17" s="1575"/>
      <c r="V17" s="1574"/>
      <c r="W17" s="1575"/>
      <c r="X17" s="1568"/>
      <c r="Y17" s="3366"/>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6"/>
      <c r="Q18" s="2581" t="str">
        <f>B18</f>
        <v>基础设施水平</v>
      </c>
      <c r="R18" s="1574" t="s">
        <v>8</v>
      </c>
      <c r="S18" s="1575">
        <f>F18</f>
        <v>100</v>
      </c>
      <c r="T18" s="1574" t="s">
        <v>8</v>
      </c>
      <c r="U18" s="1575">
        <f>H18</f>
        <v>100</v>
      </c>
      <c r="V18" s="1574" t="s">
        <v>8</v>
      </c>
      <c r="W18" s="1575">
        <f>J18</f>
        <v>100</v>
      </c>
      <c r="X18" s="2583"/>
      <c r="Y18" s="336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66"/>
      <c r="Q19" s="2581"/>
      <c r="R19" s="1574"/>
      <c r="S19" s="1575"/>
      <c r="T19" s="1574"/>
      <c r="U19" s="1575"/>
      <c r="V19" s="1574"/>
      <c r="W19" s="1575"/>
      <c r="X19" s="2583"/>
      <c r="Y19" s="3366"/>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6"/>
      <c r="Q21" s="1573"/>
      <c r="R21" s="1574"/>
      <c r="S21" s="1575"/>
      <c r="T21" s="1574"/>
      <c r="U21" s="1575"/>
      <c r="V21" s="1574"/>
      <c r="W21" s="1575"/>
      <c r="X21" s="1568"/>
      <c r="Y21" s="336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6"/>
      <c r="Q24" s="1573">
        <f t="shared" ref="Q24:Q34"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8"/>
      <c r="Q27" s="1606" t="str">
        <f t="shared" si="11"/>
        <v>成新率</v>
      </c>
      <c r="R27" s="1578" t="s">
        <v>8</v>
      </c>
      <c r="S27" s="1579" t="e">
        <f t="shared" si="12"/>
        <v>#N/A</v>
      </c>
      <c r="T27" s="1578" t="s">
        <v>8</v>
      </c>
      <c r="U27" s="1579" t="e">
        <f t="shared" si="13"/>
        <v>#N/A</v>
      </c>
      <c r="V27" s="1578" t="s">
        <v>8</v>
      </c>
      <c r="W27" s="1579" t="e">
        <f t="shared" si="14"/>
        <v>#N/A</v>
      </c>
      <c r="X27" s="1580"/>
      <c r="Y27" s="336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8"/>
      <c r="Q28" s="1573" t="str">
        <f t="shared" si="11"/>
        <v>物业等级</v>
      </c>
      <c r="R28" s="1574" t="s">
        <v>8</v>
      </c>
      <c r="S28" s="1575">
        <f t="shared" si="12"/>
        <v>100</v>
      </c>
      <c r="T28" s="1574" t="s">
        <v>8</v>
      </c>
      <c r="U28" s="1575">
        <f t="shared" si="13"/>
        <v>100</v>
      </c>
      <c r="V28" s="1574" t="s">
        <v>8</v>
      </c>
      <c r="W28" s="1575">
        <f t="shared" si="14"/>
        <v>100</v>
      </c>
      <c r="X28" s="1568"/>
      <c r="Y28" s="336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8"/>
      <c r="Q29" s="1573" t="str">
        <f t="shared" si="11"/>
        <v>有无电梯</v>
      </c>
      <c r="R29" s="1574" t="s">
        <v>8</v>
      </c>
      <c r="S29" s="1575">
        <f t="shared" si="12"/>
        <v>100</v>
      </c>
      <c r="T29" s="1574" t="s">
        <v>8</v>
      </c>
      <c r="U29" s="1575">
        <f t="shared" si="13"/>
        <v>100</v>
      </c>
      <c r="V29" s="1574" t="s">
        <v>8</v>
      </c>
      <c r="W29" s="1575">
        <f t="shared" si="14"/>
        <v>100</v>
      </c>
      <c r="X29" s="1568"/>
      <c r="Y29" s="336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8"/>
      <c r="Q30" s="1573" t="str">
        <f t="shared" si="11"/>
        <v>建筑面积</v>
      </c>
      <c r="R30" s="1574" t="s">
        <v>8</v>
      </c>
      <c r="S30" s="1575" t="e">
        <f t="shared" si="12"/>
        <v>#N/A</v>
      </c>
      <c r="T30" s="1574" t="s">
        <v>8</v>
      </c>
      <c r="U30" s="1575" t="e">
        <f t="shared" si="13"/>
        <v>#N/A</v>
      </c>
      <c r="V30" s="1574" t="s">
        <v>8</v>
      </c>
      <c r="W30" s="1575" t="e">
        <f t="shared" si="14"/>
        <v>#N/A</v>
      </c>
      <c r="X30" s="1568"/>
      <c r="Y30" s="336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8"/>
      <c r="Q31" s="1151" t="str">
        <f t="shared" si="11"/>
        <v>是否封闭</v>
      </c>
      <c r="R31" s="1569" t="s">
        <v>8</v>
      </c>
      <c r="S31" s="1570">
        <f t="shared" si="12"/>
        <v>100</v>
      </c>
      <c r="T31" s="1569" t="s">
        <v>8</v>
      </c>
      <c r="U31" s="1570">
        <f t="shared" si="13"/>
        <v>100</v>
      </c>
      <c r="V31" s="1569" t="s">
        <v>8</v>
      </c>
      <c r="W31" s="1570">
        <f t="shared" si="14"/>
        <v>100</v>
      </c>
      <c r="X31" s="1571"/>
      <c r="Y31" s="336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8" t="s">
        <v>550</v>
      </c>
      <c r="Q32" s="1573">
        <f t="shared" si="11"/>
        <v>111</v>
      </c>
      <c r="R32" s="1574" t="s">
        <v>8</v>
      </c>
      <c r="S32" s="1575">
        <f t="shared" si="12"/>
        <v>100</v>
      </c>
      <c r="T32" s="1574" t="s">
        <v>8</v>
      </c>
      <c r="U32" s="1575">
        <f t="shared" si="13"/>
        <v>100</v>
      </c>
      <c r="V32" s="1574" t="s">
        <v>8</v>
      </c>
      <c r="W32" s="1575">
        <f t="shared" si="14"/>
        <v>100</v>
      </c>
      <c r="X32" s="1568"/>
      <c r="Y32" s="336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8"/>
      <c r="Q33" s="1573">
        <f t="shared" si="11"/>
        <v>111</v>
      </c>
      <c r="R33" s="1574" t="s">
        <v>8</v>
      </c>
      <c r="S33" s="1575">
        <f t="shared" si="12"/>
        <v>100</v>
      </c>
      <c r="T33" s="1574" t="s">
        <v>8</v>
      </c>
      <c r="U33" s="1575">
        <f t="shared" si="13"/>
        <v>100</v>
      </c>
      <c r="V33" s="1574" t="s">
        <v>8</v>
      </c>
      <c r="W33" s="1575">
        <f t="shared" si="14"/>
        <v>100</v>
      </c>
      <c r="X33" s="1568"/>
      <c r="Y33" s="336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63" t="str">
        <f>A35</f>
        <v>成交单价（元/平方米）</v>
      </c>
      <c r="Q35" s="3363"/>
      <c r="R35" s="3463">
        <f>E35</f>
        <v>0</v>
      </c>
      <c r="S35" s="3463"/>
      <c r="T35" s="3463">
        <f>G35</f>
        <v>0</v>
      </c>
      <c r="U35" s="3463"/>
      <c r="V35" s="3463">
        <f>I35</f>
        <v>0</v>
      </c>
      <c r="W35" s="3463"/>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63" t="str">
        <f>A36</f>
        <v>比较价格（元/平方米）</v>
      </c>
      <c r="Q36" s="3363"/>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0"/>
      <c r="Y36" s="1560"/>
      <c r="Z36" s="1560"/>
      <c r="AA36" s="1560"/>
      <c r="AB36" s="1560"/>
      <c r="AC36" s="1560"/>
    </row>
    <row r="37" spans="1:29" ht="15.75" thickBot="1">
      <c r="A37" s="621" t="s">
        <v>2938</v>
      </c>
      <c r="B37" s="622"/>
      <c r="C37" s="2638" t="e">
        <f>R37</f>
        <v>#DIV/0!</v>
      </c>
      <c r="D37" s="2638"/>
      <c r="E37" s="2638"/>
      <c r="F37" s="2638"/>
      <c r="G37" s="2638"/>
      <c r="H37" s="2638"/>
      <c r="I37" s="2638"/>
      <c r="J37" s="2638"/>
      <c r="K37" s="1614"/>
      <c r="L37" s="2146"/>
      <c r="M37" s="2147"/>
      <c r="N37" s="2147"/>
      <c r="O37" s="2147"/>
      <c r="P37" s="3384" t="str">
        <f>A37</f>
        <v>估价对象XX用房的比较价格（楼面单价，元/平方米）</v>
      </c>
      <c r="Q37" s="3385"/>
      <c r="R37" s="3462" t="e">
        <f>IF(F1="售价",ROUND(AVERAGE(R36:V36),0),ROUND(AVERAGE(R36:V36),1))</f>
        <v>#DIV/0!</v>
      </c>
      <c r="S37" s="3462"/>
      <c r="T37" s="3462"/>
      <c r="U37" s="3462"/>
      <c r="V37" s="3462"/>
      <c r="W37" s="346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2" t="s">
        <v>2307</v>
      </c>
      <c r="D1" s="3473"/>
      <c r="E1" s="3473"/>
      <c r="F1" s="3473"/>
      <c r="G1" s="3473"/>
      <c r="H1" s="3473"/>
      <c r="I1" s="3473"/>
      <c r="J1" s="3473"/>
      <c r="K1" s="3473"/>
      <c r="L1" s="3473"/>
      <c r="M1" s="3473"/>
      <c r="N1" s="3473"/>
      <c r="O1" s="3473"/>
      <c r="P1" s="3473"/>
      <c r="Q1" s="3473"/>
      <c r="R1" s="3473"/>
      <c r="S1" s="3474"/>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69" t="s">
        <v>20</v>
      </c>
      <c r="D22" s="3470"/>
      <c r="E22" s="3470"/>
      <c r="F22" s="3470"/>
      <c r="G22" s="3470"/>
      <c r="H22" s="3470"/>
      <c r="I22" s="3470"/>
      <c r="J22" s="3470"/>
      <c r="K22" s="3470"/>
      <c r="L22" s="3470"/>
      <c r="M22" s="3470"/>
      <c r="N22" s="3470"/>
      <c r="O22" s="3470"/>
      <c r="P22" s="3470"/>
      <c r="Q22" s="347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北京农商银行怀柔支行：</v>
      </c>
    </row>
    <row r="4" spans="1:4" ht="37.5">
      <c r="A4" s="1793" t="str">
        <f>"受贵公司委托，我公司对"&amp;项目基本情况!K2&amp;项目基本情况!B9&amp;"进行了预评估。"</f>
        <v>受贵公司委托，我公司对北京市桥梓镇岐庄村29号出让国有建设用地使用权市场价格进行了预评估。</v>
      </c>
    </row>
    <row r="5" spans="1:4" ht="18.75">
      <c r="A5" s="1796" t="s">
        <v>1906</v>
      </c>
    </row>
    <row r="6" spans="1:4" ht="18.75">
      <c r="A6" s="1793"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2018年9月27日（评估专业人员勘察现场之日）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18.75">
      <c r="A20" s="256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27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43370</v>
      </c>
      <c r="H1" s="2940">
        <f>IF(C1&gt;C13,0,MATCH(C1,C$13:C$100,-1))+IF(SUMIF(C13:C100,C1,D13:D100)=0,13,12)</f>
        <v>13</v>
      </c>
      <c r="I1" s="2940">
        <f ca="1">MATCH(C2,H3:H7,1)+IF(SUMIF(H3:H7,C2,I3:I7)=0,2,1)</f>
        <v>2</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0</v>
      </c>
      <c r="D2" s="3002" t="s">
        <v>2791</v>
      </c>
      <c r="E2" s="3005" t="e">
        <f ca="1">INDIRECT("I"&amp;$I$1)/100</f>
        <v>#VALUE!</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1" sqref="I2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2041</v>
      </c>
      <c r="B1" s="3186"/>
      <c r="C1" s="3186"/>
      <c r="D1" s="3186"/>
      <c r="E1" s="3186"/>
      <c r="F1" s="3186"/>
      <c r="G1" s="3186"/>
      <c r="H1" s="3186"/>
      <c r="I1" s="3186"/>
      <c r="J1" s="3186"/>
      <c r="K1" s="3186"/>
      <c r="L1" s="3186"/>
      <c r="M1" s="3186"/>
      <c r="N1" s="3186"/>
      <c r="O1" s="3186"/>
      <c r="P1" s="3186"/>
      <c r="Q1" s="3186"/>
      <c r="R1" s="3186"/>
    </row>
    <row r="2" spans="1:18">
      <c r="A2" s="1809" t="s">
        <v>2043</v>
      </c>
      <c r="B2" s="1809"/>
      <c r="C2" s="1809"/>
      <c r="D2" s="1809"/>
      <c r="E2" s="1809"/>
      <c r="F2" s="1809"/>
      <c r="G2" s="1809"/>
      <c r="H2" s="1809"/>
      <c r="I2" s="1810"/>
      <c r="J2" s="1810"/>
      <c r="K2" s="1811" t="str">
        <f>"估价期日："&amp;TEXT(项目基本情况!D3,"yyyy年m月d日;;")</f>
        <v>估价期日：2018年9月27日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7" t="s">
        <v>2032</v>
      </c>
      <c r="B3" s="3187" t="s">
        <v>2734</v>
      </c>
      <c r="C3" s="3188" t="s">
        <v>2033</v>
      </c>
      <c r="D3" s="3187" t="s">
        <v>2738</v>
      </c>
      <c r="E3" s="3190" t="s">
        <v>2034</v>
      </c>
      <c r="F3" s="3190"/>
      <c r="G3" s="3190"/>
      <c r="H3" s="3190" t="s">
        <v>2035</v>
      </c>
      <c r="I3" s="3190"/>
      <c r="J3" s="3190"/>
      <c r="K3" s="3188" t="s">
        <v>2036</v>
      </c>
      <c r="L3" s="3188" t="s">
        <v>2037</v>
      </c>
      <c r="M3" s="3187" t="s">
        <v>2735</v>
      </c>
      <c r="N3" s="3189" t="str">
        <f>"（分摊）"&amp;项目基本情况!B16&amp;"国有建设用地使用权面积/㎡"</f>
        <v>（分摊）出让国有建设用地使用权面积/㎡</v>
      </c>
      <c r="O3" s="3187" t="s">
        <v>2066</v>
      </c>
      <c r="P3" s="3188" t="s">
        <v>2046</v>
      </c>
      <c r="Q3" s="3188" t="s">
        <v>2067</v>
      </c>
      <c r="R3" s="3188" t="s">
        <v>2038</v>
      </c>
    </row>
    <row r="4" spans="1:18" ht="36.75" customHeight="1">
      <c r="A4" s="3187"/>
      <c r="B4" s="3187"/>
      <c r="C4" s="3188"/>
      <c r="D4" s="3187"/>
      <c r="E4" s="2651" t="s">
        <v>2045</v>
      </c>
      <c r="F4" s="2651" t="s">
        <v>2747</v>
      </c>
      <c r="G4" s="2651" t="s">
        <v>2039</v>
      </c>
      <c r="H4" s="2651" t="s">
        <v>2040</v>
      </c>
      <c r="I4" s="2651" t="s">
        <v>2748</v>
      </c>
      <c r="J4" s="2651" t="s">
        <v>2039</v>
      </c>
      <c r="K4" s="3188"/>
      <c r="L4" s="3188"/>
      <c r="M4" s="3187"/>
      <c r="N4" s="3189"/>
      <c r="O4" s="3187"/>
      <c r="P4" s="3188"/>
      <c r="Q4" s="3188"/>
      <c r="R4" s="3188"/>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t="e">
        <f>项目基本情况!C22</f>
        <v>#DIV/0!</v>
      </c>
      <c r="O5" s="1812">
        <f>项目基本情况!C21</f>
        <v>0</v>
      </c>
      <c r="P5" s="1812" t="e">
        <f ca="1">结果表!E42</f>
        <v>#DIV/0!</v>
      </c>
      <c r="Q5" s="1812" t="e">
        <f ca="1">结果表!D42</f>
        <v>#DIV/0!</v>
      </c>
      <c r="R5" s="1813" t="e">
        <f ca="1">结果表!C42</f>
        <v>#DIV/0!</v>
      </c>
    </row>
    <row r="6" spans="1:18">
      <c r="A6" s="3183" t="str">
        <f>IF(项目基本情况!B9="市场价格","——","抵押价格")</f>
        <v>——</v>
      </c>
      <c r="B6" s="3184"/>
      <c r="C6" s="3184"/>
      <c r="D6" s="3184"/>
      <c r="E6" s="3184"/>
      <c r="F6" s="3184"/>
      <c r="G6" s="3184"/>
      <c r="H6" s="3184"/>
      <c r="I6" s="3184"/>
      <c r="J6" s="3184"/>
      <c r="K6" s="3184"/>
      <c r="L6" s="3184"/>
      <c r="M6" s="3184"/>
      <c r="N6" s="3184"/>
      <c r="O6" s="3184"/>
      <c r="P6" s="3184"/>
      <c r="Q6" s="3185"/>
      <c r="R6" s="1814" t="str">
        <f>结果表!O39</f>
        <v>——</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4" t="str">
        <f>结果表!O40</f>
        <v>——</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1" t="s">
        <v>2068</v>
      </c>
      <c r="B1" s="3191"/>
      <c r="C1" s="3191"/>
      <c r="D1" s="3191"/>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2069</v>
      </c>
      <c r="B5" s="3194"/>
      <c r="C5" s="3194"/>
      <c r="D5" s="3194"/>
    </row>
    <row r="6" spans="1:4">
      <c r="A6" s="3191" t="s">
        <v>2047</v>
      </c>
      <c r="B6" s="3191"/>
      <c r="C6" s="3191"/>
      <c r="D6" s="3191"/>
    </row>
    <row r="7" spans="1:4" ht="33" customHeight="1">
      <c r="A7" s="3191" t="s">
        <v>2578</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1"/>
      <c r="C8" s="3191"/>
      <c r="D8" s="3191"/>
    </row>
    <row r="9" spans="1:4" ht="33.75" customHeight="1">
      <c r="A9" s="3191" t="str">
        <f>IF(项目基本情况!B8="抵押","3.抵押双方在办理抵押登记手续时，应使用本公司出具的正式《土地估价报告》，特提请报告使用者注意。","——")</f>
        <v>——</v>
      </c>
      <c r="B9" s="3191"/>
      <c r="C9" s="3191"/>
      <c r="D9" s="3191"/>
    </row>
    <row r="10" spans="1:4">
      <c r="A10" s="3191" t="str">
        <f>IF(项目基本情况!B8="抵押","4.估价师所知悉的法定优先受偿款情况为：","——")</f>
        <v>——</v>
      </c>
      <c r="B10" s="3191"/>
      <c r="C10" s="3191"/>
      <c r="D10" s="3191"/>
    </row>
    <row r="11" spans="1:4" ht="37.5" customHeight="1">
      <c r="A11" s="3193" t="str">
        <f>IF(项目基本情况!B8="抵押","（1）"&amp;CONCATENATE(项目基本情况!L24,项目基本情况!L25,项目基本情况!L26),"——")</f>
        <v>——</v>
      </c>
      <c r="B11" s="3193"/>
      <c r="C11" s="3193"/>
      <c r="D11" s="3193"/>
    </row>
    <row r="12" spans="1:4" ht="168" customHeight="1">
      <c r="A12" s="3194" t="s">
        <v>2071</v>
      </c>
      <c r="B12" s="3194"/>
      <c r="C12" s="3194"/>
      <c r="D12" s="3194"/>
    </row>
    <row r="13" spans="1:4">
      <c r="A13" s="3192" t="s">
        <v>2749</v>
      </c>
      <c r="B13" s="3192"/>
      <c r="C13" s="3192"/>
      <c r="D13" s="3192"/>
    </row>
    <row r="14" spans="1:4">
      <c r="A14" s="3193" t="str">
        <f>IF(项目基本情况!B8="抵押","综上，"&amp;结果表!K47,"——")</f>
        <v>——</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2705</v>
      </c>
      <c r="B17" s="3191"/>
      <c r="C17" s="3191"/>
      <c r="D17" s="3191"/>
    </row>
    <row r="18" spans="1:4">
      <c r="A18" s="3191" t="s">
        <v>2697</v>
      </c>
      <c r="B18" s="3191"/>
      <c r="C18" s="3191"/>
      <c r="D18" s="3191"/>
    </row>
    <row r="19" spans="1:4">
      <c r="A19" s="2870" t="s">
        <v>2698</v>
      </c>
      <c r="B19" s="2870" t="s">
        <v>2699</v>
      </c>
      <c r="C19" s="2870" t="s">
        <v>2700</v>
      </c>
      <c r="D19" s="2870" t="s">
        <v>2701</v>
      </c>
    </row>
    <row r="20" spans="1:4">
      <c r="A20" s="2870" t="str">
        <f>项目基本情况!B4</f>
        <v>陈颖</v>
      </c>
      <c r="B20" s="2870">
        <f ca="1">项目基本情况!C4</f>
        <v>2004110096</v>
      </c>
      <c r="C20" s="2872"/>
      <c r="D20" s="1802" t="s">
        <v>2706</v>
      </c>
    </row>
    <row r="21" spans="1:4">
      <c r="A21" s="2870" t="str">
        <f>项目基本情况!D4</f>
        <v>叶凌</v>
      </c>
      <c r="B21" s="2870">
        <f ca="1">项目基本情况!E4</f>
        <v>94010078</v>
      </c>
      <c r="C21" s="2872"/>
      <c r="D21" s="1802" t="s">
        <v>2707</v>
      </c>
    </row>
    <row r="23" spans="1:4">
      <c r="A23" s="3191" t="s">
        <v>2702</v>
      </c>
      <c r="B23" s="3191"/>
      <c r="C23" s="3191"/>
      <c r="D23" s="3191"/>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3" t="s">
        <v>53</v>
      </c>
      <c r="B15" s="3204" t="s">
        <v>846</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837</v>
      </c>
    </row>
    <row r="25" spans="1:3" ht="14.25">
      <c r="A25" s="3202"/>
      <c r="B25" s="3206"/>
      <c r="C25" s="1176" t="s">
        <v>838</v>
      </c>
    </row>
    <row r="26" spans="1:3" ht="14.25">
      <c r="A26" s="3202"/>
      <c r="B26" s="3206"/>
      <c r="C26" s="1176" t="s">
        <v>839</v>
      </c>
    </row>
    <row r="27" spans="1:3" ht="14.25">
      <c r="A27" s="3202"/>
      <c r="B27" s="3206"/>
      <c r="C27" s="1176" t="s">
        <v>840</v>
      </c>
    </row>
    <row r="28" spans="1:3" ht="14.25">
      <c r="A28" s="3202"/>
      <c r="B28" s="3206"/>
      <c r="C28" s="1176" t="s">
        <v>841</v>
      </c>
    </row>
    <row r="29" spans="1:3" ht="14.25">
      <c r="A29" s="3202"/>
      <c r="B29" s="3206"/>
      <c r="C29" s="1176" t="s">
        <v>842</v>
      </c>
    </row>
    <row r="30" spans="1:3" ht="14.25">
      <c r="A30" s="3202"/>
      <c r="B30" s="3206"/>
      <c r="C30" s="1176" t="s">
        <v>843</v>
      </c>
    </row>
    <row r="31" spans="1:3" ht="14.25">
      <c r="A31" s="3202"/>
      <c r="B31" s="3206"/>
      <c r="C31" s="1176" t="s">
        <v>844</v>
      </c>
    </row>
    <row r="32" spans="1:3" ht="14.25">
      <c r="A32" s="3202"/>
      <c r="B32" s="3206"/>
      <c r="C32" s="1176" t="s">
        <v>1647</v>
      </c>
    </row>
    <row r="33" spans="1:3" ht="14.25">
      <c r="A33" s="3202"/>
      <c r="B33" s="3196" t="s">
        <v>1653</v>
      </c>
      <c r="C33" s="1176" t="s">
        <v>1648</v>
      </c>
    </row>
    <row r="34" spans="1:3" ht="14.25">
      <c r="A34" s="3202"/>
      <c r="B34" s="3197"/>
      <c r="C34" s="1181" t="s">
        <v>1649</v>
      </c>
    </row>
    <row r="35" spans="1:3" ht="14.25">
      <c r="A35" s="3202"/>
      <c r="B35" s="3197"/>
      <c r="C35" s="1182" t="s">
        <v>1650</v>
      </c>
    </row>
    <row r="36" spans="1:3" ht="14.25">
      <c r="A36" s="3202"/>
      <c r="B36" s="3197"/>
      <c r="C36" s="1182" t="s">
        <v>1651</v>
      </c>
    </row>
    <row r="37" spans="1:3" ht="14.25">
      <c r="A37" s="3202"/>
      <c r="B37" s="31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43390</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t="str">
        <f ca="1">IF(C7&lt;B2,"已过期",1120050019)</f>
        <v>已过期</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2980</v>
      </c>
      <c r="B12" s="2345">
        <v>1120110054</v>
      </c>
      <c r="C12" s="3008">
        <v>43937</v>
      </c>
      <c r="D12" s="2345" t="s">
        <v>2980</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07" t="s">
        <v>1929</v>
      </c>
      <c r="B25" s="3207"/>
      <c r="C25" s="3207"/>
      <c r="D25" s="3207"/>
      <c r="E25" s="3207"/>
      <c r="F25" s="3207"/>
      <c r="G25" s="3207"/>
    </row>
    <row r="26" spans="1:7" ht="20.25" customHeight="1">
      <c r="A26" s="3208" t="s">
        <v>1930</v>
      </c>
      <c r="B26" s="3208"/>
      <c r="C26" s="3208"/>
      <c r="D26" s="3208" t="s">
        <v>1931</v>
      </c>
      <c r="E26" s="3208"/>
      <c r="F26" s="320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2958</v>
      </c>
      <c r="C18" s="1555"/>
    </row>
    <row r="19" spans="1:3">
      <c r="A19" s="8" t="s">
        <v>120</v>
      </c>
      <c r="B19" s="3115" t="s">
        <v>2966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桥梓镇岐庄村29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9"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27日，在规划利用条件下、设定土地开发程度为红线外“七通”、宗地内场地，设定用途为，剩余土地使用年限为的出让国有建设用地使用权价格。</v>
      </c>
      <c r="D53" s="1769"/>
      <c r="E53" s="1769"/>
    </row>
    <row r="54" spans="1:5">
      <c r="A54" s="3209"/>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9"/>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9"/>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9"/>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2018-10-17T04:55:49Z</dcterms:modified>
</cp:coreProperties>
</file>