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土地案例" sheetId="85" r:id="rId23"/>
    <sheet name="基准地价修正商业" sheetId="83" r:id="rId24"/>
    <sheet name="基准地价（汇总）" sheetId="76" state="hidden" r:id="rId25"/>
    <sheet name="成本法 (元)" sheetId="69" state="hidden" r:id="rId26"/>
    <sheet name="假设开发法" sheetId="12" state="hidden" r:id="rId27"/>
    <sheet name="收益法（汇总）" sheetId="70" r:id="rId28"/>
    <sheet name="收益法商业" sheetId="15" r:id="rId29"/>
    <sheet name="收益法 (元)" sheetId="67" state="hidden" r:id="rId30"/>
    <sheet name="收益法-酒店模型" sheetId="77" state="hidden" r:id="rId31"/>
    <sheet name="收益法车库" sheetId="82"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3">基准地价修正商业!$A$1:$J$44,基准地价修正商业!$A$47:$H$101,基准地价修正商业!$R$1:$V$16</definedName>
    <definedName name="_xlnm.Print_Area" localSheetId="26">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7">'收益法（汇总）'!$A$1:$F$13</definedName>
    <definedName name="_xlnm.Print_Area" localSheetId="31">收益法车库!$A$1:$F$43,收益法车库!$H$3:$M$29,收益法车库!$A$46:$F$71,收益法车库!$I$46:$N$65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3">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46" i="39" l="1"/>
  <c r="G46" i="39"/>
  <c r="E46" i="39"/>
  <c r="E70" i="39"/>
  <c r="F70" i="39" s="1"/>
  <c r="G70" i="39" s="1"/>
  <c r="H70" i="39" s="1"/>
  <c r="I70" i="39" s="1"/>
  <c r="J70" i="39" s="1"/>
  <c r="K70" i="39" s="1"/>
  <c r="L70" i="39" s="1"/>
  <c r="M70" i="39" s="1"/>
  <c r="N70" i="39" s="1"/>
  <c r="O70" i="39" s="1"/>
  <c r="D70" i="39"/>
  <c r="I7" i="39"/>
  <c r="G7" i="39"/>
  <c r="E7" i="39"/>
  <c r="C36" i="33"/>
  <c r="C33" i="33"/>
  <c r="C10" i="33"/>
  <c r="G51" i="83"/>
  <c r="G52" i="83"/>
  <c r="G53" i="83"/>
  <c r="G54" i="83"/>
  <c r="G55" i="83"/>
  <c r="G56" i="83"/>
  <c r="G57" i="83"/>
  <c r="G58" i="83"/>
  <c r="G50" i="83"/>
  <c r="G44" i="83"/>
  <c r="D42" i="83"/>
  <c r="G20" i="6"/>
  <c r="U5" i="83" l="1"/>
  <c r="U4" i="83"/>
  <c r="U3" i="83"/>
  <c r="U2" i="83"/>
  <c r="D37" i="83"/>
  <c r="H37" i="83" s="1"/>
  <c r="Y7" i="1"/>
  <c r="Y6" i="1"/>
  <c r="N7" i="1"/>
  <c r="N6" i="1"/>
  <c r="N19" i="1"/>
  <c r="G19" i="6"/>
  <c r="F19" i="6"/>
  <c r="O13" i="3"/>
  <c r="K13" i="3"/>
  <c r="I13" i="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2" i="83"/>
  <c r="H41" i="83"/>
  <c r="H40" i="83"/>
  <c r="H39" i="83"/>
  <c r="H38" i="83"/>
  <c r="P25" i="83"/>
  <c r="M24" i="83"/>
  <c r="J24" i="83"/>
  <c r="G24" i="83"/>
  <c r="E44" i="83" s="1"/>
  <c r="C44" i="83" s="1"/>
  <c r="E24" i="83"/>
  <c r="Q32" i="83" s="1"/>
  <c r="O23" i="83"/>
  <c r="M23" i="83"/>
  <c r="I23" i="83"/>
  <c r="G23" i="83"/>
  <c r="P28" i="83" s="1"/>
  <c r="C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D1" i="83"/>
  <c r="P74" i="82"/>
  <c r="Q72" i="82"/>
  <c r="Q59" i="82"/>
  <c r="K59" i="82"/>
  <c r="P61" i="82" s="1"/>
  <c r="F59" i="82"/>
  <c r="Q58" i="82"/>
  <c r="Q51" i="82"/>
  <c r="J50" i="82"/>
  <c r="J51" i="82" s="1"/>
  <c r="M47" i="82"/>
  <c r="D46" i="82"/>
  <c r="F34" i="82"/>
  <c r="F62" i="82" s="1"/>
  <c r="F33" i="82"/>
  <c r="F61" i="82" s="1"/>
  <c r="F31" i="82"/>
  <c r="F23" i="82"/>
  <c r="D24" i="82" s="1"/>
  <c r="D23" i="82"/>
  <c r="D22" i="82"/>
  <c r="F21" i="82"/>
  <c r="M20" i="82"/>
  <c r="F20" i="82"/>
  <c r="M19" i="82"/>
  <c r="F18" i="82"/>
  <c r="M17" i="82"/>
  <c r="F17" i="82"/>
  <c r="F15" i="82"/>
  <c r="R32" i="80"/>
  <c r="E9" i="80" s="1"/>
  <c r="Q32" i="80"/>
  <c r="P32" i="80"/>
  <c r="K31" i="80"/>
  <c r="I26" i="80"/>
  <c r="H26" i="80"/>
  <c r="G25" i="80"/>
  <c r="G24" i="80"/>
  <c r="G26" i="80" s="1"/>
  <c r="F22" i="80"/>
  <c r="F26" i="80" s="1"/>
  <c r="E18" i="80"/>
  <c r="E17" i="80"/>
  <c r="E16" i="80"/>
  <c r="E15" i="80" s="1"/>
  <c r="E14" i="80" s="1"/>
  <c r="E13" i="80" s="1"/>
  <c r="E12" i="80" s="1"/>
  <c r="E11" i="80" s="1"/>
  <c r="E10" i="80"/>
  <c r="E8" i="80"/>
  <c r="E6" i="80"/>
  <c r="D52" i="83" l="1"/>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P29"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P26" i="83"/>
  <c r="P27" i="83"/>
  <c r="M32" i="83"/>
  <c r="O32" i="83"/>
  <c r="H80" i="83"/>
  <c r="H79" i="83"/>
  <c r="H76" i="83"/>
  <c r="H74" i="83"/>
  <c r="H72" i="83"/>
  <c r="H73" i="83"/>
  <c r="H77" i="83"/>
  <c r="H94" i="83"/>
  <c r="H97" i="83"/>
  <c r="H98" i="83"/>
  <c r="H100" i="83"/>
  <c r="H93" i="83"/>
  <c r="H95" i="83"/>
  <c r="H96" i="83"/>
  <c r="H99" i="83"/>
  <c r="E26" i="80"/>
  <c r="J26" i="80" s="1"/>
  <c r="J27" i="80" s="1"/>
  <c r="E7" i="80"/>
  <c r="G14" i="73"/>
  <c r="F14" i="73"/>
  <c r="E14" i="73"/>
  <c r="H57" i="83" l="1"/>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D5" i="83" l="1"/>
  <c r="C42" i="83" s="1"/>
  <c r="P28" i="79"/>
  <c r="B10" i="74"/>
  <c r="C41" i="83" l="1"/>
  <c r="E41" i="83" s="1"/>
  <c r="G42" i="83"/>
  <c r="I42" i="83" s="1"/>
  <c r="E42"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41" i="83" l="1"/>
  <c r="I41" i="83" s="1"/>
  <c r="C6" i="78"/>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U40" i="39"/>
  <c r="AA41"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29" i="3"/>
  <c r="E16" i="3"/>
  <c r="E188" i="3"/>
  <c r="E223" i="3"/>
  <c r="E116" i="3"/>
  <c r="E105" i="3"/>
  <c r="E369" i="3"/>
  <c r="E393" i="3"/>
  <c r="E525" i="3"/>
  <c r="E493" i="3"/>
  <c r="E534" i="3"/>
  <c r="E564" i="3"/>
  <c r="T6" i="3"/>
  <c r="E543" i="3"/>
  <c r="E405" i="3"/>
  <c r="E427" i="3"/>
  <c r="E456" i="3"/>
  <c r="E486" i="3"/>
  <c r="E469" i="3"/>
  <c r="E507" i="3"/>
  <c r="E512" i="3"/>
  <c r="E422"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73"/>
  <c r="F43" i="67"/>
  <c r="F5" i="73"/>
  <c r="E10" i="76"/>
  <c r="D3" i="73"/>
  <c r="F26" i="67"/>
  <c r="F3" i="73"/>
  <c r="F16" i="67"/>
  <c r="E13" i="76"/>
  <c r="F13" i="67"/>
  <c r="F38" i="15"/>
  <c r="F20" i="31"/>
  <c r="F37" i="15"/>
  <c r="F40" i="15"/>
  <c r="M24" i="67"/>
  <c r="F36" i="15"/>
  <c r="F4" i="73"/>
  <c r="C76" i="15"/>
  <c r="F37" i="67"/>
  <c r="M8" i="15"/>
  <c r="E2" i="68"/>
  <c r="F43" i="15"/>
  <c r="B12" i="76"/>
  <c r="M9" i="15"/>
  <c r="M6" i="15"/>
  <c r="D7" i="73"/>
  <c r="M23" i="67"/>
  <c r="M29" i="67"/>
  <c r="L48" i="15"/>
  <c r="E2" i="69"/>
  <c r="E11" i="76"/>
  <c r="B9" i="76"/>
  <c r="AO13" i="1"/>
  <c r="B10" i="76"/>
  <c r="B11" i="76"/>
  <c r="F6" i="73"/>
  <c r="M8" i="67"/>
  <c r="E8" i="76"/>
  <c r="F13" i="15"/>
  <c r="J15" i="67"/>
  <c r="J15" i="15"/>
  <c r="F26" i="15"/>
  <c r="F7" i="67"/>
  <c r="F16" i="15"/>
  <c r="F42" i="67"/>
  <c r="F40" i="67"/>
  <c r="E12" i="76"/>
  <c r="D4" i="73"/>
  <c r="M28" i="67"/>
  <c r="M9" i="67"/>
  <c r="D6" i="73"/>
  <c r="F8" i="67"/>
  <c r="B8" i="76"/>
  <c r="M26" i="15"/>
  <c r="E9" i="76"/>
  <c r="B13" i="76"/>
  <c r="M22" i="15"/>
  <c r="F6" i="67"/>
  <c r="F8" i="15"/>
  <c r="M23" i="15"/>
  <c r="F9" i="15"/>
  <c r="L47" i="67"/>
  <c r="D5" i="73"/>
  <c r="L47" i="15"/>
  <c r="M28" i="15"/>
  <c r="F6" i="15"/>
  <c r="F42" i="15"/>
  <c r="C76" i="67"/>
  <c r="F38" i="67"/>
  <c r="F36" i="67"/>
  <c r="M26" i="67"/>
  <c r="M24" i="15"/>
  <c r="M29" i="15"/>
  <c r="M6" i="67"/>
  <c r="M22" i="67"/>
  <c r="F9" i="67"/>
  <c r="F7" i="15"/>
  <c r="S42" i="39" l="1"/>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9" i="53"/>
  <c r="B38" i="72" s="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P61" i="15"/>
  <c r="C94" i="9"/>
  <c r="C92" i="9"/>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B8" i="74"/>
  <c r="C8" i="74" s="1"/>
  <c r="D127" i="9"/>
  <c r="D13" i="52" s="1"/>
  <c r="D12" i="52"/>
  <c r="D20" i="53"/>
  <c r="B40" i="72" s="1"/>
  <c r="D17" i="53"/>
  <c r="B36" i="72" s="1"/>
  <c r="D124" i="9"/>
  <c r="AC21" i="39"/>
  <c r="AB23" i="39"/>
  <c r="AB15" i="39"/>
  <c r="AC15" i="39"/>
  <c r="S25" i="39"/>
  <c r="W39" i="39"/>
  <c r="W42" i="39"/>
  <c r="W14" i="39"/>
  <c r="S29"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F36" i="82"/>
  <c r="C76" i="82"/>
  <c r="F16" i="82"/>
  <c r="F40" i="82"/>
  <c r="C16" i="67"/>
  <c r="G1" i="73"/>
  <c r="M24" i="82"/>
  <c r="M22" i="82"/>
  <c r="F37" i="82"/>
  <c r="M9" i="82"/>
  <c r="M27" i="82"/>
  <c r="L48" i="82"/>
  <c r="F43" i="82"/>
  <c r="M29" i="82"/>
  <c r="F42" i="82"/>
  <c r="F9" i="82"/>
  <c r="M26" i="82"/>
  <c r="F6" i="82"/>
  <c r="F8" i="82"/>
  <c r="L47" i="82"/>
  <c r="M6" i="82"/>
  <c r="M28" i="82"/>
  <c r="M8" i="82"/>
  <c r="M23" i="82"/>
  <c r="F38" i="82"/>
  <c r="F7" i="82"/>
  <c r="F26" i="82"/>
  <c r="F13" i="82"/>
  <c r="J15" i="82"/>
  <c r="C16" i="15"/>
  <c r="J53" i="67" l="1"/>
  <c r="F1" i="67" s="1"/>
  <c r="L56" i="67"/>
  <c r="J57" i="67"/>
  <c r="J55" i="67" s="1"/>
  <c r="J58" i="67" s="1"/>
  <c r="Q50" i="67" s="1"/>
  <c r="I54" i="67"/>
  <c r="L58" i="67"/>
  <c r="Q73" i="67" s="1"/>
  <c r="G8" i="1"/>
  <c r="G16" i="1" s="1"/>
  <c r="F10" i="39" s="1"/>
  <c r="T16" i="83"/>
  <c r="V16" i="83" s="1"/>
  <c r="T14" i="83"/>
  <c r="V14" i="83" s="1"/>
  <c r="T9" i="83"/>
  <c r="V9" i="83" s="1"/>
  <c r="T6" i="83"/>
  <c r="V6" i="83" s="1"/>
  <c r="T3" i="83"/>
  <c r="V3" i="83" s="1"/>
  <c r="T12" i="83"/>
  <c r="V12" i="83" s="1"/>
  <c r="T10" i="83"/>
  <c r="V10" i="83" s="1"/>
  <c r="T2" i="83"/>
  <c r="V2" i="83" s="1"/>
  <c r="T15" i="83"/>
  <c r="V15" i="83" s="1"/>
  <c r="T13" i="83"/>
  <c r="V13" i="83" s="1"/>
  <c r="T8" i="83"/>
  <c r="V8" i="83" s="1"/>
  <c r="T5" i="83"/>
  <c r="V5" i="83" s="1"/>
  <c r="C33" i="83"/>
  <c r="E33" i="83" s="1"/>
  <c r="T11" i="83"/>
  <c r="V11" i="83" s="1"/>
  <c r="T4" i="83"/>
  <c r="V4" i="83" s="1"/>
  <c r="T7" i="83"/>
  <c r="V7" i="83" s="1"/>
  <c r="C37" i="83"/>
  <c r="C38" i="83"/>
  <c r="C39" i="83"/>
  <c r="C40"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AE6" i="1"/>
  <c r="C16" i="82"/>
  <c r="Q52" i="67" l="1"/>
  <c r="C32" i="82"/>
  <c r="E40" i="83"/>
  <c r="G40" i="83"/>
  <c r="I40" i="83" s="1"/>
  <c r="E38" i="83"/>
  <c r="G38" i="83"/>
  <c r="I38" i="83" s="1"/>
  <c r="C34" i="83"/>
  <c r="E34"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F41" i="15"/>
  <c r="M27" i="67"/>
  <c r="F41" i="67"/>
  <c r="AE7" i="1"/>
  <c r="C30" i="83" l="1"/>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F41" i="82"/>
  <c r="B7" i="76"/>
  <c r="C17" i="82"/>
  <c r="E7" i="76"/>
  <c r="C17" i="15"/>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4" i="82"/>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2" l="1"/>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F35" i="15"/>
  <c r="F35" i="82"/>
  <c r="M21" i="15"/>
  <c r="F35" i="67"/>
  <c r="M21" i="67"/>
  <c r="C13" i="82" l="1"/>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C40"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Q69" i="82" l="1"/>
  <c r="Q68" i="82" s="1"/>
  <c r="C80" i="82"/>
  <c r="C79" i="82" s="1"/>
  <c r="Q67" i="82"/>
  <c r="L57" i="82"/>
  <c r="L60" i="82" s="1"/>
  <c r="L46" i="82" s="1"/>
  <c r="B2" i="82" s="1"/>
  <c r="B3" i="82" s="1"/>
  <c r="Q47" i="82"/>
  <c r="Q53" i="82" s="1"/>
  <c r="Q65" i="82"/>
  <c r="Q56" i="82"/>
  <c r="C43" i="82"/>
  <c r="C83" i="82"/>
  <c r="C82" i="82" s="1"/>
  <c r="C46" i="82"/>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6" i="82" l="1"/>
  <c r="Q57" i="82"/>
  <c r="Q62" i="82" s="1"/>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10" i="1"/>
  <c r="AO8" i="1"/>
  <c r="AO9" i="1"/>
  <c r="AO7" i="1"/>
  <c r="R48" i="39" l="1"/>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l="1"/>
  <c r="C57" i="68"/>
  <c r="C56" i="68" s="1"/>
  <c r="C19" i="9"/>
  <c r="C102" i="9" l="1"/>
  <c r="C21" i="9"/>
  <c r="D22" i="9"/>
  <c r="G19" i="9"/>
  <c r="B3" i="68"/>
  <c r="D35" i="9"/>
  <c r="D34" i="9"/>
  <c r="C20"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<sst xmlns="http://schemas.openxmlformats.org/spreadsheetml/2006/main" count="8432" uniqueCount="3490">
  <si>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</si>
  <si>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</si>
  <si>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</si>
  <si>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</si>
  <si>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</si>
  <si>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</si>
  <si>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</si>
  <si>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</si>
  <si>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</si>
  <si>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</si>
  <si>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</si>
  <si>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</si>
  <si>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</si>
  <si>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</si>
  <si>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</si>
  <si>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</si>
  <si>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</si>
  <si>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</si>
  <si>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</si>
  <si>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</si>
  <si>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</si>
  <si>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</si>
  <si>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</si>
  <si>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</si>
  <si>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</si>
  <si>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</si>
  <si>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</si>
  <si>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</si>
  <si>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</si>
  <si>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</si>
  <si>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</si>
  <si>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</si>
  <si>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</si>
  <si>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</si>
  <si>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</si>
  <si>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</si>
  <si>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</si>
  <si>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</si>
  <si>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</si>
  <si>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</si>
  <si>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</si>
  <si>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</si>
  <si>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</si>
  <si>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</si>
  <si>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</si>
  <si>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</si>
  <si>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</si>
  <si>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</si>
  <si>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</si>
  <si>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</si>
  <si>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</si>
  <si>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</si>
  <si>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</si>
  <si>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</si>
  <si>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</si>
  <si>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</si>
  <si>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</si>
  <si>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</si>
  <si>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</si>
  <si>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</si>
  <si>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</si>
  <si>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</si>
  <si>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</si>
  <si>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</si>
  <si>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</si>
  <si>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</si>
  <si>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</si>
  <si>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</si>
  <si>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</si>
  <si>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</si>
  <si>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</si>
  <si>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</si>
  <si>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</si>
  <si>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</si>
  <si>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</si>
  <si>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</si>
  <si>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</si>
  <si>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</si>
  <si>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</si>
  <si>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</si>
  <si>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</si>
  <si>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</si>
  <si>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</si>
  <si>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</si>
  <si>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</si>
  <si>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</si>
  <si>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</si>
  <si>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</si>
  <si>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</si>
  <si>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</si>
  <si>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</si>
  <si>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</si>
  <si>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</si>
  <si>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</si>
  <si>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</si>
  <si>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</si>
  <si>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</si>
  <si>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</si>
  <si>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</si>
  <si>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</si>
  <si>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</si>
  <si>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</si>
  <si>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</si>
  <si>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</si>
  <si>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</si>
  <si>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</si>
  <si>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</si>
  <si>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</si>
  <si>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</si>
  <si>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</si>
  <si>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</si>
  <si>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</si>
  <si>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</si>
  <si>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</si>
  <si>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</si>
  <si>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</si>
  <si>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</si>
  <si>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</si>
  <si>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</si>
  <si>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</si>
  <si>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</si>
  <si>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</si>
  <si>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</si>
  <si>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</si>
  <si>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</si>
  <si>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</si>
  <si>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</si>
  <si>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</si>
  <si>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</si>
  <si>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</si>
  <si>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</si>
  <si>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</si>
  <si>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</si>
  <si>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</si>
  <si>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</si>
  <si>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</si>
  <si>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</si>
  <si>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</si>
  <si>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</si>
  <si>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</si>
  <si>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</si>
  <si>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</si>
  <si>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</si>
  <si>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</si>
  <si>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</si>
  <si>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</si>
  <si>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</si>
  <si>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</si>
  <si>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</si>
  <si>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</si>
  <si>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</si>
  <si>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</si>
  <si>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</si>
  <si>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</si>
  <si>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</si>
  <si>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</si>
  <si>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</si>
  <si>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</si>
  <si>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</si>
  <si>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</si>
  <si>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</si>
  <si>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</si>
  <si>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</si>
  <si>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</si>
  <si>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</si>
  <si>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</si>
  <si>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</si>
  <si>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</si>
  <si>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</si>
  <si>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</si>
  <si>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</si>
  <si>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</si>
  <si>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</si>
  <si>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</si>
  <si>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</si>
  <si>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</si>
  <si>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</si>
  <si>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</si>
  <si>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</si>
  <si>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</si>
  <si>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</si>
  <si>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</si>
  <si>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</si>
  <si>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</si>
  <si>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</si>
  <si>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</si>
  <si>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</si>
  <si>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</si>
  <si>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</si>
  <si>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</si>
  <si>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</si>
  <si>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</si>
  <si>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</si>
  <si>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</si>
  <si>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</si>
  <si>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</si>
  <si>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</si>
  <si>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</si>
  <si>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</si>
  <si>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</si>
  <si>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</si>
  <si>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</si>
  <si>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</si>
  <si>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</si>
  <si>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</si>
  <si>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</si>
  <si>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</si>
  <si>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</si>
  <si>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</si>
  <si>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</si>
  <si>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</si>
  <si>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</si>
  <si>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</si>
  <si>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</si>
  <si>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</si>
  <si>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</si>
  <si>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</si>
  <si>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</si>
  <si>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</si>
  <si>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</si>
  <si>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</si>
  <si>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</si>
  <si>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</si>
  <si>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</si>
  <si>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</si>
  <si>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</si>
  <si>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</si>
  <si>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</si>
  <si>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</si>
  <si>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</si>
  <si>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</si>
  <si>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</si>
  <si>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</si>
  <si>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</si>
  <si>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</si>
  <si>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</si>
  <si>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</si>
  <si>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</si>
  <si>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</si>
  <si>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</si>
  <si>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</si>
  <si>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</si>
  <si>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</si>
  <si>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</si>
  <si>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</si>
  <si>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</si>
  <si>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</si>
  <si>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</si>
  <si>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</si>
  <si>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</si>
  <si>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</si>
  <si>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</si>
  <si>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</si>
  <si>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</si>
  <si>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</si>
  <si>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</si>
  <si>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</si>
  <si>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</si>
  <si>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</si>
  <si>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</si>
  <si>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</si>
  <si>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</si>
  <si>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</si>
  <si>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</si>
  <si>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</si>
  <si>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</si>
  <si>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</si>
  <si>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</si>
  <si>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</si>
  <si>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</si>
  <si>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</si>
  <si>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</si>
  <si>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</si>
  <si>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</si>
  <si>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</si>
  <si>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</si>
  <si>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</si>
  <si>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</si>
  <si>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</si>
  <si>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</si>
  <si>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</si>
  <si>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</si>
  <si>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</si>
  <si>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</si>
  <si>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</si>
  <si>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</si>
  <si>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</si>
  <si>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</si>
  <si>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</si>
  <si>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</si>
  <si>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</si>
  <si>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</si>
  <si>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</si>
  <si>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</si>
  <si>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</si>
  <si>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</si>
  <si>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</si>
  <si>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</si>
  <si>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</si>
  <si>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</si>
  <si>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</si>
  <si>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</si>
  <si>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</si>
  <si>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</si>
  <si>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</si>
  <si>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</si>
  <si>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</si>
  <si>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</si>
  <si>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</si>
  <si>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</si>
  <si>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</si>
  <si>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</si>
  <si>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</si>
  <si>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</si>
  <si>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</si>
  <si>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</si>
  <si>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</si>
  <si>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</si>
  <si>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</si>
  <si>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</si>
  <si>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</si>
  <si>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</si>
  <si>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</si>
  <si>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</si>
  <si>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</si>
  <si>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</si>
  <si>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</si>
  <si>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</si>
  <si>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</si>
  <si>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</si>
  <si>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</si>
  <si>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</si>
  <si>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</si>
  <si>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</si>
  <si>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</si>
  <si>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</si>
  <si>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</si>
  <si>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</si>
  <si>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</si>
  <si>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</si>
  <si>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</si>
  <si>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</si>
  <si>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</si>
  <si>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</si>
  <si>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</si>
  <si>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</si>
  <si>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</si>
  <si>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</si>
  <si>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</si>
  <si>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</si>
  <si>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</si>
  <si>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</si>
  <si>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</si>
  <si>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</si>
  <si>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</si>
  <si>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</si>
  <si>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</si>
  <si>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</si>
  <si>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</si>
  <si>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</si>
  <si>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</si>
  <si>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</si>
  <si>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</si>
  <si>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</si>
  <si>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</si>
  <si>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</si>
  <si>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</si>
  <si>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</si>
  <si>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</si>
  <si>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</si>
  <si>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</si>
  <si>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</si>
  <si>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</si>
  <si>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</si>
  <si>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</si>
  <si>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</si>
  <si>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</si>
  <si>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</si>
  <si>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</si>
  <si>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</si>
  <si>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</si>
  <si>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</si>
  <si>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</si>
  <si>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</si>
  <si>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</si>
  <si>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</si>
  <si>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</si>
  <si>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</si>
  <si>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</si>
  <si>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</si>
  <si>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</si>
  <si>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</si>
  <si>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</si>
  <si>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</si>
  <si>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</si>
  <si>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</si>
  <si>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</si>
  <si>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</si>
  <si>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</si>
  <si>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</si>
  <si>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</si>
  <si>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</si>
  <si>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</si>
  <si>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</si>
  <si>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</si>
  <si>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</si>
  <si>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</si>
  <si>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</si>
  <si>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</si>
  <si>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</si>
  <si>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</si>
  <si>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</si>
  <si>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</si>
  <si>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</si>
  <si>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</si>
  <si>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</si>
  <si>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</si>
  <si>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</si>
  <si>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</si>
  <si>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</si>
  <si>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</si>
  <si>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</si>
  <si>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</si>
  <si>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</si>
  <si>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</si>
  <si>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</si>
  <si>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</si>
  <si>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</si>
  <si>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</si>
  <si>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</si>
  <si>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</si>
  <si>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</si>
  <si>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</si>
  <si>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</si>
  <si>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</si>
  <si>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</si>
  <si>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</si>
  <si>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</si>
  <si>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</si>
  <si>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</si>
  <si>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</si>
  <si>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</si>
  <si>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</si>
  <si>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</si>
  <si>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</si>
  <si>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</si>
  <si>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</si>
  <si>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</si>
  <si>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</si>
  <si>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</si>
  <si>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</si>
  <si>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</si>
  <si>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</si>
  <si>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</si>
  <si>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</si>
  <si>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</si>
  <si>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</si>
  <si>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</si>
  <si>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</si>
  <si>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</si>
  <si>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</si>
  <si>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</si>
  <si>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</si>
  <si>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</si>
  <si>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</si>
  <si>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</si>
  <si>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</si>
  <si>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</si>
  <si>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</si>
  <si>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</si>
  <si>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</si>
  <si>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</si>
  <si>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</si>
  <si>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</si>
  <si>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</si>
  <si>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</si>
  <si>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</si>
  <si>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</si>
  <si>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</si>
  <si>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</si>
  <si>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</si>
  <si>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</si>
  <si>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</si>
  <si>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</si>
  <si>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</si>
  <si>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</si>
  <si>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</si>
  <si>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</si>
  <si>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</si>
  <si>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</si>
  <si>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</si>
  <si>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</si>
  <si>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</si>
  <si>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</si>
  <si>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</si>
  <si>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</si>
  <si>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</si>
  <si>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</si>
  <si>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</si>
  <si>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</si>
  <si>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</si>
  <si>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</si>
  <si>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</si>
  <si>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</si>
  <si>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</si>
  <si>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</si>
  <si>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</si>
  <si>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</si>
  <si>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</si>
  <si>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</si>
  <si>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</si>
  <si>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</si>
  <si>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</si>
  <si>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</si>
  <si>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</si>
  <si>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</si>
  <si>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</si>
  <si>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</si>
  <si>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</si>
  <si>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</si>
  <si>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</si>
  <si>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</si>
  <si>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</si>
  <si>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</si>
  <si>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</si>
  <si>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</si>
  <si>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</si>
  <si>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</si>
  <si>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</si>
  <si>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</si>
  <si>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</si>
  <si>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</si>
  <si>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</si>
  <si>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</si>
  <si>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</si>
  <si>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</si>
  <si>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</si>
  <si>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</si>
  <si>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</si>
  <si>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</si>
  <si>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</si>
  <si>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</si>
  <si>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</si>
  <si>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</si>
  <si>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</si>
  <si>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</si>
  <si>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</si>
  <si>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</si>
  <si>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</si>
  <si>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</si>
  <si>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</si>
  <si>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</si>
  <si>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</si>
  <si>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</si>
  <si>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</si>
  <si>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</si>
  <si>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</si>
  <si>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</si>
  <si>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</si>
  <si>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</si>
  <si>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</si>
  <si>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</si>
  <si>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</si>
  <si>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</si>
  <si>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</si>
  <si>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</si>
  <si>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</si>
  <si>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</si>
  <si>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</si>
  <si>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</si>
  <si>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</si>
  <si>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</si>
  <si>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</si>
  <si>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</si>
  <si>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</si>
  <si>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</si>
  <si>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</si>
  <si>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</si>
  <si>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</si>
  <si>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</si>
  <si>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</si>
  <si>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</si>
  <si>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</si>
  <si>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</si>
  <si>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</si>
  <si>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</si>
  <si>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</si>
  <si>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</si>
  <si>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</si>
  <si>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</si>
  <si>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</si>
  <si>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</si>
  <si>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</si>
  <si>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</si>
  <si>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</si>
  <si>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</si>
  <si>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</si>
  <si>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</si>
  <si>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</si>
  <si>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</si>
  <si>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</si>
  <si>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</si>
  <si>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</si>
  <si>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</si>
  <si>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</si>
  <si>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</si>
  <si>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</si>
  <si>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</si>
  <si>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</si>
  <si>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</si>
  <si>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</si>
  <si>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</si>
  <si>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</si>
  <si>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</si>
  <si>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</si>
  <si>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</si>
  <si>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</si>
  <si>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</si>
  <si>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</si>
  <si>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</si>
  <si>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</si>
  <si>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</si>
  <si>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</si>
  <si>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</si>
  <si>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</si>
  <si>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</si>
  <si>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</si>
  <si>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</si>
  <si>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</si>
  <si>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</si>
  <si>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</si>
  <si>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</si>
  <si>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</si>
  <si>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</si>
  <si>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</si>
  <si>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</si>
  <si>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</si>
  <si>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</si>
  <si>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</si>
  <si>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</si>
  <si>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</si>
  <si>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</si>
  <si>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</si>
  <si>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</si>
  <si>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</si>
  <si>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</si>
  <si>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</si>
  <si>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</si>
  <si>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</si>
  <si>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</si>
  <si>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</si>
  <si>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</si>
  <si>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</si>
  <si>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</si>
  <si>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</si>
  <si>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</si>
  <si>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</si>
  <si>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</si>
  <si>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</si>
  <si>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</si>
  <si>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</si>
  <si>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</si>
  <si>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</si>
  <si>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</si>
  <si>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</si>
  <si>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</si>
  <si>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</si>
  <si>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</si>
  <si>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</si>
  <si>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</si>
  <si>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</si>
  <si>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</si>
  <si>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</si>
  <si>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</si>
  <si>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</si>
  <si>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</si>
  <si>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</si>
  <si>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</si>
  <si>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</si>
  <si>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</si>
  <si>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</si>
  <si>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</si>
  <si>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</si>
  <si>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</si>
  <si>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</si>
  <si>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</si>
  <si>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</si>
  <si>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</si>
  <si>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</si>
  <si>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</si>
  <si>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</si>
  <si>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</si>
  <si>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</si>
  <si>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</si>
  <si>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</si>
  <si>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</si>
  <si>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</si>
  <si>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</si>
  <si>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</si>
  <si>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</si>
  <si>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</si>
  <si>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</si>
  <si>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</si>
  <si>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</si>
  <si>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</si>
  <si>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</si>
  <si>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</si>
  <si>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</si>
  <si>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</si>
  <si>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</si>
  <si>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</si>
  <si>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</si>
  <si>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</si>
  <si>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</si>
  <si>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</si>
  <si>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</si>
  <si>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</si>
  <si>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</si>
  <si>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</si>
  <si>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</si>
  <si>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</si>
  <si>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</si>
  <si>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</si>
  <si>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</si>
  <si>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</si>
  <si>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</si>
  <si>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</si>
  <si>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</si>
  <si>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</si>
  <si>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</si>
  <si>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</si>
  <si>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</si>
  <si>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</si>
  <si>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</si>
  <si>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</si>
  <si>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</si>
  <si>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</si>
  <si>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</si>
  <si>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</si>
  <si>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</si>
  <si>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</si>
  <si>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</si>
  <si>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</si>
  <si>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</si>
  <si>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</si>
  <si>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</si>
  <si>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</si>
  <si>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</si>
  <si>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</si>
  <si>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</si>
  <si>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</si>
  <si>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</si>
  <si>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</si>
  <si>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</si>
  <si>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</si>
  <si>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</si>
  <si>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</si>
  <si>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</si>
  <si>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</si>
  <si>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</si>
  <si>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</si>
  <si>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</si>
  <si>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</si>
  <si>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</si>
  <si>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</si>
  <si>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</si>
  <si>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</si>
  <si>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</si>
  <si>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</si>
  <si>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</si>
  <si>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</si>
  <si>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</si>
  <si>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</si>
  <si>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</si>
  <si>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</si>
  <si>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</si>
  <si>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</si>
  <si>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</si>
  <si>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</si>
  <si>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</si>
  <si>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</si>
  <si>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</si>
  <si>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</si>
  <si>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</si>
  <si>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</si>
  <si>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</si>
  <si>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</si>
  <si>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</si>
  <si>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</si>
  <si>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</si>
  <si>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</si>
  <si>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</si>
  <si>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</si>
  <si>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</si>
  <si>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</si>
  <si>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</si>
  <si>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</si>
  <si>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</si>
  <si>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</si>
  <si>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</si>
  <si>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</si>
  <si>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</si>
  <si>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</si>
  <si>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</si>
  <si>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</si>
  <si>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</si>
  <si>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</si>
  <si>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</si>
  <si>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</si>
  <si>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</si>
  <si>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</si>
  <si>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</si>
  <si>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</si>
  <si>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</si>
  <si>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</si>
  <si>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</si>
  <si>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</si>
  <si>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</si>
  <si>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</si>
  <si>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</si>
  <si>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</si>
  <si>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</si>
  <si>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</si>
  <si>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</si>
  <si>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</si>
  <si>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</si>
  <si>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</si>
  <si>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</si>
  <si>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</si>
  <si>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</si>
  <si>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</si>
  <si>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</si>
  <si>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</si>
  <si>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</si>
  <si>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</si>
  <si>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</si>
  <si>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</si>
  <si>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</si>
  <si>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</si>
  <si>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</si>
  <si>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</si>
  <si>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</si>
  <si>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</si>
  <si>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</si>
  <si>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</si>
  <si>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</si>
  <si>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</si>
  <si>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</si>
  <si>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</si>
  <si>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</si>
  <si>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</si>
  <si>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</si>
  <si>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</si>
  <si>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</si>
  <si>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</si>
  <si>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</si>
  <si>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</si>
  <si>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</si>
  <si>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</si>
  <si>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</si>
  <si>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</si>
  <si>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</si>
  <si>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</si>
  <si>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</si>
  <si>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</si>
  <si>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</si>
  <si>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</si>
  <si>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</si>
  <si>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</si>
  <si>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</si>
  <si>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</si>
  <si>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</si>
  <si>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</si>
  <si>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</si>
  <si>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</si>
  <si>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</si>
  <si>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</si>
  <si>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</si>
  <si>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</si>
  <si>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</si>
  <si>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</si>
  <si>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</si>
  <si>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</si>
  <si>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</si>
  <si>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</si>
  <si>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</si>
  <si>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</si>
  <si>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</si>
  <si>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</si>
  <si>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</si>
  <si>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</si>
  <si>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</si>
  <si>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</si>
  <si>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</si>
  <si>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</si>
  <si>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</si>
  <si>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</si>
  <si>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</si>
  <si>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</si>
  <si>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</si>
  <si>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</si>
  <si>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</si>
  <si>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</si>
  <si>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</si>
  <si>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</si>
  <si>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</si>
  <si>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</si>
  <si>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</si>
  <si>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</si>
  <si>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</si>
  <si>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</si>
  <si>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</si>
  <si>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</si>
  <si>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</si>
  <si>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</si>
  <si>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</si>
  <si>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</si>
  <si>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</si>
  <si>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</si>
  <si>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</si>
  <si>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</si>
  <si>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</si>
  <si>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</si>
  <si>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</si>
  <si>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</si>
  <si>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</si>
  <si>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</si>
  <si>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</si>
  <si>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</si>
  <si>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</si>
  <si>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</si>
  <si>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</si>
  <si>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</si>
  <si>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</si>
  <si>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</si>
  <si>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</si>
  <si>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</si>
  <si>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</si>
  <si>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</si>
  <si>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</si>
  <si>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</si>
  <si>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</si>
  <si>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</si>
  <si>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</si>
  <si>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</si>
  <si>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</si>
  <si>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</si>
  <si>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</si>
  <si>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</si>
  <si>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</si>
  <si>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</si>
  <si>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</si>
  <si>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</si>
  <si>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</si>
  <si>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</si>
  <si>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</si>
  <si>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</si>
  <si>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</si>
  <si>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</si>
  <si>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</si>
  <si>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</si>
  <si>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</si>
  <si>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</si>
  <si>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</si>
  <si>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</si>
  <si>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</si>
  <si>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</si>
  <si>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</si>
  <si>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</si>
  <si>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</si>
  <si>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</si>
  <si>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</si>
  <si>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</si>
  <si>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</si>
  <si>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</si>
  <si>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</si>
  <si>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</si>
  <si>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</si>
  <si>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</si>
  <si>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</si>
  <si>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</si>
  <si>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</si>
  <si>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</si>
  <si>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</si>
  <si>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</si>
  <si>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</si>
  <si>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</si>
  <si>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</si>
  <si>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</si>
  <si>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</si>
  <si>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</si>
  <si>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</si>
  <si>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</si>
  <si>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</si>
  <si>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</si>
  <si>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</si>
  <si>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</si>
  <si>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</si>
  <si>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</si>
  <si>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</si>
  <si>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</si>
  <si>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</si>
  <si>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</si>
  <si>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</si>
  <si>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</si>
  <si>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</si>
  <si>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</si>
  <si>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</si>
  <si>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</si>
  <si>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</si>
  <si>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</si>
  <si>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</si>
  <si>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</si>
  <si>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</si>
  <si>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</si>
  <si>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</si>
  <si>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</si>
  <si>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</si>
  <si>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</si>
  <si>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</si>
  <si>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</si>
  <si>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</si>
  <si>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</si>
  <si>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</si>
  <si>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</si>
  <si>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</si>
  <si>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</si>
  <si>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</si>
  <si>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</si>
  <si>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</si>
  <si>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</si>
  <si>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</si>
  <si>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</si>
  <si>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</si>
  <si>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</si>
  <si>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</si>
  <si>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</si>
  <si>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</si>
  <si>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</si>
  <si>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</si>
  <si>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</si>
  <si>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</si>
  <si>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</si>
  <si>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</si>
  <si>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</si>
  <si>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</si>
  <si>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</si>
  <si>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</si>
  <si>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</si>
  <si>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</si>
  <si>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</si>
  <si>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</si>
  <si>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</si>
  <si>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</si>
  <si>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</si>
  <si>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</si>
  <si>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</si>
  <si>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</si>
  <si>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</si>
  <si>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</si>
  <si>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</si>
  <si>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</si>
  <si>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</si>
  <si>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</si>
  <si>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</si>
  <si>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</si>
  <si>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</si>
  <si>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</si>
  <si>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</si>
  <si>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</si>
  <si>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</si>
  <si>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</si>
  <si>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</si>
  <si>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</si>
  <si>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</si>
  <si>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</si>
  <si>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</si>
  <si>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</si>
  <si>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</si>
  <si>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</si>
  <si>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</si>
  <si>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</si>
  <si>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</si>
  <si>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</si>
  <si>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</si>
  <si>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</si>
  <si>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</si>
  <si>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</si>
  <si>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</si>
  <si>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</si>
  <si>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</si>
  <si>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</si>
  <si>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</si>
  <si>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</si>
  <si>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</si>
  <si>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</si>
  <si>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</si>
  <si>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</si>
  <si>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</si>
  <si>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</si>
  <si>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</si>
  <si>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</si>
  <si>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</si>
  <si>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</si>
  <si>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</si>
  <si>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</si>
  <si>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</si>
  <si>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</si>
  <si>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</si>
  <si>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</si>
  <si>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</si>
  <si>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</si>
  <si>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</si>
  <si>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</si>
  <si>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</si>
  <si>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</si>
  <si>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</si>
  <si>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</si>
  <si>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</si>
  <si>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</si>
  <si>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</si>
  <si>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</si>
  <si>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</si>
  <si>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</si>
  <si>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</si>
  <si>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</si>
  <si>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</si>
  <si>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</si>
  <si>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</si>
  <si>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</si>
  <si>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</si>
  <si>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</si>
  <si>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</si>
  <si>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</si>
  <si>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</si>
  <si>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</si>
  <si>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</si>
  <si>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</si>
  <si>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</si>
  <si>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</si>
  <si>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</si>
  <si>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</si>
  <si>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</si>
  <si>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</si>
  <si>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</si>
  <si>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</si>
  <si>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</si>
  <si>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</si>
  <si>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</si>
  <si>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</si>
  <si>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</si>
  <si>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</si>
  <si>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</si>
  <si>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</si>
  <si>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</si>
  <si>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</si>
  <si>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</si>
  <si>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</si>
  <si>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</si>
  <si>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</si>
  <si>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</si>
  <si>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</si>
  <si>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</si>
  <si>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</si>
  <si>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</si>
  <si>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</si>
  <si>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</si>
  <si>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</si>
  <si>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</si>
  <si>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</si>
  <si>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</si>
  <si>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</si>
  <si>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</si>
  <si>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</si>
  <si>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</si>
  <si>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</si>
  <si>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</si>
  <si>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</si>
  <si>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</si>
  <si>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</si>
  <si>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</si>
  <si>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</si>
  <si>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</si>
  <si>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</si>
  <si>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</si>
  <si>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</si>
  <si>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</si>
  <si>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</si>
  <si>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</si>
  <si>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</si>
  <si>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</si>
  <si>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</si>
  <si>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</si>
  <si>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</si>
  <si>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</si>
  <si>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</si>
  <si>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</si>
  <si>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</si>
  <si>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</si>
  <si>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</si>
  <si>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</si>
  <si>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</si>
  <si>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</si>
  <si>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</si>
  <si>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</si>
  <si>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</si>
  <si>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</si>
  <si>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</si>
  <si>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</si>
  <si>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</si>
  <si>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</si>
  <si>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</si>
  <si>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</si>
  <si>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</si>
  <si>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</si>
  <si>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</si>
  <si>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</si>
  <si>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</si>
  <si>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</si>
  <si>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</si>
  <si>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</si>
  <si>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</si>
  <si>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</si>
  <si>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</si>
  <si>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</si>
  <si>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</si>
  <si>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</si>
  <si>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</si>
  <si>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</si>
  <si>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</si>
  <si>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</si>
  <si>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</si>
  <si>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</si>
  <si>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</si>
  <si>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</si>
  <si>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</si>
  <si>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</si>
  <si>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</si>
  <si>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</si>
  <si>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</si>
  <si>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</si>
  <si>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</si>
  <si>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</si>
  <si>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</si>
  <si>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</si>
  <si>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</si>
  <si>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</si>
  <si>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</si>
  <si>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</si>
  <si>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</si>
  <si>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</si>
  <si>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</si>
  <si>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</si>
  <si>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</si>
  <si>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</si>
  <si>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</si>
  <si>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</si>
  <si>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</si>
  <si>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</si>
  <si>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</si>
  <si>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</si>
  <si>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</si>
  <si>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</si>
  <si>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</si>
  <si>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</si>
  <si>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</si>
  <si>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</si>
  <si>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</si>
  <si>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</si>
  <si>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</si>
  <si>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</si>
  <si>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</si>
  <si>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</si>
  <si>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</si>
  <si>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</si>
  <si>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</si>
  <si>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</si>
  <si>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</si>
  <si>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</si>
  <si>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</si>
  <si>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</si>
  <si>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</si>
  <si>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</si>
  <si>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</si>
  <si>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</si>
  <si>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</si>
  <si>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</si>
  <si>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</si>
  <si>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</si>
  <si>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</si>
  <si>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</si>
  <si>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</si>
  <si>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</si>
  <si>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</si>
  <si>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</si>
  <si>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</si>
  <si>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</si>
  <si>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</si>
  <si>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</si>
  <si>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</si>
  <si>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</si>
  <si>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</si>
  <si>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</si>
  <si>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</si>
  <si>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</si>
  <si>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</si>
  <si>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</si>
  <si>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</si>
  <si>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</si>
  <si>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</si>
  <si>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</si>
  <si>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</si>
  <si>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</si>
  <si>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</si>
  <si>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</si>
  <si>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</si>
  <si>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</si>
  <si>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</si>
  <si>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</si>
  <si>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</si>
  <si>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</si>
  <si>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</si>
  <si>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</si>
  <si>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</si>
  <si>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</si>
  <si>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</si>
  <si>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</si>
  <si>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</si>
  <si>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</si>
  <si>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</si>
  <si>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</si>
  <si>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</si>
  <si>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</si>
  <si>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</si>
  <si>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</si>
  <si>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</si>
  <si>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</si>
  <si>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</si>
  <si>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</si>
  <si>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</si>
  <si>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</si>
  <si>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</si>
  <si>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</si>
  <si>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</si>
  <si>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</si>
  <si>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</si>
  <si>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</si>
  <si>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</si>
  <si>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</si>
  <si>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</si>
  <si>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</si>
  <si>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</si>
  <si>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</si>
  <si>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</si>
  <si>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</si>
  <si>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</si>
  <si>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</si>
  <si>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</si>
  <si>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</si>
  <si>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</si>
  <si>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</si>
  <si>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</si>
  <si>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</si>
  <si>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</si>
  <si>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</si>
  <si>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</si>
  <si>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</si>
  <si>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</si>
  <si>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</si>
  <si>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</si>
  <si>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</si>
  <si>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</si>
  <si>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</si>
  <si>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</si>
  <si>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</si>
  <si>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</si>
  <si>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</si>
  <si>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</si>
  <si>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</si>
  <si>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</si>
  <si>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</si>
  <si>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</si>
  <si>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</si>
  <si>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</si>
  <si>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</si>
  <si>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</si>
  <si>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</si>
  <si>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</si>
  <si>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</si>
  <si>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</si>
  <si>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</si>
  <si>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</si>
  <si>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</si>
  <si>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</si>
  <si>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</si>
  <si>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</si>
  <si>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</si>
  <si>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</si>
  <si>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</si>
  <si>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</si>
  <si>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</si>
  <si>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</si>
  <si>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</si>
  <si>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</si>
  <si>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</si>
  <si>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</si>
  <si>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</si>
  <si>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</si>
  <si>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</si>
  <si>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</si>
  <si>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</si>
  <si>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</si>
  <si>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</si>
  <si>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</si>
  <si>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</si>
  <si>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</si>
  <si>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</si>
  <si>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</si>
  <si>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</si>
  <si>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</si>
  <si>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</si>
  <si>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</si>
  <si>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</si>
  <si>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</si>
  <si>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</si>
  <si>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</si>
  <si>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</si>
  <si>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</si>
  <si>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</si>
  <si>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</si>
  <si>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</si>
  <si>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</si>
  <si>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</si>
  <si>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</si>
  <si>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</si>
  <si>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</si>
  <si>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</si>
  <si>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</si>
  <si>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</si>
  <si>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</si>
  <si>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</si>
  <si>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</si>
  <si>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</si>
  <si>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</si>
  <si>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</si>
  <si>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</si>
  <si>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</si>
  <si>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</si>
  <si>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</si>
  <si>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</si>
  <si>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</si>
  <si>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</si>
  <si>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</si>
  <si>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</si>
  <si>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</si>
  <si>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</si>
  <si>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</si>
  <si>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</si>
  <si>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</si>
  <si>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</si>
  <si>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</si>
  <si>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</si>
  <si>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</si>
  <si>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</si>
  <si>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</si>
  <si>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</si>
  <si>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</si>
  <si>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</si>
  <si>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</si>
  <si>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</si>
  <si>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</si>
  <si>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</si>
  <si>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</si>
  <si>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</si>
  <si>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</si>
  <si>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</si>
  <si>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</si>
  <si>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</si>
  <si>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</si>
  <si>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</si>
  <si>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</si>
  <si>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</si>
  <si>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</si>
  <si>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</si>
  <si>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</si>
  <si>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</si>
  <si>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</si>
  <si>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</si>
  <si>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</si>
  <si>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</si>
  <si>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</si>
  <si>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</si>
  <si>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</si>
  <si>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</si>
  <si>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</si>
  <si>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</si>
  <si>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</si>
  <si>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</si>
  <si>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</si>
  <si>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</si>
  <si>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</si>
  <si>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</si>
  <si>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</si>
  <si>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</si>
  <si>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</si>
  <si>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</si>
  <si>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</si>
  <si>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</si>
  <si>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</si>
  <si>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</si>
  <si>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</si>
  <si>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</si>
  <si>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</si>
  <si>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</si>
  <si>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</si>
  <si>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</si>
  <si>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</si>
  <si>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</si>
  <si>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</si>
  <si>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</si>
  <si>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</si>
  <si>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</si>
  <si>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</si>
  <si>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</si>
  <si>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</si>
  <si>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</si>
  <si>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</si>
  <si>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</si>
  <si>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</si>
  <si>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</si>
  <si>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</si>
  <si>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</si>
  <si>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</si>
  <si>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</si>
  <si>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</si>
  <si>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</si>
  <si>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</si>
  <si>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</si>
  <si>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</si>
  <si>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</si>
  <si>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</si>
  <si>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</si>
  <si>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</si>
  <si>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</si>
  <si>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</si>
  <si>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</si>
  <si>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</si>
  <si>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</si>
  <si>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</si>
  <si>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</si>
  <si>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</si>
  <si>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</si>
  <si>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</si>
  <si>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</si>
  <si>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</si>
  <si>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</si>
  <si>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</si>
  <si>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</si>
  <si>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</si>
  <si>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</si>
  <si>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</si>
  <si>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</si>
  <si>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</si>
  <si>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</si>
  <si>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</si>
  <si>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</si>
  <si>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</si>
  <si>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</si>
  <si>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</si>
  <si>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</si>
  <si>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</si>
  <si>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</si>
  <si>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</si>
  <si>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</si>
  <si>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</si>
  <si>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</si>
  <si>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</si>
  <si>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</si>
  <si>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</si>
  <si>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</si>
  <si>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</si>
  <si>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</si>
  <si>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</si>
  <si>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</si>
  <si>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</si>
  <si>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</si>
  <si>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</si>
  <si>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</si>
  <si>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</si>
  <si>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</si>
  <si>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</si>
  <si>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</si>
  <si>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</si>
  <si>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</si>
  <si>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</si>
  <si>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</si>
  <si>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</si>
  <si>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</si>
  <si>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</si>
  <si>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</si>
  <si>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</si>
  <si>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</si>
  <si>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</si>
  <si>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</si>
  <si>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</si>
  <si>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</si>
  <si>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</si>
  <si>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</si>
  <si>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</si>
  <si>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</si>
  <si>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</si>
  <si>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</si>
  <si>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</si>
  <si>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</si>
  <si>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</si>
  <si>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</si>
  <si>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</si>
  <si>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</si>
  <si>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</si>
  <si>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</si>
  <si>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</si>
  <si>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</si>
  <si>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</si>
  <si>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</si>
  <si>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</si>
  <si>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</si>
  <si>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</si>
  <si>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</si>
  <si>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</si>
  <si>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</si>
  <si>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</si>
  <si>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</si>
  <si>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</si>
  <si>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</si>
  <si>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</si>
  <si>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</si>
  <si>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</si>
  <si>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</si>
  <si>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</si>
  <si>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</si>
  <si>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</si>
  <si>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</si>
  <si>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</si>
  <si>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</si>
  <si>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</si>
  <si>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</si>
  <si>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</si>
  <si>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</si>
  <si>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</si>
  <si>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</si>
  <si>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</si>
  <si>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</si>
  <si>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</si>
  <si>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</si>
  <si>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</si>
  <si>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</si>
  <si>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</si>
  <si>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</si>
  <si>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</si>
  <si>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</si>
  <si>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</si>
  <si>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</si>
  <si>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</si>
  <si>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</si>
  <si>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</si>
  <si>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</si>
  <si>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</si>
  <si>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</si>
  <si>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</si>
  <si>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</si>
  <si>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</si>
  <si>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</si>
  <si>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</si>
  <si>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</si>
  <si>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</si>
  <si>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</si>
  <si>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</si>
  <si>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</si>
  <si>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</si>
  <si>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</si>
  <si>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</si>
  <si>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</si>
  <si>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</si>
  <si>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</si>
  <si>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</si>
  <si>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</si>
  <si>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</si>
  <si>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</si>
  <si>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</si>
  <si>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</si>
  <si>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</si>
  <si>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</si>
  <si>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</si>
  <si>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</si>
  <si>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</si>
  <si>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</si>
  <si>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</si>
  <si>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</si>
  <si>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</si>
  <si>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</si>
  <si>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</si>
  <si>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</si>
  <si>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</si>
  <si>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</si>
  <si>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</si>
  <si>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</si>
  <si>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</si>
  <si>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</si>
  <si>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</si>
  <si>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</si>
  <si>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</si>
  <si>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</si>
  <si>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</si>
  <si>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</si>
  <si>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</si>
  <si>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</si>
  <si>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</si>
  <si>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</si>
  <si>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</si>
  <si>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</si>
  <si>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</si>
  <si>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</si>
  <si>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</si>
  <si>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</si>
  <si>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</si>
  <si>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</si>
  <si>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</si>
  <si>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</si>
  <si>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</si>
  <si>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</si>
  <si>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</si>
  <si>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</si>
  <si>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</si>
  <si>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</si>
  <si>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</si>
  <si>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</si>
  <si>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</si>
  <si>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</si>
  <si>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</si>
  <si>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</si>
  <si>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</si>
  <si>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</si>
  <si>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</si>
  <si>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</si>
  <si>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</si>
  <si>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</si>
  <si>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</si>
  <si>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</si>
  <si>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</si>
  <si>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</si>
  <si>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</si>
  <si>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</si>
  <si>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</si>
  <si>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</si>
  <si>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</si>
  <si>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</si>
  <si>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</si>
  <si>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</si>
  <si>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</si>
  <si>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</si>
  <si>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</si>
  <si>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</si>
  <si>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</si>
  <si>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</si>
  <si>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</si>
  <si>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</si>
  <si>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</si>
  <si>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</si>
  <si>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</si>
  <si>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</si>
  <si>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</si>
  <si>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</si>
  <si>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</si>
  <si>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</si>
  <si>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</si>
  <si>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</si>
  <si>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</si>
  <si>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</si>
  <si>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</si>
  <si>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</si>
  <si>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</si>
  <si>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</si>
  <si>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</si>
  <si>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</si>
  <si>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</si>
  <si>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</si>
  <si>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</si>
  <si>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</si>
  <si>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</si>
  <si>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</si>
  <si>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</si>
  <si>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</si>
  <si>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</si>
  <si>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</si>
  <si>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</si>
  <si>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</si>
  <si>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</si>
  <si>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</si>
  <si>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</si>
  <si>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</si>
  <si>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</si>
  <si>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</si>
  <si>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</si>
  <si>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</si>
  <si>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</si>
  <si>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</si>
  <si>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</si>
  <si>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</si>
  <si>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</si>
  <si>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</si>
  <si>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</si>
  <si>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</si>
  <si>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</si>
  <si>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</si>
  <si>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</si>
  <si>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</si>
  <si>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</si>
  <si>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</si>
  <si>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</si>
  <si>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</si>
  <si>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</si>
  <si>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</si>
  <si>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</si>
  <si>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</si>
  <si>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</si>
  <si>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</si>
  <si>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</si>
  <si>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</si>
  <si>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</si>
  <si>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</si>
  <si>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</si>
  <si>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</si>
  <si>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</si>
  <si>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</si>
  <si>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</si>
  <si>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</si>
  <si>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</si>
  <si>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</si>
  <si>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</si>
  <si>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</si>
  <si>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</si>
  <si>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</si>
  <si>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</si>
  <si>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</si>
  <si>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</si>
  <si>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</si>
  <si>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</si>
  <si>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</si>
  <si>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</si>
  <si>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</si>
  <si>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</si>
  <si>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</si>
  <si>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</si>
  <si>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</si>
  <si>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</si>
  <si>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</si>
  <si>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</si>
  <si>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</si>
  <si>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</si>
  <si>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</si>
  <si>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</si>
  <si>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</si>
  <si>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</si>
  <si>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</si>
  <si>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</si>
  <si>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</si>
  <si>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</si>
  <si>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</si>
  <si>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</si>
  <si>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</si>
  <si>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</si>
  <si>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</si>
  <si>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</si>
  <si>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</si>
  <si>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</si>
  <si>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</si>
  <si>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</si>
  <si>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</si>
  <si>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</si>
  <si>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</si>
  <si>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</si>
  <si>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</si>
  <si>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</si>
  <si>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</si>
  <si>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</si>
  <si>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</si>
  <si>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</si>
  <si>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</si>
  <si>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</si>
  <si>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</si>
  <si>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</si>
  <si>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</si>
  <si>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</si>
  <si>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</si>
  <si>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</si>
  <si>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</si>
  <si>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</si>
  <si>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</si>
  <si>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</si>
  <si>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</si>
  <si>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</si>
  <si>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</si>
  <si>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</si>
  <si>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</si>
  <si>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</si>
  <si>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</si>
  <si>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</si>
  <si>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</si>
  <si>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</si>
  <si>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</si>
  <si>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</si>
  <si>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</si>
  <si>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</si>
  <si>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</si>
  <si>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</si>
  <si>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</si>
  <si>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</si>
  <si>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</si>
  <si>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</si>
  <si>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</si>
  <si>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</si>
  <si>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</si>
  <si>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</si>
  <si>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</si>
  <si>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</si>
  <si>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</si>
  <si>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</si>
  <si>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</si>
  <si>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</si>
  <si>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</si>
  <si>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</si>
  <si>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</si>
  <si>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</si>
  <si>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</si>
  <si>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</si>
  <si>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</si>
  <si>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</si>
  <si>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</si>
  <si>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</si>
  <si>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</si>
  <si>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</si>
  <si>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</si>
  <si>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</si>
  <si>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</si>
  <si>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</si>
  <si>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</si>
  <si>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</si>
  <si>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</si>
  <si>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</si>
  <si>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</si>
  <si>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</si>
  <si>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</si>
  <si>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</si>
  <si>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</si>
  <si>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</si>
  <si>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</si>
  <si>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</si>
  <si>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</si>
  <si>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</si>
  <si>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</si>
  <si>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</si>
  <si>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</si>
  <si>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</si>
  <si>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</si>
  <si>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</si>
  <si>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</si>
  <si>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</si>
  <si>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</si>
  <si>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</si>
  <si>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</si>
  <si>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</si>
  <si>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</si>
  <si>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</si>
  <si>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</si>
  <si>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</si>
  <si>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</si>
  <si>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</si>
  <si>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</si>
  <si>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</si>
  <si>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</si>
  <si>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</si>
  <si>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</si>
  <si>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</si>
  <si>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</si>
  <si>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</si>
  <si>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</si>
  <si>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</si>
  <si>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</si>
  <si>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</si>
  <si>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</si>
  <si>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</si>
  <si>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</si>
  <si>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</si>
  <si>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</si>
  <si>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</si>
  <si>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</si>
  <si>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</si>
  <si>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</si>
  <si>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</si>
  <si>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</si>
  <si>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</si>
  <si>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</si>
  <si>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</si>
  <si>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</si>
  <si>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</si>
  <si>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</si>
  <si>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</si>
  <si>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</si>
  <si>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</si>
  <si>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</si>
  <si>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</si>
  <si>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</si>
  <si>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</si>
  <si>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</si>
  <si>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</si>
  <si>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</si>
  <si>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</si>
  <si>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</si>
  <si>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</si>
  <si>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</si>
  <si>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</si>
  <si>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</si>
  <si>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</si>
  <si>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</si>
  <si>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</si>
  <si>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</si>
  <si>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</si>
  <si>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</si>
  <si>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</si>
  <si>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</si>
  <si>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</si>
  <si>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</si>
  <si>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</si>
  <si>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</si>
  <si>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</si>
  <si>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</si>
  <si>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</si>
  <si>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</si>
  <si>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</si>
  <si>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</si>
  <si>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</si>
  <si>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</si>
  <si>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</si>
  <si>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</si>
  <si>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</si>
  <si>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</si>
  <si>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</si>
  <si>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</si>
  <si>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</si>
  <si>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</si>
  <si>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</si>
  <si>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</si>
  <si>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</si>
  <si>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</si>
  <si>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</si>
  <si>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</si>
  <si>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</si>
  <si>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</si>
  <si>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</si>
  <si>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</si>
  <si>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</si>
  <si>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</si>
  <si>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</si>
  <si>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</si>
  <si>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</si>
  <si>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</si>
  <si>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</si>
  <si>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</si>
  <si>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</si>
  <si>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</si>
  <si>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</si>
  <si>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</si>
  <si>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</si>
  <si>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</si>
  <si>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</si>
  <si>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</si>
  <si>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</si>
  <si>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</si>
  <si>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</si>
  <si>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</si>
  <si>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</si>
  <si>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</si>
  <si>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</si>
  <si>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</si>
  <si>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</si>
  <si>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</si>
  <si>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</si>
  <si>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</si>
  <si>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</si>
  <si>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</si>
  <si>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</si>
  <si>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</si>
  <si>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</si>
  <si>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</si>
  <si>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</si>
  <si>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</si>
  <si>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</si>
  <si>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</si>
  <si>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</si>
  <si>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</si>
  <si>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</si>
  <si>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</si>
  <si>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</si>
  <si>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</si>
  <si>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</si>
  <si>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</si>
  <si>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</si>
  <si>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</si>
  <si>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</si>
  <si>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</si>
  <si>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</si>
  <si>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</si>
  <si>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</si>
  <si>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</si>
  <si>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</si>
  <si>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</si>
  <si>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</si>
  <si>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</si>
  <si>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</si>
  <si>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</si>
  <si>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</si>
  <si>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</si>
  <si>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</si>
  <si>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</si>
  <si>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</si>
  <si>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</si>
  <si>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</si>
  <si>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</si>
  <si>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</si>
  <si>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</si>
  <si>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</si>
  <si>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</si>
  <si>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</si>
  <si>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</si>
  <si>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</si>
  <si>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</si>
  <si>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</si>
  <si>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</si>
  <si>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</si>
  <si>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</si>
  <si>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</si>
  <si>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</si>
  <si>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</si>
  <si>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</si>
  <si>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</si>
  <si>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</si>
  <si>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</si>
  <si>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</si>
  <si>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</si>
  <si>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</si>
  <si>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</si>
  <si>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</si>
  <si>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</si>
  <si>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</si>
  <si>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</si>
  <si>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</si>
  <si>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</si>
  <si>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</si>
  <si>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</si>
  <si>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</si>
  <si>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</si>
  <si>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</si>
  <si>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</si>
  <si>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</si>
  <si>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</si>
  <si>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</si>
  <si>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</si>
  <si>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</si>
  <si>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</si>
  <si>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</si>
  <si>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</si>
  <si>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</si>
  <si>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</si>
  <si>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</si>
  <si>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</si>
  <si>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</si>
  <si>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</si>
  <si>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</si>
  <si>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</si>
  <si>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</si>
  <si>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</si>
  <si>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</si>
  <si>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</si>
  <si>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</si>
  <si>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</si>
  <si>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</si>
  <si>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</si>
  <si>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</si>
  <si>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</si>
  <si>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</si>
  <si>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</si>
  <si>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</si>
  <si>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</si>
  <si>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</si>
  <si>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</si>
  <si>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</si>
  <si>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</si>
  <si>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</si>
  <si>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</si>
  <si>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</si>
  <si>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</si>
  <si>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</si>
  <si>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</si>
  <si>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</si>
  <si>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</si>
  <si>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</si>
  <si>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</si>
  <si>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</si>
  <si>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</si>
  <si>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</si>
  <si>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</si>
  <si>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</si>
  <si>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</si>
  <si>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</si>
  <si>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</si>
  <si>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</si>
  <si>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</si>
  <si>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</si>
  <si>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</si>
  <si>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</si>
  <si>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</si>
  <si>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</si>
  <si>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</si>
  <si>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</si>
  <si>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</si>
  <si>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</si>
  <si>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</si>
  <si>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</si>
  <si>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</si>
  <si>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</si>
  <si>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</si>
  <si>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</si>
  <si>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</si>
  <si>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</si>
  <si>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</si>
  <si>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</si>
  <si>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</si>
  <si>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</si>
  <si>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</si>
  <si>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</si>
  <si>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</si>
  <si>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</si>
  <si>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</si>
  <si>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</si>
  <si>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</si>
  <si>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</si>
  <si>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</si>
  <si>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</si>
  <si>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</si>
  <si>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</si>
  <si>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</si>
  <si>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</si>
  <si>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</si>
  <si>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</si>
  <si>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</si>
  <si>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</si>
  <si>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</si>
  <si>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</si>
  <si>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</si>
  <si>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</si>
  <si>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</si>
  <si>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</si>
  <si>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</si>
  <si>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</si>
  <si>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</si>
  <si>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</si>
  <si>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</si>
  <si>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</si>
  <si>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</si>
  <si>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</si>
  <si>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</si>
  <si>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</si>
  <si>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</si>
  <si>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</si>
  <si>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</si>
  <si>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</si>
  <si>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</si>
  <si>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</si>
  <si>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</si>
  <si>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</si>
  <si>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</si>
  <si>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</si>
  <si>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</si>
  <si>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</si>
  <si>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</si>
  <si>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</si>
  <si>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</si>
  <si>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</si>
  <si>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</si>
  <si>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</si>
  <si>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</si>
  <si>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</si>
  <si>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</si>
  <si>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</si>
  <si>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</si>
  <si>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</si>
  <si>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</si>
  <si>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</si>
  <si>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</si>
  <si>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</si>
  <si>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</si>
  <si>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</si>
  <si>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</si>
  <si>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</si>
  <si>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</si>
  <si>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</si>
  <si>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</si>
  <si>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</si>
  <si>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</si>
  <si>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</si>
  <si>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</si>
  <si>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</si>
  <si>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</si>
  <si>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</si>
  <si>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</si>
  <si>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</si>
  <si>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</si>
  <si>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</si>
  <si>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</si>
  <si>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</si>
  <si>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</si>
  <si>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</si>
  <si>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</si>
  <si>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</si>
  <si>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</si>
  <si>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</si>
  <si>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</si>
  <si>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</si>
  <si>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</si>
  <si>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</si>
  <si>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</si>
  <si>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</si>
  <si>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</si>
  <si>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</si>
  <si>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</si>
  <si>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</si>
  <si>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</si>
  <si>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</si>
  <si>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</si>
  <si>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</si>
  <si>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</si>
  <si>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</si>
  <si>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</si>
  <si>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</si>
  <si>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</si>
  <si>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</si>
  <si>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</si>
  <si>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</si>
  <si>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</si>
  <si>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</si>
  <si>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</si>
  <si>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</si>
  <si>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</si>
  <si>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</si>
  <si>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</si>
  <si>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</si>
  <si>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</si>
  <si>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</si>
  <si>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</si>
  <si>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</si>
  <si>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</si>
  <si>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</si>
  <si>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</si>
  <si>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</si>
  <si>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</si>
  <si>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</si>
  <si>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</si>
  <si>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</si>
  <si>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</si>
  <si>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</si>
  <si>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</si>
  <si>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</si>
  <si>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</si>
  <si>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</si>
  <si>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</si>
  <si>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</si>
  <si>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</si>
  <si>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</si>
  <si>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</si>
  <si>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</si>
  <si>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</si>
  <si>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</si>
  <si>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</si>
  <si>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</si>
  <si>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</si>
  <si>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</si>
  <si>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</si>
  <si>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</si>
  <si>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</si>
  <si>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</si>
  <si>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</si>
  <si>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</si>
  <si>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</si>
  <si>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</si>
  <si>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</si>
  <si>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</si>
  <si>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</si>
  <si>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</si>
  <si>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</si>
  <si>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</si>
  <si>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</si>
  <si>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</si>
  <si>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</si>
  <si>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</si>
  <si>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</si>
  <si>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</si>
  <si>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</si>
  <si>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</si>
  <si>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</si>
  <si>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</si>
  <si>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</si>
  <si>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</si>
  <si>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</si>
  <si>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</si>
  <si>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</si>
  <si>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</si>
  <si>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</si>
  <si>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</si>
  <si>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</si>
  <si>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</si>
  <si>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</si>
  <si>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</si>
  <si>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</si>
  <si>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</si>
  <si>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</si>
  <si>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</si>
  <si>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</si>
  <si>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</si>
  <si>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</si>
  <si>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</si>
  <si>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</si>
  <si>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</si>
  <si>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</si>
  <si>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</si>
  <si>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</si>
  <si>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</si>
  <si>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</si>
  <si>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</si>
  <si>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</si>
  <si>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</si>
  <si>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</si>
  <si>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</si>
  <si>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</si>
  <si>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</si>
  <si>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</si>
  <si>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</si>
  <si>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</si>
  <si>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</si>
  <si>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</si>
  <si>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</si>
  <si>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</si>
  <si>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</si>
  <si>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</si>
  <si>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</si>
  <si>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</si>
  <si>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</si>
  <si>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</si>
  <si>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</si>
  <si>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</si>
  <si>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</si>
  <si>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</si>
  <si>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</si>
  <si>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</si>
  <si>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</si>
  <si>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</si>
  <si>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</si>
  <si>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</si>
  <si>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</si>
  <si>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</si>
  <si>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</si>
  <si>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</si>
  <si>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</si>
  <si>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</si>
  <si>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</si>
  <si>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</si>
  <si>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</si>
  <si>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</si>
  <si>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</si>
  <si>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</si>
  <si>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</si>
  <si>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</si>
  <si>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</si>
  <si>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</si>
  <si>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</si>
  <si>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</si>
  <si>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</si>
  <si>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</si>
  <si>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</si>
  <si>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</si>
  <si>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</si>
  <si>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</si>
  <si>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</si>
  <si>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</si>
  <si>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</si>
  <si>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</si>
  <si>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</si>
  <si>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</si>
  <si>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</si>
  <si>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</si>
  <si>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</si>
  <si>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</si>
  <si>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</si>
  <si>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</si>
  <si>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</si>
  <si>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</si>
  <si>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</si>
  <si>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</si>
  <si>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</si>
  <si>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</si>
  <si>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</si>
  <si>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</si>
  <si>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</si>
  <si>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</si>
  <si>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</si>
  <si>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</si>
  <si>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</si>
  <si>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</si>
  <si>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</si>
  <si>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</si>
  <si>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</si>
  <si>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</si>
  <si>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</si>
  <si>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</si>
  <si>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</si>
  <si>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</si>
  <si>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</si>
  <si>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</si>
  <si>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</si>
  <si>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</si>
  <si>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</si>
  <si>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</si>
  <si>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</si>
  <si>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</si>
  <si>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</si>
  <si>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</si>
  <si>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</si>
  <si>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</si>
  <si>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</si>
  <si>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</si>
  <si>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</si>
  <si>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</si>
  <si>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</si>
  <si>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</si>
  <si>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</si>
  <si>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</si>
  <si>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</si>
  <si>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</si>
  <si>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</si>
  <si>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</si>
  <si>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</si>
  <si>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</si>
  <si>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</si>
  <si>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</si>
  <si>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</si>
  <si>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</si>
  <si>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</si>
  <si>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</si>
  <si>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</si>
  <si>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</si>
  <si>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</si>
  <si>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</si>
  <si>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</si>
  <si>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</si>
  <si>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</si>
  <si>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</si>
  <si>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</si>
  <si>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</si>
  <si>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</si>
  <si>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</si>
  <si>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</si>
  <si>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</si>
  <si>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</si>
  <si>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</si>
  <si>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</si>
  <si>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</si>
  <si>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</si>
  <si>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</si>
  <si>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</si>
  <si>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</si>
  <si>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</si>
  <si>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</si>
  <si>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</si>
  <si>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</si>
  <si>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</si>
  <si>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</si>
  <si>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</si>
  <si>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</si>
  <si>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</si>
  <si>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</si>
  <si>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</si>
  <si>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</si>
  <si>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</si>
  <si>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</si>
  <si>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</si>
  <si>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</si>
  <si>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</si>
  <si>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</si>
  <si>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</si>
  <si>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</si>
  <si>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</si>
  <si>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</si>
  <si>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</si>
  <si>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</si>
  <si>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</si>
  <si>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</si>
  <si>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</si>
  <si>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</si>
  <si>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</si>
  <si>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</si>
  <si>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</si>
  <si>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</si>
  <si>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</si>
  <si>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</si>
  <si>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</si>
  <si>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</si>
  <si>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</si>
  <si>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</si>
  <si>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</si>
  <si>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</si>
  <si>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</si>
  <si>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</si>
  <si>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</si>
  <si>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</si>
  <si>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</si>
  <si>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</si>
  <si>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</si>
  <si>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</si>
  <si>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</si>
  <si>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</si>
  <si>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</si>
  <si>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</si>
  <si>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</si>
  <si>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</si>
  <si>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</si>
  <si>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</si>
  <si>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</si>
  <si>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</si>
  <si>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</si>
  <si>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</si>
  <si>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</si>
  <si>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</si>
  <si>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</si>
  <si>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</si>
  <si>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</si>
  <si>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</si>
  <si>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</si>
  <si>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</si>
  <si>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</si>
  <si>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</si>
  <si>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</si>
  <si>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</si>
  <si>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</si>
  <si>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</si>
  <si>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</si>
  <si>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</si>
  <si>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</si>
  <si>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</si>
  <si>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</si>
  <si>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</si>
  <si>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</si>
  <si>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</si>
  <si>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</si>
  <si>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</si>
  <si>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</si>
  <si>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</si>
  <si>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</si>
  <si>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</si>
  <si>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</si>
  <si>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</si>
  <si>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</si>
  <si>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</si>
  <si>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</si>
  <si>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</si>
  <si>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</si>
  <si>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</si>
  <si>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</si>
  <si>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</si>
  <si>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</si>
  <si>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</si>
  <si>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</si>
  <si>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</si>
  <si>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</si>
  <si>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</si>
  <si>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</si>
  <si>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</si>
  <si>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</si>
  <si>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</si>
  <si>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</si>
  <si>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</si>
  <si>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</si>
  <si>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</si>
  <si>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</si>
  <si>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</si>
  <si>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</si>
  <si>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</si>
  <si>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</si>
  <si>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</si>
  <si>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</si>
  <si>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</si>
  <si>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</si>
  <si>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</si>
  <si>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</si>
  <si>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</si>
  <si>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</si>
  <si>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</si>
  <si>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</si>
  <si>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</si>
  <si>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</si>
  <si>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</si>
  <si>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</si>
  <si>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</si>
  <si>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</si>
  <si>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</si>
  <si>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</si>
  <si>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</si>
  <si>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</si>
  <si>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</si>
  <si>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</si>
  <si>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</si>
  <si>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</si>
  <si>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</si>
  <si>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</si>
  <si>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</si>
  <si>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</si>
  <si>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</si>
  <si>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</si>
  <si>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</si>
  <si>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</si>
  <si>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</si>
  <si>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</si>
  <si>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</si>
  <si>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</si>
  <si>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</si>
  <si>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</si>
  <si>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</si>
  <si>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</si>
  <si>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</si>
  <si>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</si>
  <si>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</si>
  <si>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</si>
  <si>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</si>
  <si>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</si>
  <si>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</si>
  <si>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</si>
  <si>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</si>
  <si>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</si>
  <si>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</si>
  <si>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</si>
  <si>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</si>
  <si>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</si>
  <si>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</si>
  <si>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</si>
  <si>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</si>
  <si>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</si>
  <si>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</si>
  <si>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</si>
  <si>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</si>
  <si>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</si>
  <si>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</si>
  <si>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</si>
  <si>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</si>
  <si>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</si>
  <si>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</si>
  <si>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</si>
  <si>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</si>
  <si>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</si>
  <si>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</si>
  <si>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</si>
  <si>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</si>
  <si>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</si>
  <si>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</si>
  <si>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</si>
  <si>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</si>
  <si>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</si>
  <si>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</si>
  <si>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</si>
  <si>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</si>
  <si>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</si>
  <si>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</si>
  <si>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</si>
  <si>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</si>
  <si>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</si>
  <si>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</si>
  <si>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</si>
  <si>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</si>
  <si>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</si>
  <si>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</si>
  <si>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</si>
  <si>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</si>
  <si>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</si>
  <si>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</si>
  <si>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</si>
  <si>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</si>
  <si>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</si>
  <si>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</si>
  <si>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</si>
  <si>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</si>
  <si>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</si>
  <si>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</si>
  <si>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</si>
  <si>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</si>
  <si>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</si>
  <si>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</si>
  <si>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</si>
  <si>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</si>
  <si>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</si>
  <si>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</si>
  <si>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</si>
  <si>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</si>
  <si>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</si>
  <si>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</si>
  <si>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</si>
  <si>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</si>
  <si>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</si>
  <si>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</si>
  <si>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</si>
  <si>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</si>
  <si>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</si>
  <si>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</si>
  <si>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</si>
  <si>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</si>
  <si>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</si>
  <si>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</si>
  <si>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</si>
  <si>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</si>
  <si>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</si>
  <si>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</si>
  <si>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</si>
  <si>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</si>
  <si>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</si>
  <si>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</si>
  <si>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</si>
  <si>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</si>
  <si>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</si>
  <si>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</si>
  <si>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</si>
  <si>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</si>
  <si>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</si>
  <si>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</si>
  <si>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</si>
  <si>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</si>
  <si>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</si>
  <si>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</si>
  <si>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</si>
  <si>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</si>
  <si>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</si>
  <si>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</si>
  <si>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</si>
  <si>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</si>
  <si>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</si>
  <si>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</si>
  <si>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</si>
  <si>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</si>
  <si>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</si>
  <si>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</si>
  <si>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</si>
  <si>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</si>
  <si>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</si>
  <si>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</si>
  <si>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</si>
  <si>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</si>
  <si>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</si>
  <si>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</si>
  <si>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</si>
  <si>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</si>
  <si>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</si>
  <si>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</si>
  <si>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</si>
  <si>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</si>
  <si>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</si>
  <si>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</si>
  <si>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</si>
  <si>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</si>
  <si>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</si>
  <si>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</si>
  <si>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</si>
  <si>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</si>
  <si>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</si>
  <si>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</si>
  <si>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</si>
  <si>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</si>
  <si>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</si>
  <si>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</si>
  <si>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</si>
  <si>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</si>
  <si>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</si>
  <si>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</si>
  <si>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</si>
  <si>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</si>
  <si>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</si>
  <si>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</si>
  <si>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</si>
  <si>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</si>
  <si>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</si>
  <si>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</si>
  <si>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</si>
  <si>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</si>
  <si>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</si>
  <si>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</si>
  <si>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</si>
  <si>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</si>
  <si>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</si>
  <si>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</si>
  <si>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</si>
  <si>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</si>
  <si>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</si>
  <si>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</si>
  <si>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</si>
  <si>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</si>
  <si>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</si>
  <si>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</si>
  <si>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</si>
  <si>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</si>
  <si>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</si>
  <si>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</si>
  <si>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</si>
  <si>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</si>
  <si>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</si>
  <si>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</si>
  <si>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</si>
  <si>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</si>
  <si>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</si>
  <si>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</si>
  <si>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</si>
  <si>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</si>
  <si>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</si>
  <si>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</si>
  <si>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</si>
  <si>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</si>
  <si>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</si>
  <si>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</si>
  <si>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</si>
  <si>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</si>
  <si>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</si>
  <si>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</si>
  <si>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</si>
  <si>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</si>
  <si>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</si>
  <si>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</si>
  <si>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</si>
  <si>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</si>
  <si>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</si>
  <si>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</si>
  <si>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</si>
  <si>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</si>
  <si>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</si>
  <si>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</si>
  <si>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</si>
  <si>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</si>
  <si>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</si>
  <si>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</si>
  <si>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</si>
  <si>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</si>
  <si>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</si>
  <si>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</si>
  <si>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</si>
  <si>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</si>
  <si>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</si>
  <si>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</si>
  <si>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</si>
  <si>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</si>
  <si>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</si>
  <si>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</si>
  <si>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</si>
  <si>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</si>
  <si>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</si>
  <si>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</si>
  <si>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</si>
  <si>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</si>
  <si>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</si>
  <si>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</si>
  <si>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</si>
  <si>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</si>
  <si>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</si>
  <si>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</si>
  <si>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</si>
  <si>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</si>
  <si>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</si>
  <si>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</si>
  <si>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</si>
  <si>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</si>
  <si>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</si>
  <si>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</si>
  <si>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</si>
  <si>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</si>
  <si>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</si>
  <si>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</si>
  <si>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</si>
  <si>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</si>
  <si>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</si>
  <si>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</si>
  <si>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</si>
  <si>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</si>
  <si>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</si>
  <si>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</si>
  <si>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</si>
  <si>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</si>
  <si>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</si>
  <si>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</si>
  <si>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</si>
  <si>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</si>
  <si>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</si>
  <si>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</si>
  <si>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</si>
  <si>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</si>
  <si>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</si>
  <si>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</si>
  <si>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</si>
  <si>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</si>
  <si>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</si>
  <si>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</si>
  <si>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</si>
  <si>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</si>
  <si>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</si>
  <si>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</si>
  <si>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</si>
  <si>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</si>
  <si>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</si>
  <si>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</si>
  <si>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</si>
  <si>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</si>
  <si>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</si>
  <si>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</si>
  <si>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</si>
  <si>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</si>
  <si>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</si>
  <si>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</si>
  <si>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</si>
  <si>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</si>
  <si>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</si>
  <si>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</si>
  <si>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</si>
  <si>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</si>
  <si>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</si>
  <si>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</si>
  <si>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</si>
  <si>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</si>
  <si>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</si>
  <si>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</si>
  <si>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</si>
  <si>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</si>
  <si>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</si>
  <si>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</si>
  <si>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</si>
  <si>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</si>
  <si>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</si>
  <si>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</si>
  <si>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</si>
  <si>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</si>
  <si>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</si>
  <si>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</si>
  <si>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</si>
  <si>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</si>
  <si>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</si>
  <si>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</si>
  <si>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</si>
  <si>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</si>
  <si>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</si>
  <si>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</si>
  <si>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</si>
  <si>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</si>
  <si>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</si>
  <si>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</si>
  <si>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</si>
  <si>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</si>
  <si>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</si>
  <si>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</si>
  <si>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</si>
  <si>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</si>
  <si>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</si>
  <si>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</si>
  <si>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</si>
  <si>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</si>
  <si>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</si>
  <si>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</si>
  <si>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</si>
  <si>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</si>
  <si>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</si>
  <si>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</si>
  <si>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</si>
  <si>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</si>
  <si>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</si>
  <si>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</si>
  <si>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</si>
  <si>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</si>
  <si>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</si>
  <si>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</si>
  <si>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</si>
  <si>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</si>
  <si>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</si>
  <si>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</si>
  <si>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</si>
  <si>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</si>
  <si>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</si>
  <si>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</si>
  <si>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</si>
  <si>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</si>
  <si>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</si>
  <si>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</si>
  <si>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</si>
  <si>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</si>
  <si>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</si>
  <si>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</si>
  <si>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</si>
  <si>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</si>
  <si>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</si>
  <si>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</si>
  <si>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</si>
  <si>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</si>
  <si>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</si>
  <si>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</si>
  <si>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</si>
  <si>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</si>
  <si>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</si>
  <si>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</si>
  <si>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</si>
  <si>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</si>
  <si>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</si>
  <si>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</si>
  <si>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</si>
  <si>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</si>
  <si>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</si>
  <si>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</si>
  <si>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</si>
  <si>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</si>
  <si>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</si>
  <si>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</si>
  <si>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</si>
  <si>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</si>
  <si>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</si>
  <si>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</si>
  <si>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</si>
  <si>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</si>
  <si>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</si>
  <si>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</si>
  <si>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</si>
  <si>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</si>
  <si>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</si>
  <si>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</si>
  <si>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</si>
  <si>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</si>
  <si>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</si>
  <si>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</si>
  <si>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</si>
  <si>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</si>
  <si>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</si>
  <si>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</si>
  <si>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</si>
  <si>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</si>
  <si>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</si>
  <si>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</si>
  <si>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</si>
  <si>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</si>
  <si>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</si>
  <si>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</si>
  <si>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</si>
  <si>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</si>
  <si>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</si>
  <si>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</si>
  <si>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</si>
  <si>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</si>
  <si>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</si>
  <si>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</si>
  <si>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</si>
  <si>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</si>
  <si>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</si>
  <si>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</si>
  <si>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</si>
  <si>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</si>
  <si>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</si>
  <si>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</si>
  <si>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</si>
  <si>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</si>
  <si>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</si>
  <si>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</si>
  <si>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</si>
  <si>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</si>
  <si>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</si>
  <si>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</si>
  <si>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</si>
  <si>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</si>
  <si>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</si>
  <si>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</si>
  <si>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</si>
  <si>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</si>
  <si>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</si>
  <si>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</si>
  <si>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</si>
  <si>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</si>
  <si>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</si>
  <si>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</si>
  <si>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</si>
  <si>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</si>
  <si>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</si>
  <si>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</si>
  <si>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</si>
  <si>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</si>
  <si>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</si>
  <si>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</si>
  <si>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</si>
  <si>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</si>
  <si>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</si>
  <si>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</si>
  <si>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</si>
  <si>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</si>
  <si>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</si>
  <si>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</si>
  <si>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</si>
  <si>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</si>
  <si>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</si>
  <si>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</si>
  <si>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</si>
  <si>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</si>
  <si>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</si>
  <si>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</si>
  <si>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</si>
  <si>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</si>
  <si>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</si>
  <si>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</si>
  <si>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</si>
  <si>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</si>
  <si>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</si>
  <si>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</si>
  <si>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</si>
  <si>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</si>
  <si>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</si>
  <si>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</si>
  <si>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</si>
  <si>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</si>
  <si>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</si>
  <si>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</si>
  <si>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</si>
  <si>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</si>
  <si>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</si>
  <si>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</si>
  <si>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</si>
  <si>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</si>
  <si>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</si>
  <si>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</si>
  <si>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</si>
  <si>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</si>
  <si>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</si>
  <si>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</si>
  <si>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</si>
  <si>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</si>
  <si>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</si>
  <si>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</si>
  <si>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</si>
  <si>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</si>
  <si>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</si>
  <si>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</si>
  <si>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</si>
  <si>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</si>
  <si>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</si>
  <si>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</si>
  <si>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</si>
  <si>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</si>
  <si>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</si>
  <si>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</si>
  <si>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</si>
  <si>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</si>
  <si>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</si>
  <si>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</si>
  <si>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</si>
  <si>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</si>
  <si>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</si>
  <si>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</si>
  <si>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</si>
  <si>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</si>
  <si>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</si>
  <si>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</si>
  <si>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</si>
  <si>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</si>
  <si>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</si>
  <si>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</si>
  <si>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</si>
  <si>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</si>
  <si>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</si>
  <si>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</si>
  <si>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</si>
  <si>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</si>
  <si>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</si>
  <si>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</si>
  <si>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</si>
  <si>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</si>
  <si>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</si>
  <si>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</si>
  <si>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</si>
  <si>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</si>
  <si>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</si>
  <si>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</si>
  <si>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</si>
  <si>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</si>
  <si>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</si>
  <si>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</si>
  <si>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</si>
  <si>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</si>
  <si>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</si>
  <si>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</si>
  <si>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</si>
  <si>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</si>
  <si>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</si>
  <si>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</si>
  <si>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</si>
  <si>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</si>
  <si>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</si>
  <si>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</si>
  <si>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</si>
  <si>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</si>
  <si>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</si>
  <si>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</si>
  <si>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</si>
  <si>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</si>
  <si>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</si>
  <si>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</si>
  <si>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</si>
  <si>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</si>
  <si>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</si>
  <si>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</si>
  <si>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</si>
  <si>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</si>
  <si>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</si>
  <si>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</si>
  <si>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</si>
  <si>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</si>
  <si>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</si>
  <si>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</si>
  <si>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</si>
  <si>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</si>
  <si>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</si>
  <si>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</si>
  <si>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</si>
  <si>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</si>
  <si>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</si>
  <si>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</si>
  <si>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</si>
  <si>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</si>
  <si>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</si>
  <si>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</si>
  <si>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</si>
  <si>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</si>
  <si>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</si>
  <si>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</si>
  <si>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</si>
  <si>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</si>
  <si>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</si>
  <si>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</si>
  <si>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</si>
  <si>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</si>
  <si>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</si>
  <si>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4" type="noConversion"/>
  </si>
  <si>
    <t>商业</t>
    <phoneticPr fontId="134" type="noConversion"/>
  </si>
  <si>
    <t>车库</t>
    <phoneticPr fontId="134" type="noConversion"/>
  </si>
  <si>
    <t>物管房</t>
    <phoneticPr fontId="134" type="noConversion"/>
  </si>
  <si>
    <t>邮政所</t>
    <phoneticPr fontId="134" type="noConversion"/>
  </si>
  <si>
    <t>5层</t>
    <phoneticPr fontId="134" type="noConversion"/>
  </si>
  <si>
    <t>6层、7层、8层、9层、10层、11层、12层</t>
    <phoneticPr fontId="134" type="noConversion"/>
  </si>
  <si>
    <t>13层、14层、15层、16层、17层</t>
    <phoneticPr fontId="134" type="noConversion"/>
  </si>
  <si>
    <t>17层</t>
    <phoneticPr fontId="134" type="noConversion"/>
  </si>
  <si>
    <t>16层</t>
    <phoneticPr fontId="134" type="noConversion"/>
  </si>
  <si>
    <t>15层</t>
  </si>
  <si>
    <t>14层</t>
  </si>
  <si>
    <t>13层</t>
  </si>
  <si>
    <t>12层</t>
  </si>
  <si>
    <t>11层</t>
  </si>
  <si>
    <t>10层</t>
  </si>
  <si>
    <t>9层</t>
  </si>
  <si>
    <t>8层</t>
  </si>
  <si>
    <t>7层</t>
  </si>
  <si>
    <t>6层</t>
  </si>
  <si>
    <t>5层</t>
  </si>
  <si>
    <t>4层</t>
  </si>
  <si>
    <t>3层</t>
  </si>
  <si>
    <t>2层</t>
  </si>
  <si>
    <t>1层</t>
  </si>
  <si>
    <t>个</t>
    <phoneticPr fontId="134" type="noConversion"/>
  </si>
  <si>
    <t>合计</t>
    <phoneticPr fontId="134"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</si>
  <si>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</si>
  <si>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</si>
  <si>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</si>
  <si>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</si>
  <si>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</si>
  <si>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</si>
  <si>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</si>
  <si>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</si>
  <si>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</si>
  <si>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</si>
  <si>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</si>
  <si>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</si>
  <si>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</si>
  <si>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</si>
  <si>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</si>
  <si>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</si>
  <si>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</si>
  <si>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</si>
  <si>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</si>
  <si>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</si>
  <si>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</si>
  <si>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</si>
  <si>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</si>
  <si>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</si>
  <si>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</si>
  <si>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</si>
  <si>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</si>
  <si>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</si>
  <si>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</si>
  <si>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</si>
  <si>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</si>
  <si>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</si>
  <si>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</si>
  <si>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</si>
  <si>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</si>
  <si>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</si>
  <si>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</si>
  <si>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</si>
  <si>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</si>
  <si>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</si>
  <si>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</si>
  <si>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</si>
  <si>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</si>
  <si>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</si>
  <si>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</si>
  <si>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</si>
  <si>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</si>
  <si>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</si>
  <si>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</si>
  <si>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</si>
  <si>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</si>
  <si>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</si>
  <si>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</si>
  <si>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</si>
  <si>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</si>
  <si>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</si>
  <si>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</si>
  <si>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</si>
  <si>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</si>
  <si>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</si>
  <si>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商业比例(%)</t>
  </si>
  <si>
    <t>截止日期</t>
  </si>
  <si>
    <t>成交日期</t>
  </si>
  <si>
    <t>成交状态</t>
  </si>
  <si>
    <t>受让单位</t>
  </si>
  <si>
    <t>起始价(万元)</t>
  </si>
  <si>
    <t>保证金(万元)</t>
  </si>
  <si>
    <t>保证金截止时间</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</si>
  <si>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</si>
  <si>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</si>
  <si>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</si>
  <si>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</si>
  <si>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</si>
  <si>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</si>
  <si>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</si>
  <si>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</si>
  <si>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</si>
  <si>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</si>
  <si>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 </t>
  </si>
  <si>
    <t xml:space="preserve"> 已成交</t>
  </si>
  <si>
    <t xml:space="preserve"> 北京泽御置业有限公司  </t>
  </si>
  <si>
    <t>2023-08-03 15:00</t>
  </si>
  <si>
    <t>北京市海淀区西北旺镇永丰产业基地(新)HD00-0403-009地块F3其他类多功能用地</t>
  </si>
  <si>
    <t>京土储挂(海)[2022]063号</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</si>
  <si>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</si>
  <si>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</si>
  <si>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</si>
  <si>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</si>
  <si>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</si>
  <si>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</si>
  <si>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</si>
  <si>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</si>
  <si>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</si>
  <si>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</si>
  <si>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</si>
  <si>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</si>
  <si>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</si>
  <si>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</si>
  <si>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</si>
  <si>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</si>
  <si>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</si>
  <si>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</si>
  <si>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</si>
  <si>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</si>
  <si>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2020-12-01 15:00</t>
  </si>
  <si>
    <t>较规则</t>
  </si>
  <si>
    <t>较规则</t>
    <phoneticPr fontId="30" type="noConversion"/>
  </si>
  <si>
    <t>较好</t>
    <phoneticPr fontId="30" type="noConversion"/>
  </si>
  <si>
    <t>七通</t>
    <phoneticPr fontId="30" type="noConversion"/>
  </si>
  <si>
    <t>六通</t>
    <phoneticPr fontId="30" type="noConversion"/>
  </si>
  <si>
    <t>五通</t>
  </si>
  <si>
    <t>五通</t>
    <phoneticPr fontId="30" type="noConversion"/>
  </si>
  <si>
    <t>车库—商业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</si>
</sst>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0" xfId="10" applyFont="1" applyAlignment="1">
      <alignment horizontal="left" vertical="center"/>
    </xf>
    <xf numFmtId="0" fontId="269" fillId="22" borderId="0" xfId="10" applyFont="1" applyFill="1" applyAlignment="1">
      <alignment horizontal="left" vertical="center"/>
    </xf>
    <xf numFmtId="0" fontId="269" fillId="10" borderId="0" xfId="10" applyFont="1" applyFill="1" applyAlignment="1">
      <alignment horizontal="left" vertical="center"/>
    </xf>
    <xf numFmtId="0" fontId="269" fillId="15" borderId="0" xfId="10" applyFont="1" applyFill="1" applyAlignment="1">
      <alignment horizontal="left" vertical="center"/>
    </xf>
    <xf numFmtId="0" fontId="269" fillId="8" borderId="0" xfId="10" applyFont="1"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0" xfId="19" applyNumberFormat="1" applyFont="1" applyAlignment="1">
      <alignment horizontal="left" vertical="center"/>
    </xf>
    <xf numFmtId="14" fontId="269"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9</xdr:row>
      <xdr:rowOff>66675</xdr:rowOff>
    </xdr:from>
    <xdr:to>
      <xdr:col>6</xdr:col>
      <xdr:colOff>180206</xdr:colOff>
      <xdr:row>39</xdr:row>
      <xdr:rowOff>151711</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1695450"/>
          <a:ext cx="6152381" cy="5514286"/>
        </a:xfrm>
        <a:prstGeom prst="rect">
          <a:avLst/>
        </a:prstGeom>
      </xdr:spPr>
    </xdr:pic>
    <xdr:clientData/>
  </xdr:twoCellAnchor>
  <xdr:twoCellAnchor editAs="oneCell">
    <xdr:from>
      <xdr:col>0</xdr:col>
      <xdr:colOff>342900</xdr:colOff>
      <xdr:row>42</xdr:row>
      <xdr:rowOff>9525</xdr:rowOff>
    </xdr:from>
    <xdr:to>
      <xdr:col>8</xdr:col>
      <xdr:colOff>627668</xdr:colOff>
      <xdr:row>46</xdr:row>
      <xdr:rowOff>133244</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7610475"/>
          <a:ext cx="7857143" cy="847619"/>
        </a:xfrm>
        <a:prstGeom prst="rect">
          <a:avLst/>
        </a:prstGeom>
      </xdr:spPr>
    </xdr:pic>
    <xdr:clientData/>
  </xdr:twoCellAnchor>
  <xdr:twoCellAnchor editAs="oneCell">
    <xdr:from>
      <xdr:col>0</xdr:col>
      <xdr:colOff>400050</xdr:colOff>
      <xdr:row>47</xdr:row>
      <xdr:rowOff>123825</xdr:rowOff>
    </xdr:from>
    <xdr:to>
      <xdr:col>9</xdr:col>
      <xdr:colOff>256057</xdr:colOff>
      <xdr:row>68</xdr:row>
      <xdr:rowOff>94779</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8629650"/>
          <a:ext cx="8952382" cy="3771429"/>
        </a:xfrm>
        <a:prstGeom prst="rect">
          <a:avLst/>
        </a:prstGeom>
      </xdr:spPr>
    </xdr:pic>
    <xdr:clientData/>
  </xdr:twoCellAnchor>
  <xdr:twoCellAnchor editAs="oneCell">
    <xdr:from>
      <xdr:col>0</xdr:col>
      <xdr:colOff>466725</xdr:colOff>
      <xdr:row>69</xdr:row>
      <xdr:rowOff>57150</xdr:rowOff>
    </xdr:from>
    <xdr:to>
      <xdr:col>9</xdr:col>
      <xdr:colOff>8446</xdr:colOff>
      <xdr:row>89</xdr:row>
      <xdr:rowOff>85269</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544425"/>
          <a:ext cx="8638096" cy="3647619"/>
        </a:xfrm>
        <a:prstGeom prst="rect">
          <a:avLst/>
        </a:prstGeom>
      </xdr:spPr>
    </xdr:pic>
    <xdr:clientData/>
  </xdr:twoCellAnchor>
  <xdr:twoCellAnchor editAs="oneCell">
    <xdr:from>
      <xdr:col>0</xdr:col>
      <xdr:colOff>495300</xdr:colOff>
      <xdr:row>92</xdr:row>
      <xdr:rowOff>19050</xdr:rowOff>
    </xdr:from>
    <xdr:to>
      <xdr:col>8</xdr:col>
      <xdr:colOff>922926</xdr:colOff>
      <xdr:row>97</xdr:row>
      <xdr:rowOff>76080</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16668750"/>
          <a:ext cx="8000001" cy="961905"/>
        </a:xfrm>
        <a:prstGeom prst="rect">
          <a:avLst/>
        </a:prstGeom>
      </xdr:spPr>
    </xdr:pic>
    <xdr:clientData/>
  </xdr:twoCellAnchor>
  <xdr:twoCellAnchor editAs="oneCell">
    <xdr:from>
      <xdr:col>0</xdr:col>
      <xdr:colOff>542925</xdr:colOff>
      <xdr:row>97</xdr:row>
      <xdr:rowOff>171450</xdr:rowOff>
    </xdr:from>
    <xdr:to>
      <xdr:col>9</xdr:col>
      <xdr:colOff>389408</xdr:colOff>
      <xdr:row>118</xdr:row>
      <xdr:rowOff>28118</xdr:rowOff>
    </xdr:to>
    <xdr:pic>
      <xdr:nvPicPr>
        <xdr:cNvPr id="7" name="图片 6"/>
        <xdr:cNvPicPr>
          <a:picLocks noChangeAspect="1"/>
        </xdr:cNvPicPr>
      </xdr:nvPicPr>
      <xdr:blipFill>
        <a:blip xmlns:r="http://schemas.openxmlformats.org/officeDocument/2006/relationships" r:embed="rId6"/>
        <a:stretch>
          <a:fillRect/>
        </a:stretch>
      </xdr:blipFill>
      <xdr:spPr>
        <a:xfrm>
          <a:off x="542925" y="17726025"/>
          <a:ext cx="8942858" cy="3657143"/>
        </a:xfrm>
        <a:prstGeom prst="rect">
          <a:avLst/>
        </a:prstGeom>
      </xdr:spPr>
    </xdr:pic>
    <xdr:clientData/>
  </xdr:twoCellAnchor>
  <xdr:twoCellAnchor editAs="oneCell">
    <xdr:from>
      <xdr:col>0</xdr:col>
      <xdr:colOff>533400</xdr:colOff>
      <xdr:row>118</xdr:row>
      <xdr:rowOff>47625</xdr:rowOff>
    </xdr:from>
    <xdr:to>
      <xdr:col>8</xdr:col>
      <xdr:colOff>1494359</xdr:colOff>
      <xdr:row>139</xdr:row>
      <xdr:rowOff>47150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533400" y="21402675"/>
          <a:ext cx="8533334" cy="3800000"/>
        </a:xfrm>
        <a:prstGeom prst="rect">
          <a:avLst/>
        </a:prstGeom>
      </xdr:spPr>
    </xdr:pic>
    <xdr:clientData/>
  </xdr:twoCellAnchor>
  <xdr:twoCellAnchor editAs="oneCell">
    <xdr:from>
      <xdr:col>0</xdr:col>
      <xdr:colOff>590550</xdr:colOff>
      <xdr:row>141</xdr:row>
      <xdr:rowOff>0</xdr:rowOff>
    </xdr:from>
    <xdr:to>
      <xdr:col>8</xdr:col>
      <xdr:colOff>732461</xdr:colOff>
      <xdr:row>145</xdr:row>
      <xdr:rowOff>152291</xdr:rowOff>
    </xdr:to>
    <xdr:pic>
      <xdr:nvPicPr>
        <xdr:cNvPr id="9" name="图片 8"/>
        <xdr:cNvPicPr>
          <a:picLocks noChangeAspect="1"/>
        </xdr:cNvPicPr>
      </xdr:nvPicPr>
      <xdr:blipFill>
        <a:blip xmlns:r="http://schemas.openxmlformats.org/officeDocument/2006/relationships" r:embed="rId8"/>
        <a:stretch>
          <a:fillRect/>
        </a:stretch>
      </xdr:blipFill>
      <xdr:spPr>
        <a:xfrm>
          <a:off x="590550" y="25517475"/>
          <a:ext cx="7714286" cy="876191"/>
        </a:xfrm>
        <a:prstGeom prst="rect">
          <a:avLst/>
        </a:prstGeom>
      </xdr:spPr>
    </xdr:pic>
    <xdr:clientData/>
  </xdr:twoCellAnchor>
  <xdr:twoCellAnchor editAs="oneCell">
    <xdr:from>
      <xdr:col>0</xdr:col>
      <xdr:colOff>600075</xdr:colOff>
      <xdr:row>146</xdr:row>
      <xdr:rowOff>142875</xdr:rowOff>
    </xdr:from>
    <xdr:to>
      <xdr:col>9</xdr:col>
      <xdr:colOff>398939</xdr:colOff>
      <xdr:row>167</xdr:row>
      <xdr:rowOff>9067</xdr:rowOff>
    </xdr:to>
    <xdr:pic>
      <xdr:nvPicPr>
        <xdr:cNvPr id="10" name="图片 9"/>
        <xdr:cNvPicPr>
          <a:picLocks noChangeAspect="1"/>
        </xdr:cNvPicPr>
      </xdr:nvPicPr>
      <xdr:blipFill>
        <a:blip xmlns:r="http://schemas.openxmlformats.org/officeDocument/2006/relationships" r:embed="rId9"/>
        <a:stretch>
          <a:fillRect/>
        </a:stretch>
      </xdr:blipFill>
      <xdr:spPr>
        <a:xfrm>
          <a:off x="600075" y="26565225"/>
          <a:ext cx="8895239" cy="3666667"/>
        </a:xfrm>
        <a:prstGeom prst="rect">
          <a:avLst/>
        </a:prstGeom>
      </xdr:spPr>
    </xdr:pic>
    <xdr:clientData/>
  </xdr:twoCellAnchor>
  <xdr:twoCellAnchor editAs="oneCell">
    <xdr:from>
      <xdr:col>0</xdr:col>
      <xdr:colOff>704850</xdr:colOff>
      <xdr:row>167</xdr:row>
      <xdr:rowOff>133350</xdr:rowOff>
    </xdr:from>
    <xdr:to>
      <xdr:col>9</xdr:col>
      <xdr:colOff>427523</xdr:colOff>
      <xdr:row>189</xdr:row>
      <xdr:rowOff>9043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04850" y="30356175"/>
          <a:ext cx="8819048" cy="3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2023年8月21日</v>
      </c>
    </row>
    <row r="13" spans="1:2" s="1201" customFormat="1">
      <c r="A13" s="1199" t="s">
        <v>529</v>
      </c>
      <c r="B13" s="1200"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132536</v>
      </c>
    </row>
    <row r="21" spans="1:2" s="1201" customFormat="1">
      <c r="A21" s="1199" t="s">
        <v>537</v>
      </c>
      <c r="B21" s="1200">
        <f ca="1">'预评函-2'!D7</f>
        <v>15843</v>
      </c>
    </row>
    <row r="22" spans="1:2" s="1201" customFormat="1">
      <c r="A22" s="1199" t="s">
        <v>538</v>
      </c>
      <c r="B22" s="1200" t="str">
        <f ca="1">'预评函-2'!D6</f>
        <v>壹拾叁亿贰仟伍佰叁拾陆万元整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132536</v>
      </c>
    </row>
    <row r="31" spans="1:2" s="1201" customFormat="1">
      <c r="A31" s="1199" t="s">
        <v>576</v>
      </c>
      <c r="B31" s="1200">
        <f ca="1">'预评函-2'!D15</f>
        <v>15843</v>
      </c>
    </row>
    <row r="32" spans="1:2" s="1201" customFormat="1">
      <c r="A32" s="1199" t="s">
        <v>543</v>
      </c>
      <c r="B32" s="1200" t="str">
        <f ca="1">'预评函-2'!D14</f>
        <v>壹拾叁亿贰仟伍佰叁拾陆万元整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100595</v>
      </c>
    </row>
    <row r="48" spans="1:2" s="1201" customFormat="1">
      <c r="A48" s="1199" t="s">
        <v>549</v>
      </c>
      <c r="B48" s="1200">
        <f ca="1">'预评函-3'!E4</f>
        <v>12025</v>
      </c>
    </row>
    <row r="49" spans="1:2" s="1201" customFormat="1">
      <c r="A49" s="1199" t="s">
        <v>550</v>
      </c>
      <c r="B49" s="1200" t="str">
        <f ca="1">'预评函-3'!D5</f>
        <v>壹拾亿零伍佰玖拾伍万元整</v>
      </c>
    </row>
    <row r="50" spans="1:2" s="1201" customFormat="1">
      <c r="A50" s="1199" t="s">
        <v>574</v>
      </c>
      <c r="B50" s="1200" t="str">
        <f>'预评函-3'!F2</f>
        <v>在建建筑物价值</v>
      </c>
    </row>
    <row r="51" spans="1:2" s="1201" customFormat="1">
      <c r="A51" s="1199" t="s">
        <v>551</v>
      </c>
      <c r="B51" s="1200">
        <f ca="1">'预评函-3'!F4</f>
        <v>31941</v>
      </c>
    </row>
    <row r="52" spans="1:2" s="1201" customFormat="1">
      <c r="A52" s="1199" t="s">
        <v>552</v>
      </c>
      <c r="B52" s="1200">
        <f ca="1">'预评函-3'!G4</f>
        <v>3818</v>
      </c>
    </row>
    <row r="53" spans="1:2" s="1201" customFormat="1">
      <c r="A53" s="1199" t="s">
        <v>580</v>
      </c>
      <c r="B53" s="1200" t="str">
        <f ca="1">'预评函-3'!F5</f>
        <v>叁亿壹仟玖佰肆拾壹万元整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3317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3303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3304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3305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3306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3307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3308</v>
      </c>
    </row>
    <row r="8" spans="1:23">
      <c r="A8" s="1543" t="s">
        <v>1026</v>
      </c>
      <c r="B8" s="1543" t="s">
        <v>1027</v>
      </c>
      <c r="C8" s="1544" t="s">
        <v>319</v>
      </c>
      <c r="F8" s="1545" t="s">
        <v>1028</v>
      </c>
      <c r="H8" s="1545" t="s">
        <v>2580</v>
      </c>
      <c r="I8" s="1545" t="s">
        <v>3309</v>
      </c>
    </row>
    <row r="9" spans="1:23">
      <c r="A9" s="1543" t="s">
        <v>1029</v>
      </c>
      <c r="B9" s="1543" t="s">
        <v>1030</v>
      </c>
      <c r="C9" s="1544" t="s">
        <v>320</v>
      </c>
      <c r="F9" s="1545" t="s">
        <v>1031</v>
      </c>
      <c r="H9" s="1545"/>
      <c r="I9" s="1548" t="s">
        <v>3310</v>
      </c>
    </row>
    <row r="10" spans="1:23">
      <c r="A10" s="1543" t="s">
        <v>1032</v>
      </c>
      <c r="B10" s="1543" t="s">
        <v>1033</v>
      </c>
      <c r="C10" s="1544" t="s">
        <v>321</v>
      </c>
      <c r="F10" s="1545" t="s">
        <v>2581</v>
      </c>
      <c r="I10" s="1548" t="s">
        <v>3311</v>
      </c>
    </row>
    <row r="11" spans="1:23">
      <c r="A11" s="1543" t="s">
        <v>1034</v>
      </c>
      <c r="B11" s="1543" t="s">
        <v>1035</v>
      </c>
      <c r="C11" s="1544" t="s">
        <v>322</v>
      </c>
      <c r="F11" s="1545" t="s">
        <v>13</v>
      </c>
      <c r="I11" s="1548" t="s">
        <v>3312</v>
      </c>
    </row>
    <row r="12" spans="1:23">
      <c r="A12" s="1543" t="s">
        <v>1036</v>
      </c>
      <c r="B12" s="1543" t="s">
        <v>1037</v>
      </c>
      <c r="C12" s="1544" t="s">
        <v>323</v>
      </c>
      <c r="I12" s="1548" t="s">
        <v>3313</v>
      </c>
    </row>
    <row r="13" spans="1:23">
      <c r="A13" s="1543" t="s">
        <v>1038</v>
      </c>
      <c r="B13" s="1543" t="s">
        <v>1039</v>
      </c>
      <c r="C13" s="1544" t="s">
        <v>324</v>
      </c>
      <c r="I13" s="1548" t="s">
        <v>3314</v>
      </c>
    </row>
    <row r="14" spans="1:23">
      <c r="A14" s="1543" t="s">
        <v>1040</v>
      </c>
      <c r="B14" s="1543" t="s">
        <v>1041</v>
      </c>
      <c r="C14" s="1545" t="s">
        <v>13</v>
      </c>
      <c r="I14" s="1548" t="s">
        <v>3315</v>
      </c>
    </row>
    <row r="15" spans="1:23">
      <c r="A15" s="1543" t="s">
        <v>1042</v>
      </c>
      <c r="B15" s="1543" t="s">
        <v>1043</v>
      </c>
      <c r="C15" s="1544"/>
      <c r="I15" s="1548" t="s">
        <v>3316</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3340</v>
      </c>
      <c r="C19" s="1544"/>
    </row>
    <row r="20" spans="1:3">
      <c r="A20" s="1543" t="s">
        <v>1048</v>
      </c>
      <c r="B20" s="1543" t="s">
        <v>3341</v>
      </c>
      <c r="C20" s="1544"/>
    </row>
    <row r="21" spans="1:3">
      <c r="A21" s="1543" t="s">
        <v>1049</v>
      </c>
      <c r="B21" s="1543"/>
      <c r="C21" s="1544"/>
    </row>
    <row r="22" spans="1:3">
      <c r="A22" s="1543" t="s">
        <v>1050</v>
      </c>
      <c r="B22" s="1543" t="s">
        <v>3342</v>
      </c>
      <c r="C22" s="1544"/>
    </row>
    <row r="23" spans="1:3">
      <c r="A23" s="1543" t="s">
        <v>1051</v>
      </c>
      <c r="B23" s="1543" t="s">
        <v>3343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28" t="s">
        <v>2596</v>
      </c>
      <c r="J1" s="3220"/>
      <c r="K1" s="3220"/>
      <c r="L1" s="3220"/>
      <c r="M1" s="3220"/>
      <c r="N1" s="3429"/>
      <c r="O1" s="3429"/>
      <c r="P1" s="3429"/>
      <c r="Q1" s="3429"/>
      <c r="R1" s="3429"/>
    </row>
    <row r="2" spans="1:18">
      <c r="A2" s="3011"/>
      <c r="B2" s="3012"/>
      <c r="C2" s="3012"/>
      <c r="D2" s="3012"/>
      <c r="E2" s="3012"/>
      <c r="F2" s="3013"/>
      <c r="I2" s="3516" t="s">
        <v>2583</v>
      </c>
      <c r="J2" s="3516"/>
      <c r="K2" s="3516"/>
      <c r="L2" s="3516"/>
      <c r="M2" s="3516"/>
      <c r="N2" s="3516"/>
      <c r="O2" s="3516"/>
      <c r="P2" s="3516"/>
      <c r="Q2" s="3516"/>
      <c r="R2" s="3516"/>
    </row>
    <row r="3" spans="1:18">
      <c r="A3" s="3014" t="s">
        <v>2504</v>
      </c>
      <c r="B3" s="3015">
        <f>项目基本情况!D3</f>
        <v>45159</v>
      </c>
      <c r="C3" s="3017"/>
      <c r="D3" s="3017"/>
      <c r="E3" s="3017"/>
      <c r="F3" s="3013"/>
      <c r="I3" s="3430"/>
      <c r="J3" s="3430" t="s">
        <v>2587</v>
      </c>
      <c r="K3" s="3430" t="s">
        <v>2588</v>
      </c>
      <c r="L3" s="3430" t="s">
        <v>2589</v>
      </c>
      <c r="M3" s="3430" t="s">
        <v>2590</v>
      </c>
      <c r="N3" s="3431" t="s">
        <v>2591</v>
      </c>
      <c r="O3" s="3431" t="s">
        <v>2592</v>
      </c>
      <c r="P3" s="3431" t="s">
        <v>2593</v>
      </c>
      <c r="Q3" s="3431" t="s">
        <v>2594</v>
      </c>
      <c r="R3" s="3431" t="s">
        <v>2595</v>
      </c>
    </row>
    <row r="4" spans="1:18">
      <c r="A4" s="3014" t="s">
        <v>2505</v>
      </c>
      <c r="B4" s="3017" t="s">
        <v>2506</v>
      </c>
      <c r="C4" s="3017" t="s">
        <v>2507</v>
      </c>
      <c r="D4" s="3017" t="s">
        <v>2508</v>
      </c>
      <c r="E4" s="3017" t="s">
        <v>2509</v>
      </c>
      <c r="F4" s="3013"/>
      <c r="I4" s="3430" t="s">
        <v>2584</v>
      </c>
      <c r="J4" s="3430">
        <v>80</v>
      </c>
      <c r="K4" s="3430">
        <v>70</v>
      </c>
      <c r="L4" s="3430">
        <v>20</v>
      </c>
      <c r="M4" s="3430">
        <v>30</v>
      </c>
      <c r="N4" s="3017">
        <v>45</v>
      </c>
      <c r="O4" s="3017">
        <v>60</v>
      </c>
      <c r="P4" s="3017">
        <v>50</v>
      </c>
      <c r="Q4" s="3017">
        <v>20</v>
      </c>
      <c r="R4" s="3017">
        <v>375</v>
      </c>
    </row>
    <row r="5" spans="1:18">
      <c r="A5" s="3018">
        <v>40</v>
      </c>
      <c r="B5" s="3015">
        <v>46375</v>
      </c>
      <c r="C5" s="3017">
        <f>ROUNDDOWN(MIN((B5-B3)/365,A5),2)</f>
        <v>3.33</v>
      </c>
      <c r="D5" s="3019">
        <f>IF(ISERROR(ROUND(POWER(1+E5,A5-C5)*(POWER(1+E5,C5)-1)/(POWER(1+E5,A5)-1),3)),0,ROUND(POWER(1+E5,A5-C5)*(POWER(1+E5,C5)-1)/(POWER(1+E5,A5)-1),4))</f>
        <v>0.15459999999999999</v>
      </c>
      <c r="E5" s="3020">
        <v>0.04</v>
      </c>
      <c r="F5" s="3013"/>
      <c r="I5" s="3430" t="s">
        <v>2585</v>
      </c>
      <c r="J5" s="3430">
        <v>70</v>
      </c>
      <c r="K5" s="3430">
        <v>60</v>
      </c>
      <c r="L5" s="3430">
        <v>15</v>
      </c>
      <c r="M5" s="3430">
        <v>25</v>
      </c>
      <c r="N5" s="3017">
        <v>40</v>
      </c>
      <c r="O5" s="3017">
        <v>50</v>
      </c>
      <c r="P5" s="3017">
        <v>40</v>
      </c>
      <c r="Q5" s="3017">
        <v>15</v>
      </c>
      <c r="R5" s="3017">
        <v>315</v>
      </c>
    </row>
    <row r="6" spans="1:18">
      <c r="A6" s="3018">
        <v>50</v>
      </c>
      <c r="B6" s="3015">
        <v>50028</v>
      </c>
      <c r="C6" s="3017">
        <f>ROUNDDOWN(MIN((B6-B3)/365,A6),2)</f>
        <v>13.33</v>
      </c>
      <c r="D6" s="3019">
        <f>IF(ISERROR(ROUND(POWER(1+E6,A6-C6)*(POWER(1+E6,C6)-1)/(POWER(1+E6,A6)-1),3)),0,ROUND(POWER(1+E6,A6-C6)*(POWER(1+E6,C6)-1)/(POWER(1+E6,A6)-1),4))</f>
        <v>0.4738</v>
      </c>
      <c r="E6" s="3020">
        <v>0.04</v>
      </c>
      <c r="F6" s="3013"/>
      <c r="I6" s="3430" t="s">
        <v>2586</v>
      </c>
      <c r="J6" s="3430">
        <v>60</v>
      </c>
      <c r="K6" s="3430">
        <v>50</v>
      </c>
      <c r="L6" s="3430">
        <v>10</v>
      </c>
      <c r="M6" s="3430">
        <v>20</v>
      </c>
      <c r="N6" s="3017">
        <v>35</v>
      </c>
      <c r="O6" s="3017">
        <v>40</v>
      </c>
      <c r="P6" s="3017">
        <v>30</v>
      </c>
      <c r="Q6" s="3017">
        <v>10</v>
      </c>
      <c r="R6" s="3017">
        <v>255</v>
      </c>
    </row>
    <row r="7" spans="1:18">
      <c r="A7" s="3018">
        <v>70</v>
      </c>
      <c r="B7" s="3015">
        <v>57333</v>
      </c>
      <c r="C7" s="3017">
        <f>ROUNDDOWN(MIN((B7-B3)/365,A7),2)</f>
        <v>33.35</v>
      </c>
      <c r="D7" s="3019">
        <f>IF(ISERROR(ROUND(POWER(1+E7,A7-C7)*(POWER(1+E7,C7)-1)/(POWER(1+E7,A7)-1),3)),0,ROUND(POWER(1+E7,A7-C7)*(POWER(1+E7,C7)-1)/(POWER(1+E7,A7)-1),4))</f>
        <v>0.77969999999999995</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9" sqref="G2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69"/>
      <c r="C3" s="2370" t="s">
        <v>2170</v>
      </c>
      <c r="D3" s="2369">
        <v>45159</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3344</v>
      </c>
      <c r="C8" s="2386"/>
      <c r="D8" s="3528" t="s">
        <v>2176</v>
      </c>
      <c r="E8" s="2387" t="s">
        <v>3345</v>
      </c>
      <c r="F8" s="2388"/>
      <c r="G8" s="2659"/>
      <c r="H8" s="2659"/>
      <c r="I8" s="2659"/>
      <c r="J8" s="2435"/>
      <c r="K8" s="2610"/>
      <c r="L8" s="2609"/>
      <c r="M8" s="2609"/>
      <c r="N8" s="2435"/>
      <c r="O8" s="2446"/>
      <c r="P8" s="2435"/>
      <c r="Q8" s="2435"/>
      <c r="R8" s="2435"/>
    </row>
    <row r="9" spans="1:30" ht="13.5" thickBot="1">
      <c r="A9" s="2389" t="s">
        <v>2177</v>
      </c>
      <c r="B9" s="2390" t="s">
        <v>3345</v>
      </c>
      <c r="C9" s="2391"/>
      <c r="D9" s="3529"/>
      <c r="E9" s="2390"/>
      <c r="F9" s="2392"/>
      <c r="G9" s="2661"/>
      <c r="H9" s="2661"/>
      <c r="I9" s="2661"/>
      <c r="J9" s="2435"/>
      <c r="K9" s="2612"/>
      <c r="L9" s="2609"/>
      <c r="M9" s="2609"/>
      <c r="N9" s="2435"/>
      <c r="O9" s="2446"/>
      <c r="P9" s="2435"/>
      <c r="Q9" s="2435"/>
      <c r="R9" s="2435"/>
    </row>
    <row r="10" spans="1:30" ht="13.5" thickTop="1">
      <c r="A10" s="2393" t="s">
        <v>2178</v>
      </c>
      <c r="B10" s="2394" t="s">
        <v>3346</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3347</v>
      </c>
      <c r="C11" s="2399"/>
      <c r="D11" s="2400"/>
      <c r="E11" s="2366"/>
      <c r="F11" s="2366"/>
      <c r="G11" s="2366"/>
      <c r="H11" s="2366"/>
      <c r="I11" s="2366"/>
      <c r="J11" s="3055"/>
      <c r="K11" s="3054"/>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2579</v>
      </c>
      <c r="J12" s="3056"/>
      <c r="K12" s="2609"/>
      <c r="L12" s="2609"/>
      <c r="M12" s="2435"/>
      <c r="N12" s="2446"/>
      <c r="O12" s="2435"/>
      <c r="P12" s="2435"/>
      <c r="Q12" s="2435"/>
      <c r="AD12" s="1742"/>
    </row>
    <row r="13" spans="1:30">
      <c r="A13" s="3414" t="s">
        <v>3299</v>
      </c>
      <c r="B13" s="2403" t="s">
        <v>2189</v>
      </c>
      <c r="C13" s="855"/>
      <c r="D13" s="855">
        <v>55156</v>
      </c>
      <c r="E13" s="855"/>
      <c r="F13" s="855">
        <v>58809</v>
      </c>
      <c r="G13" s="855"/>
      <c r="H13" s="855"/>
      <c r="I13" s="855"/>
      <c r="J13" s="3056"/>
      <c r="K13" s="2609"/>
      <c r="L13" s="2609"/>
      <c r="M13" s="2435"/>
      <c r="N13" s="2446"/>
      <c r="O13" s="2435"/>
      <c r="P13" s="2435"/>
      <c r="Q13" s="2435"/>
      <c r="AD13" s="1742"/>
    </row>
    <row r="14" spans="1:30">
      <c r="A14" s="1080"/>
      <c r="B14" s="2403" t="s">
        <v>2190</v>
      </c>
      <c r="C14" s="2404"/>
      <c r="D14" s="2404">
        <v>40</v>
      </c>
      <c r="E14" s="2404"/>
      <c r="F14" s="2404">
        <v>50</v>
      </c>
      <c r="G14" s="2404"/>
      <c r="H14" s="2404"/>
      <c r="I14" s="2404"/>
      <c r="J14" s="3057"/>
      <c r="K14" s="2609"/>
      <c r="L14" s="2609"/>
      <c r="M14" s="2435"/>
      <c r="N14" s="2446"/>
      <c r="O14" s="2435"/>
      <c r="P14" s="2435"/>
      <c r="Q14" s="2435"/>
      <c r="AD14" s="1742"/>
    </row>
    <row r="15" spans="1:30">
      <c r="A15" s="320"/>
      <c r="B15" s="2405" t="s">
        <v>2191</v>
      </c>
      <c r="C15" s="2406" t="str">
        <f>IF(A13="出让",IF(C13="","",ROUNDDOWN(MIN((C13-$D$3)/365,C14),2)),C14)</f>
        <v/>
      </c>
      <c r="D15" s="2406">
        <f>IF(A13="出让",IF(D13="","",ROUNDDOWN(MIN((D13-$D$3)/365,D14),2)),D14)</f>
        <v>27.38</v>
      </c>
      <c r="E15" s="2406" t="str">
        <f>IF(A13="出让",IF(E13="","",ROUNDDOWN(MIN((E13-$D$3)/365,E14),2)),E14)</f>
        <v/>
      </c>
      <c r="F15" s="2406">
        <f>IF(A13="出让",IF(F13="","",ROUNDDOWN(MIN((F13-$D$3)/365,F14),2)),F14)</f>
        <v>37.39</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35"/>
      <c r="C16" s="3536"/>
      <c r="D16" s="3537"/>
      <c r="E16" s="2409" t="s">
        <v>2193</v>
      </c>
      <c r="F16" s="3538"/>
      <c r="G16" s="3539"/>
      <c r="H16" s="3539"/>
      <c r="I16" s="3540"/>
      <c r="J16" s="2435"/>
      <c r="K16" s="2613"/>
      <c r="L16" s="2447"/>
      <c r="M16" s="2447"/>
      <c r="N16" s="2505"/>
      <c r="O16" s="2447"/>
      <c r="P16" s="2505"/>
      <c r="Q16" s="2435"/>
      <c r="R16" s="2435"/>
    </row>
    <row r="17" spans="1:28">
      <c r="A17" s="313" t="s">
        <v>2194</v>
      </c>
      <c r="B17" s="302" t="s">
        <v>2195</v>
      </c>
      <c r="C17" s="8">
        <f>'数据-汇总表'!E3</f>
        <v>83656.070000000007</v>
      </c>
      <c r="D17" s="2318" t="s">
        <v>2196</v>
      </c>
      <c r="E17" s="3541" t="s">
        <v>2197</v>
      </c>
      <c r="F17" s="3542"/>
      <c r="G17" s="3542"/>
      <c r="H17" s="3542"/>
      <c r="I17" s="3543"/>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44" t="s">
        <v>2201</v>
      </c>
      <c r="F18" s="3545"/>
      <c r="G18" s="3545"/>
      <c r="H18" s="3545"/>
      <c r="I18" s="3546"/>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31" t="s">
        <v>2205</v>
      </c>
      <c r="C20" s="3532"/>
      <c r="D20" s="3533" t="s">
        <v>2206</v>
      </c>
      <c r="E20" s="3534"/>
      <c r="F20" s="2643" t="s">
        <v>1056</v>
      </c>
      <c r="G20" s="2660"/>
      <c r="H20" s="2660"/>
      <c r="I20" s="2660"/>
      <c r="J20" s="2435"/>
      <c r="K20" s="353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8"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8"/>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8"/>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9"/>
      <c r="B30" s="302" t="s">
        <v>2217</v>
      </c>
      <c r="C30" s="3520"/>
      <c r="D30" s="3521"/>
      <c r="E30" s="2660"/>
      <c r="F30" s="2660"/>
      <c r="G30" s="2660"/>
      <c r="H30" s="2660"/>
      <c r="I30" s="2660"/>
      <c r="J30" s="2435"/>
      <c r="K30" s="2612"/>
      <c r="L30" s="2609"/>
      <c r="M30" s="2609"/>
      <c r="N30" s="2435"/>
      <c r="O30" s="2446"/>
      <c r="P30" s="2435"/>
      <c r="Q30" s="2435"/>
      <c r="R30" s="2435"/>
      <c r="S30" s="2435"/>
      <c r="T30" s="2435"/>
      <c r="U30" s="2435"/>
      <c r="V30" s="2435"/>
    </row>
    <row r="31" spans="1:28">
      <c r="A31" s="3522" t="s">
        <v>2218</v>
      </c>
      <c r="B31" s="2418"/>
      <c r="C31" s="2319" t="str">
        <f>IF(B31="现房","成新及维护状况正常否",IF(B31="在建","工程状态是否正常",IF(B31="土地","是否闲置","-")))</f>
        <v>-</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3"/>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3"/>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17" t="s">
        <v>2227</v>
      </c>
      <c r="T34" s="2424" t="str">
        <f>NUMBERSTRING(7-K34,1)&amp;"通"</f>
        <v>七通</v>
      </c>
      <c r="U34" s="2435"/>
      <c r="V34" s="2435"/>
    </row>
    <row r="35" spans="1:30">
      <c r="A35" s="2425"/>
      <c r="B35" s="3524" t="s">
        <v>2228</v>
      </c>
      <c r="C35" s="3524"/>
      <c r="D35" s="3524"/>
      <c r="E35" s="352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5"/>
      <c r="V35" s="2435"/>
    </row>
    <row r="36" spans="1:30">
      <c r="A36" s="2426"/>
      <c r="B36" s="664" t="s">
        <v>2184</v>
      </c>
      <c r="C36" s="664" t="s">
        <v>2185</v>
      </c>
      <c r="D36" s="664" t="s">
        <v>2183</v>
      </c>
      <c r="E36" s="664" t="s">
        <v>2188</v>
      </c>
      <c r="F36" s="3059"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t="s">
        <v>305</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3348</v>
      </c>
      <c r="C38" s="2428" t="s">
        <v>3348</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0" customFormat="1">
      <c r="A44" s="1567"/>
      <c r="B44" s="1567"/>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0" customFormat="1">
      <c r="A45" s="1567"/>
      <c r="B45" s="1567"/>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0" customFormat="1">
      <c r="A46" s="1567"/>
      <c r="B46" s="1567"/>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0" customFormat="1">
      <c r="A47" s="1567"/>
      <c r="B47" s="1567"/>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0" customFormat="1">
      <c r="A48" s="1567"/>
      <c r="B48" s="1567"/>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0" customFormat="1">
      <c r="A49" s="1567"/>
      <c r="B49" s="1567"/>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0" customFormat="1">
      <c r="A50" s="1567"/>
      <c r="B50" s="1567"/>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0" customFormat="1">
      <c r="A51" s="1567"/>
      <c r="B51" s="1567"/>
      <c r="C51" s="1050"/>
      <c r="D51" s="1050"/>
      <c r="E51" s="1050"/>
      <c r="F51" s="1050"/>
      <c r="G51" s="1050"/>
      <c r="H51" s="1050"/>
      <c r="I51" s="1050"/>
      <c r="J51" s="2433"/>
      <c r="K51" s="2434"/>
      <c r="L51" s="2434"/>
      <c r="M51" s="1050"/>
      <c r="N51" s="1050"/>
      <c r="O51" s="1050"/>
      <c r="P51" s="1050"/>
      <c r="Q51" s="1050"/>
      <c r="R51" s="1050"/>
    </row>
    <row r="52" spans="1:22" s="1740" customFormat="1">
      <c r="A52" s="1567"/>
      <c r="B52" s="1567"/>
      <c r="C52" s="1567"/>
      <c r="D52" s="1567"/>
      <c r="E52" s="1567"/>
      <c r="F52" s="1050"/>
      <c r="G52" s="1567"/>
      <c r="H52" s="1567"/>
      <c r="I52" s="1567"/>
      <c r="J52" s="2436"/>
      <c r="K52" s="2434"/>
      <c r="L52" s="2434"/>
      <c r="M52" s="2434"/>
      <c r="N52" s="1567"/>
      <c r="O52" s="1567"/>
      <c r="P52" s="1567"/>
      <c r="Q52" s="1567"/>
      <c r="R52" s="1567"/>
    </row>
    <row r="53" spans="1:22" s="1740" customFormat="1">
      <c r="A53" s="1567"/>
      <c r="B53" s="1567"/>
      <c r="C53" s="1567"/>
      <c r="D53" s="1567"/>
      <c r="E53" s="1567"/>
      <c r="F53" s="1050"/>
      <c r="G53" s="1567"/>
      <c r="H53" s="1567"/>
      <c r="I53" s="1567"/>
      <c r="J53" s="2436"/>
      <c r="K53" s="2434"/>
      <c r="L53" s="2434"/>
      <c r="M53" s="2434"/>
      <c r="N53" s="1567"/>
      <c r="O53" s="1567"/>
      <c r="P53" s="1567"/>
      <c r="Q53" s="1567"/>
      <c r="R53" s="1567"/>
    </row>
    <row r="54" spans="1:22" s="1740" customFormat="1">
      <c r="A54" s="1567"/>
      <c r="B54" s="1567"/>
      <c r="C54" s="1567"/>
      <c r="D54" s="1567"/>
      <c r="E54" s="1567"/>
      <c r="F54" s="1050"/>
      <c r="G54" s="1567"/>
      <c r="H54" s="1567"/>
      <c r="I54" s="1567"/>
      <c r="J54" s="2436"/>
      <c r="K54" s="2434"/>
      <c r="L54" s="2434"/>
      <c r="M54" s="2434"/>
      <c r="N54" s="1567"/>
      <c r="O54" s="1567"/>
      <c r="P54" s="1567"/>
      <c r="Q54" s="1567"/>
      <c r="R54" s="1567"/>
    </row>
    <row r="55" spans="1:22" s="1740" customFormat="1">
      <c r="A55" s="1567"/>
      <c r="B55" s="1567"/>
      <c r="C55" s="1567"/>
      <c r="D55" s="1567"/>
      <c r="E55" s="1567"/>
      <c r="F55" s="1050"/>
      <c r="G55" s="1567"/>
      <c r="H55" s="1567"/>
      <c r="I55" s="1567"/>
      <c r="J55" s="2436"/>
      <c r="K55" s="2434"/>
      <c r="L55" s="2434"/>
      <c r="M55" s="2434"/>
      <c r="N55" s="1567"/>
      <c r="O55" s="1567"/>
      <c r="P55" s="1567"/>
      <c r="Q55" s="1567"/>
      <c r="R55" s="1567"/>
    </row>
    <row r="56" spans="1:22" s="1740" customFormat="1">
      <c r="A56" s="1567"/>
      <c r="B56" s="1567"/>
      <c r="C56" s="1567"/>
      <c r="D56" s="1567"/>
      <c r="E56" s="1567"/>
      <c r="F56" s="1050"/>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3377</v>
      </c>
      <c r="J9" s="808"/>
      <c r="K9" s="1600" t="s">
        <v>3378</v>
      </c>
      <c r="L9" s="808"/>
      <c r="M9" s="1600"/>
      <c r="N9" s="808"/>
      <c r="O9" s="1600" t="s">
        <v>3378</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3489</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3300</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3349</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56" t="s">
        <v>1131</v>
      </c>
      <c r="B2" s="3556"/>
      <c r="C2" s="3556"/>
      <c r="D2" s="795" t="s">
        <v>1107</v>
      </c>
      <c r="E2" s="1636" t="s">
        <v>1108</v>
      </c>
      <c r="F2" s="2655"/>
      <c r="G2" s="2646"/>
      <c r="H2" s="2647"/>
      <c r="I2" s="2321" t="s">
        <v>1132</v>
      </c>
      <c r="J2" s="2655"/>
      <c r="K2" s="2655"/>
      <c r="L2" s="2655"/>
      <c r="M2" s="2655"/>
      <c r="N2" s="2657"/>
      <c r="O2" s="2655"/>
      <c r="P2" s="2655"/>
    </row>
    <row r="3" spans="1:16" ht="15.75" thickBot="1">
      <c r="A3" s="3557" t="s">
        <v>1105</v>
      </c>
      <c r="B3" s="3557"/>
      <c r="C3" s="3557"/>
      <c r="D3" s="43">
        <f>'数据-基础表'!AY6</f>
        <v>0</v>
      </c>
      <c r="E3" s="43">
        <f>'数据-基础表'!AZ5</f>
        <v>83656.070000000007</v>
      </c>
      <c r="F3" s="2655"/>
      <c r="G3" s="1144"/>
      <c r="H3" s="1025" t="s">
        <v>1106</v>
      </c>
      <c r="I3" s="854" t="e">
        <f>ROUND('数据-基础表'!B3/'数据-基础表'!A3,2)</f>
        <v>#DIV/0!</v>
      </c>
      <c r="J3" s="2655"/>
      <c r="K3" s="2655"/>
      <c r="L3" s="2655"/>
      <c r="M3" s="2655"/>
      <c r="N3" s="2657"/>
      <c r="O3" s="2655"/>
      <c r="P3" s="2655"/>
    </row>
    <row r="4" spans="1:16" ht="15">
      <c r="A4" s="3558"/>
      <c r="B4" s="3559"/>
      <c r="C4" s="3560"/>
      <c r="D4" s="1638" t="s">
        <v>1107</v>
      </c>
      <c r="E4" s="1639" t="s">
        <v>1108</v>
      </c>
      <c r="F4" s="2655"/>
      <c r="G4" s="2648" t="s">
        <v>1133</v>
      </c>
      <c r="H4" s="1025" t="s">
        <v>1113</v>
      </c>
      <c r="I4" s="854" t="e">
        <f>ROUND(SUMIF('数据-基础表'!I9:AS9,"地上",'数据-基础表'!I5:AS5)/'数据-基础表'!A3,2)</f>
        <v>#DIV/0!</v>
      </c>
      <c r="J4" s="2655"/>
      <c r="K4" s="2655"/>
      <c r="L4" s="2655"/>
      <c r="M4" s="2655"/>
      <c r="N4" s="2657"/>
      <c r="O4" s="2655"/>
      <c r="P4" s="2655"/>
    </row>
    <row r="5" spans="1:16">
      <c r="A5" s="44" t="s">
        <v>1109</v>
      </c>
      <c r="B5" s="3561" t="s">
        <v>1110</v>
      </c>
      <c r="C5" s="3561"/>
      <c r="D5" s="45">
        <f>ROUND($D$3*E5/$E$3,2)</f>
        <v>0</v>
      </c>
      <c r="E5" s="46">
        <f>SUMIF('数据-基础表'!$11:$11,"住宅",'数据-基础表'!$5:$5)</f>
        <v>0</v>
      </c>
      <c r="F5" s="2655"/>
      <c r="G5" s="1144"/>
      <c r="H5" s="1025" t="s">
        <v>1106</v>
      </c>
      <c r="I5" s="854" t="e">
        <f>ROUND(E31/D31,2)</f>
        <v>#DIV/0!</v>
      </c>
      <c r="J5" s="2655"/>
      <c r="K5" s="2655"/>
      <c r="L5" s="2655"/>
      <c r="M5" s="2655"/>
      <c r="N5" s="2655"/>
      <c r="O5" s="2655"/>
      <c r="P5" s="2655"/>
    </row>
    <row r="6" spans="1:16" ht="15" thickBot="1">
      <c r="A6" s="1641"/>
      <c r="B6" s="3561" t="s">
        <v>1111</v>
      </c>
      <c r="C6" s="3561"/>
      <c r="D6" s="45">
        <f>ROUND($D$3*E6/$E$3,2)</f>
        <v>0</v>
      </c>
      <c r="E6" s="46">
        <f>E3-E5</f>
        <v>83656.070000000007</v>
      </c>
      <c r="F6" s="2655"/>
      <c r="G6" s="2649" t="s">
        <v>1112</v>
      </c>
      <c r="H6" s="1145" t="s">
        <v>1113</v>
      </c>
      <c r="I6" s="2650" t="e">
        <f>ROUND(F31/D31,2)</f>
        <v>#DIV/0!</v>
      </c>
      <c r="J6" s="2655"/>
      <c r="K6" s="2655"/>
      <c r="L6" s="2655"/>
      <c r="M6" s="2655"/>
      <c r="N6" s="2655"/>
      <c r="O6" s="2655"/>
      <c r="P6" s="2655"/>
    </row>
    <row r="7" spans="1:16" ht="15.75" thickBot="1">
      <c r="A7" s="3553"/>
      <c r="B7" s="3554"/>
      <c r="C7" s="3555"/>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51188.590000000004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11834.82</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20632.660000000003</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83656.070000000007</v>
      </c>
      <c r="F16" s="2655"/>
      <c r="G16" s="2656"/>
      <c r="H16" s="1645" t="s">
        <v>1135</v>
      </c>
      <c r="I16" s="1646"/>
      <c r="J16" s="1138"/>
      <c r="K16" s="3550" t="s">
        <v>1135</v>
      </c>
      <c r="L16" s="3551"/>
      <c r="M16" s="3551"/>
      <c r="N16" s="3551"/>
      <c r="O16" s="3551"/>
      <c r="P16" s="3552"/>
    </row>
    <row r="17" spans="1:19" ht="15">
      <c r="A17" s="1647" t="s">
        <v>1136</v>
      </c>
      <c r="B17" s="1648" t="s">
        <v>1137</v>
      </c>
      <c r="C17" s="1649" t="s">
        <v>1138</v>
      </c>
      <c r="D17" s="1650" t="s">
        <v>1126</v>
      </c>
      <c r="E17" s="1651" t="s">
        <v>1127</v>
      </c>
      <c r="F17" s="1652"/>
      <c r="G17" s="1653"/>
      <c r="H17" s="1654" t="s">
        <v>1139</v>
      </c>
      <c r="I17" s="1655" t="s">
        <v>1124</v>
      </c>
      <c r="J17" s="1138"/>
      <c r="K17" s="3547" t="s">
        <v>1140</v>
      </c>
      <c r="L17" s="3548"/>
      <c r="M17" s="3549"/>
      <c r="N17" s="3547" t="s">
        <v>1141</v>
      </c>
      <c r="O17" s="3548"/>
      <c r="P17" s="3549"/>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408" t="s">
        <v>3379</v>
      </c>
      <c r="D19" s="45">
        <f>ROUND($D$3*E19/$E$3,2)</f>
        <v>0</v>
      </c>
      <c r="E19" s="53">
        <f t="shared" ref="E19:E26" si="1">SUM(F19:G19)</f>
        <v>63023.41</v>
      </c>
      <c r="F19" s="2791">
        <f>'数据-基础表'!I13</f>
        <v>51188.590000000004</v>
      </c>
      <c r="G19" s="2792">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408" t="s">
        <v>3404</v>
      </c>
      <c r="D20" s="45">
        <f t="shared" ref="D20:D26" si="6">ROUND($D$3*E20/$E$3,2)</f>
        <v>0</v>
      </c>
      <c r="E20" s="53">
        <f t="shared" si="1"/>
        <v>20632.660000000003</v>
      </c>
      <c r="F20" s="2791"/>
      <c r="G20" s="2792">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408"/>
      <c r="D21" s="45">
        <f t="shared" si="6"/>
        <v>0</v>
      </c>
      <c r="E21" s="53">
        <f t="shared" si="1"/>
        <v>0</v>
      </c>
      <c r="F21" s="2791"/>
      <c r="G21" s="2792"/>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409"/>
      <c r="D22" s="45">
        <f t="shared" si="6"/>
        <v>0</v>
      </c>
      <c r="E22" s="53">
        <f t="shared" si="1"/>
        <v>0</v>
      </c>
      <c r="F22" s="2793"/>
      <c r="G22" s="2794"/>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409"/>
      <c r="D23" s="45">
        <f>ROUND($D$3*E23/$E$3,2)</f>
        <v>0</v>
      </c>
      <c r="E23" s="53">
        <f>SUM(F23:G23)</f>
        <v>0</v>
      </c>
      <c r="F23" s="2793"/>
      <c r="G23" s="2794"/>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409"/>
      <c r="D24" s="45">
        <f>ROUND($D$3*E24/$E$3,2)</f>
        <v>0</v>
      </c>
      <c r="E24" s="53">
        <f>SUM(F24:G24)</f>
        <v>0</v>
      </c>
      <c r="F24" s="2793"/>
      <c r="G24" s="2794"/>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409"/>
      <c r="D25" s="45">
        <f t="shared" si="6"/>
        <v>0</v>
      </c>
      <c r="E25" s="53">
        <f t="shared" si="1"/>
        <v>0</v>
      </c>
      <c r="F25" s="2793"/>
      <c r="G25" s="2794"/>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3"/>
      <c r="B31" s="1674"/>
      <c r="C31" s="834" t="s">
        <v>1158</v>
      </c>
      <c r="D31" s="676">
        <f>D27+D30</f>
        <v>0</v>
      </c>
      <c r="E31" s="676">
        <f>E27+E30</f>
        <v>83656.070000000007</v>
      </c>
      <c r="F31" s="677">
        <f>F27+F30</f>
        <v>51188.590000000004</v>
      </c>
      <c r="G31" s="678">
        <f>G27+G30</f>
        <v>32467.480000000003</v>
      </c>
      <c r="H31" s="2655"/>
      <c r="I31" s="2655"/>
      <c r="J31" s="2655"/>
      <c r="K31" s="2655"/>
      <c r="L31" s="2655"/>
      <c r="M31" s="2655"/>
      <c r="N31" s="2655"/>
      <c r="O31" s="2655"/>
      <c r="P31" s="2655"/>
    </row>
    <row r="32" spans="1:19">
      <c r="A32" s="1640"/>
      <c r="B32" s="1640" t="s">
        <v>1159</v>
      </c>
      <c r="C32" s="1640"/>
      <c r="D32" s="1640"/>
      <c r="E32" s="1052">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R32"/>
  <sheetViews>
    <sheetView workbookViewId="0">
      <selection activeCell="G31" sqref="G31"/>
    </sheetView>
  </sheetViews>
  <sheetFormatPr defaultRowHeight="14.25"/>
  <cols>
    <col min="1" max="3" width="9" style="3463"/>
    <col min="4" max="4" width="11.375" style="3463" customWidth="1"/>
    <col min="5" max="5" width="10.25" style="3463" bestFit="1" customWidth="1"/>
    <col min="6" max="7" width="9" style="3463"/>
    <col min="8" max="8" width="0" style="3463" hidden="1" customWidth="1"/>
    <col min="9" max="16384" width="9" style="3463"/>
  </cols>
  <sheetData>
    <row r="5" spans="4:18">
      <c r="D5" s="3463" t="s">
        <v>3350</v>
      </c>
      <c r="E5" s="3463" t="s">
        <v>2815</v>
      </c>
      <c r="F5" s="3463" t="s">
        <v>3351</v>
      </c>
      <c r="G5" s="3463" t="s">
        <v>3352</v>
      </c>
      <c r="H5" s="3463" t="s">
        <v>3353</v>
      </c>
      <c r="I5" s="3463" t="s">
        <v>3354</v>
      </c>
      <c r="O5" s="3463" t="s">
        <v>2815</v>
      </c>
      <c r="P5" s="3463" t="s">
        <v>3355</v>
      </c>
      <c r="Q5" s="3463" t="s">
        <v>3356</v>
      </c>
      <c r="R5" s="3463" t="s">
        <v>3357</v>
      </c>
    </row>
    <row r="6" spans="4:18">
      <c r="D6" s="3463" t="s">
        <v>3358</v>
      </c>
      <c r="E6" s="3464">
        <f>$R$32</f>
        <v>1522.63</v>
      </c>
      <c r="O6" s="3463">
        <v>1</v>
      </c>
      <c r="P6" s="3463">
        <v>72.040000000000006</v>
      </c>
      <c r="Q6" s="3463">
        <v>86.59</v>
      </c>
      <c r="R6" s="3463">
        <v>86.59</v>
      </c>
    </row>
    <row r="7" spans="4:18">
      <c r="D7" s="3463" t="s">
        <v>3359</v>
      </c>
      <c r="E7" s="3464">
        <f>$R$32</f>
        <v>1522.63</v>
      </c>
      <c r="O7" s="3463">
        <v>2</v>
      </c>
      <c r="P7" s="3463">
        <v>55.12</v>
      </c>
      <c r="Q7" s="3463">
        <v>64.459999999999994</v>
      </c>
      <c r="R7" s="3463">
        <v>64.459999999999994</v>
      </c>
    </row>
    <row r="8" spans="4:18">
      <c r="D8" s="3463" t="s">
        <v>3360</v>
      </c>
      <c r="E8" s="3464">
        <f>$R$32</f>
        <v>1522.63</v>
      </c>
      <c r="O8" s="3463">
        <v>3</v>
      </c>
      <c r="P8" s="3463">
        <v>58.05</v>
      </c>
      <c r="Q8" s="3463">
        <v>59.01</v>
      </c>
      <c r="R8" s="3463">
        <v>59.01</v>
      </c>
    </row>
    <row r="9" spans="4:18">
      <c r="D9" s="3463" t="s">
        <v>3361</v>
      </c>
      <c r="E9" s="3464">
        <f>$R$32</f>
        <v>1522.63</v>
      </c>
      <c r="O9" s="3463">
        <v>4</v>
      </c>
      <c r="P9" s="3463">
        <v>63.62</v>
      </c>
      <c r="Q9" s="3463">
        <v>68.86</v>
      </c>
      <c r="R9" s="3463">
        <v>68.86</v>
      </c>
    </row>
    <row r="10" spans="4:18">
      <c r="D10" s="3463" t="s">
        <v>3362</v>
      </c>
      <c r="E10" s="3464">
        <f>$R$32</f>
        <v>1522.63</v>
      </c>
      <c r="O10" s="3463">
        <v>5</v>
      </c>
      <c r="P10" s="3463">
        <v>47.17</v>
      </c>
      <c r="Q10" s="3463">
        <v>47.17</v>
      </c>
      <c r="R10" s="3463">
        <v>47.17</v>
      </c>
    </row>
    <row r="11" spans="4:18">
      <c r="D11" s="3463" t="s">
        <v>3363</v>
      </c>
      <c r="E11" s="3465">
        <f>E12</f>
        <v>1522.9100000000003</v>
      </c>
      <c r="O11" s="3463">
        <v>6</v>
      </c>
      <c r="P11" s="3463">
        <v>48.38</v>
      </c>
      <c r="Q11" s="3463">
        <v>48.38</v>
      </c>
      <c r="R11" s="3463">
        <v>48.38</v>
      </c>
    </row>
    <row r="12" spans="4:18">
      <c r="D12" s="3463" t="s">
        <v>3364</v>
      </c>
      <c r="E12" s="3465">
        <f>E13</f>
        <v>1522.9100000000003</v>
      </c>
      <c r="O12" s="3463">
        <v>7</v>
      </c>
      <c r="P12" s="3463">
        <v>51.75</v>
      </c>
      <c r="Q12" s="3463">
        <v>51.75</v>
      </c>
      <c r="R12" s="3463">
        <v>51.75</v>
      </c>
    </row>
    <row r="13" spans="4:18">
      <c r="D13" s="3463" t="s">
        <v>3365</v>
      </c>
      <c r="E13" s="3465">
        <f>E14</f>
        <v>1522.9100000000003</v>
      </c>
      <c r="O13" s="3463">
        <v>8</v>
      </c>
      <c r="P13" s="3463">
        <v>52.95</v>
      </c>
      <c r="Q13" s="3463">
        <v>52.95</v>
      </c>
      <c r="R13" s="3463">
        <v>52.95</v>
      </c>
    </row>
    <row r="14" spans="4:18">
      <c r="D14" s="3463" t="s">
        <v>3366</v>
      </c>
      <c r="E14" s="3465">
        <f>E15</f>
        <v>1522.9100000000003</v>
      </c>
      <c r="O14" s="3463">
        <v>9</v>
      </c>
      <c r="P14" s="3463">
        <v>54.93</v>
      </c>
      <c r="Q14" s="3463">
        <v>54.93</v>
      </c>
      <c r="R14" s="3463">
        <v>54.93</v>
      </c>
    </row>
    <row r="15" spans="4:18">
      <c r="D15" s="3463" t="s">
        <v>3367</v>
      </c>
      <c r="E15" s="3465">
        <f>E16</f>
        <v>1522.9100000000003</v>
      </c>
      <c r="O15" s="3463">
        <v>10</v>
      </c>
      <c r="P15" s="3463">
        <v>58.26</v>
      </c>
      <c r="Q15" s="3463">
        <v>58.26</v>
      </c>
      <c r="R15" s="3463">
        <v>58.26</v>
      </c>
    </row>
    <row r="16" spans="4:18">
      <c r="D16" s="3463" t="s">
        <v>3368</v>
      </c>
      <c r="E16" s="3465">
        <f>Q32</f>
        <v>1522.9100000000003</v>
      </c>
      <c r="O16" s="3463">
        <v>11</v>
      </c>
      <c r="P16" s="3463">
        <v>57.72</v>
      </c>
      <c r="Q16" s="3463">
        <v>57.72</v>
      </c>
      <c r="R16" s="3463">
        <v>57.72</v>
      </c>
    </row>
    <row r="17" spans="4:18">
      <c r="D17" s="3463" t="s">
        <v>3369</v>
      </c>
      <c r="E17" s="3466">
        <f>Q32</f>
        <v>1522.9100000000003</v>
      </c>
      <c r="O17" s="3463">
        <v>12</v>
      </c>
      <c r="P17" s="3463">
        <v>55.7</v>
      </c>
      <c r="Q17" s="3463">
        <v>55.7</v>
      </c>
      <c r="R17" s="3463">
        <v>55.7</v>
      </c>
    </row>
    <row r="18" spans="4:18">
      <c r="D18" s="3463" t="s">
        <v>3370</v>
      </c>
      <c r="E18" s="3466">
        <f>P32</f>
        <v>1486.9399999999996</v>
      </c>
      <c r="O18" s="3463">
        <v>13</v>
      </c>
      <c r="P18" s="3463">
        <v>53.55</v>
      </c>
      <c r="Q18" s="3463">
        <v>53.55</v>
      </c>
      <c r="R18" s="3463">
        <v>53.55</v>
      </c>
    </row>
    <row r="19" spans="4:18">
      <c r="D19" s="3463" t="s">
        <v>3371</v>
      </c>
      <c r="O19" s="3463">
        <v>14</v>
      </c>
      <c r="P19" s="3463">
        <v>86.66</v>
      </c>
      <c r="Q19" s="3463">
        <v>86.66</v>
      </c>
      <c r="R19" s="3463">
        <v>86.38</v>
      </c>
    </row>
    <row r="20" spans="4:18">
      <c r="D20" s="3463" t="s">
        <v>3372</v>
      </c>
      <c r="O20" s="3463">
        <v>15</v>
      </c>
      <c r="P20" s="3463">
        <v>60.87</v>
      </c>
      <c r="Q20" s="3463">
        <v>60.87</v>
      </c>
      <c r="R20" s="3463">
        <v>60.87</v>
      </c>
    </row>
    <row r="21" spans="4:18">
      <c r="D21" s="3463" t="s">
        <v>3373</v>
      </c>
      <c r="F21" s="3463">
        <v>450.64</v>
      </c>
      <c r="O21" s="3463">
        <v>16</v>
      </c>
      <c r="P21" s="3463">
        <v>80.44</v>
      </c>
      <c r="Q21" s="3463">
        <v>80.75</v>
      </c>
      <c r="R21" s="3463">
        <v>80.75</v>
      </c>
    </row>
    <row r="22" spans="4:18">
      <c r="D22" s="3463" t="s">
        <v>3374</v>
      </c>
      <c r="F22" s="3463">
        <f>50357.16+380.79</f>
        <v>50737.950000000004</v>
      </c>
      <c r="I22" s="3463">
        <v>206.64</v>
      </c>
      <c r="O22" s="3463">
        <v>17</v>
      </c>
      <c r="P22" s="3463">
        <v>68.540000000000006</v>
      </c>
      <c r="Q22" s="3463">
        <v>68.75</v>
      </c>
      <c r="R22" s="3463">
        <v>68.75</v>
      </c>
    </row>
    <row r="23" spans="4:18">
      <c r="D23" s="3463">
        <v>-1</v>
      </c>
      <c r="F23" s="3463">
        <v>11834.82</v>
      </c>
      <c r="H23" s="3467">
        <v>883.41</v>
      </c>
      <c r="O23" s="3463">
        <v>18</v>
      </c>
      <c r="P23" s="3463">
        <v>47.26</v>
      </c>
      <c r="Q23" s="3463">
        <v>47.17</v>
      </c>
      <c r="R23" s="3463">
        <v>47.17</v>
      </c>
    </row>
    <row r="24" spans="4:18">
      <c r="D24" s="3463">
        <v>-2</v>
      </c>
      <c r="G24" s="3463">
        <f>1482.8-51.5*5-50.43*2+1533.23+1534.3+1533.23+1533.23+1534.3+1533.23+50.43*8+51.5*8</f>
        <v>11141.4</v>
      </c>
      <c r="K24" s="3463">
        <v>218</v>
      </c>
      <c r="L24" s="3463" t="s">
        <v>3375</v>
      </c>
      <c r="O24" s="3463">
        <v>19</v>
      </c>
      <c r="P24" s="3463">
        <v>47.04</v>
      </c>
      <c r="Q24" s="3463">
        <v>48.38</v>
      </c>
      <c r="R24" s="3463">
        <v>48.38</v>
      </c>
    </row>
    <row r="25" spans="4:18">
      <c r="D25" s="3463">
        <v>-3</v>
      </c>
      <c r="G25" s="3463">
        <f>1482.8+1532.16+1533.23+1532.16+1530.02+1522.53+50.43*2+51.5*5</f>
        <v>9491.260000000002</v>
      </c>
      <c r="K25" s="3463">
        <v>186</v>
      </c>
      <c r="L25" s="3463" t="s">
        <v>3375</v>
      </c>
      <c r="O25" s="3463">
        <v>20</v>
      </c>
      <c r="P25" s="3463">
        <v>50.09</v>
      </c>
      <c r="Q25" s="3463">
        <v>51.75</v>
      </c>
      <c r="R25" s="3463">
        <v>51.75</v>
      </c>
    </row>
    <row r="26" spans="4:18">
      <c r="D26" s="3463" t="s">
        <v>3376</v>
      </c>
      <c r="E26" s="3463">
        <f>SUM(E6:E25)</f>
        <v>19760.46</v>
      </c>
      <c r="F26" s="3463">
        <f t="shared" ref="F26:I26" si="0">SUM(F6:F25)</f>
        <v>63023.41</v>
      </c>
      <c r="G26" s="3463">
        <f t="shared" si="0"/>
        <v>20632.660000000003</v>
      </c>
      <c r="H26" s="3467">
        <f t="shared" si="0"/>
        <v>883.41</v>
      </c>
      <c r="I26" s="3463">
        <f t="shared" si="0"/>
        <v>206.64</v>
      </c>
      <c r="J26" s="3463">
        <f>E26+F26+G26+H26+I26</f>
        <v>104506.58</v>
      </c>
      <c r="O26" s="3463">
        <v>21</v>
      </c>
      <c r="P26" s="3463">
        <v>51.53</v>
      </c>
      <c r="Q26" s="3463">
        <v>52.95</v>
      </c>
      <c r="R26" s="3463">
        <v>52.95</v>
      </c>
    </row>
    <row r="27" spans="4:18">
      <c r="J27" s="3463">
        <f>J26-H26</f>
        <v>103623.17</v>
      </c>
      <c r="O27" s="3463">
        <v>22</v>
      </c>
      <c r="P27" s="3463">
        <v>56.3</v>
      </c>
      <c r="Q27" s="3463">
        <v>57.68</v>
      </c>
      <c r="R27" s="3463">
        <v>57.68</v>
      </c>
    </row>
    <row r="28" spans="4:18">
      <c r="O28" s="3463">
        <v>23</v>
      </c>
      <c r="P28" s="3463">
        <v>53.58</v>
      </c>
      <c r="Q28" s="3463">
        <v>53.49</v>
      </c>
      <c r="R28" s="3463">
        <v>53.49</v>
      </c>
    </row>
    <row r="29" spans="4:18">
      <c r="O29" s="3463">
        <v>24</v>
      </c>
      <c r="P29" s="3463">
        <v>54.12</v>
      </c>
      <c r="Q29" s="3463">
        <v>54.03</v>
      </c>
      <c r="R29" s="3463">
        <v>54.03</v>
      </c>
    </row>
    <row r="30" spans="4:18">
      <c r="O30" s="3463">
        <v>25</v>
      </c>
      <c r="P30" s="3463">
        <v>51.92</v>
      </c>
      <c r="Q30" s="3463">
        <v>51.82</v>
      </c>
      <c r="R30" s="3463">
        <v>51.82</v>
      </c>
    </row>
    <row r="31" spans="4:18">
      <c r="K31" s="3463">
        <f>26*13</f>
        <v>338</v>
      </c>
      <c r="O31" s="3463">
        <v>26</v>
      </c>
      <c r="P31" s="3463">
        <v>49.35</v>
      </c>
      <c r="Q31" s="3463">
        <v>49.28</v>
      </c>
      <c r="R31" s="3463">
        <v>49.28</v>
      </c>
    </row>
    <row r="32" spans="4:18">
      <c r="P32" s="3463">
        <f>SUM(P6:P31)</f>
        <v>1486.9399999999996</v>
      </c>
      <c r="Q32" s="3463">
        <f>SUM(Q6:Q31)</f>
        <v>1522.9100000000003</v>
      </c>
      <c r="R32" s="3463">
        <f>SUM(R6:R31)</f>
        <v>1522.63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4">
        <f>项目基本情况!D3</f>
        <v>45159</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3380</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7.4999999999999997E-2</v>
      </c>
      <c r="K6" s="1029">
        <f>SUMIF('数据-汇总表'!C$19:C$33,A6,'数据-汇总表'!E$19:E$33)</f>
        <v>63023.41</v>
      </c>
      <c r="L6" s="733">
        <v>4500</v>
      </c>
      <c r="M6" s="67">
        <f t="shared" ref="M6:M14" si="0">ROUND(K6*L6/10000,0)</f>
        <v>28361</v>
      </c>
      <c r="N6" s="731">
        <f>N19</f>
        <v>0.83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19">
        <v>3.2</v>
      </c>
      <c r="V6" s="70">
        <v>2.5000000000000001E-2</v>
      </c>
      <c r="W6" s="70">
        <v>0.1</v>
      </c>
      <c r="X6" s="1039"/>
      <c r="Y6" s="71">
        <f>N6</f>
        <v>0.83</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1.5E-3</v>
      </c>
      <c r="AM6" s="80">
        <v>0.01</v>
      </c>
      <c r="AN6" s="1712" t="s">
        <v>3381</v>
      </c>
      <c r="AO6" s="52">
        <f ca="1">SUMIF(INDIRECT("'"&amp;AN6&amp;"'"&amp;"!A:A"),"总价",INDIRECT("'"&amp;AN6&amp;"'"&amp;"!B:B"))</f>
        <v>96688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3300</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7.4999999999999997E-2</v>
      </c>
      <c r="K7" s="1029">
        <f>SUMIF('数据-汇总表'!C$19:C$33,A7,'数据-汇总表'!E$19:E$33)</f>
        <v>20632.660000000003</v>
      </c>
      <c r="L7" s="733">
        <v>3500</v>
      </c>
      <c r="M7" s="67">
        <f t="shared" si="0"/>
        <v>7221</v>
      </c>
      <c r="N7" s="731">
        <f>N6</f>
        <v>0.83</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9">
        <v>0.6</v>
      </c>
      <c r="V7" s="70">
        <v>2.5000000000000001E-2</v>
      </c>
      <c r="W7" s="70">
        <v>0.1</v>
      </c>
      <c r="X7" s="1039"/>
      <c r="Y7" s="71">
        <f>N7</f>
        <v>0.83</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5.0000000000000001E-3</v>
      </c>
      <c r="AL7" s="79">
        <v>1.5E-3</v>
      </c>
      <c r="AM7" s="80">
        <v>0.01</v>
      </c>
      <c r="AN7" s="1712" t="s">
        <v>3382</v>
      </c>
      <c r="AO7" s="52">
        <f t="shared" ref="AO7:AO13" ca="1" si="8">SUMIF(INDIRECT("'"&amp;AN7&amp;"'"&amp;"!A:A"),"总价",INDIRECT("'"&amp;AN7&amp;"'"&amp;"!B:B"))</f>
        <v>6770</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0"/>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9"/>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9"/>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9"/>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9"/>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1"/>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4253</v>
      </c>
      <c r="M16" s="93">
        <f>SUM(M6:M14)</f>
        <v>35582</v>
      </c>
      <c r="N16" s="94">
        <f>ROUND(SUMPRODUCT(M6:M14,N6:N14)/M16,3)</f>
        <v>0.83</v>
      </c>
      <c r="O16" s="93">
        <f>SUM(O6:O14)</f>
        <v>0</v>
      </c>
      <c r="P16" s="93">
        <f>SUM(P6:P14)</f>
        <v>0</v>
      </c>
      <c r="Q16" s="95">
        <f>ROUND(SUMPRODUCT(Q6:Q13,K6:K13)/SUMPRODUCT((Q6:Q13&gt;0)*(K6:K13)),2)</f>
        <v>0.16</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2013</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2667"/>
      <c r="N19" s="2667">
        <f>ROUND(1-(2023-N18)/60,2)</f>
        <v>0.83</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62" t="s">
        <v>2285</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8"/>
      <c r="I2" s="798"/>
      <c r="J2" s="798"/>
      <c r="K2" s="798"/>
      <c r="L2" s="798"/>
      <c r="M2" s="798"/>
      <c r="N2" s="798"/>
      <c r="O2" s="798"/>
      <c r="P2" s="798"/>
      <c r="Q2" s="798"/>
      <c r="R2" s="798"/>
    </row>
    <row r="3" spans="1:29" ht="48">
      <c r="A3" s="2437" t="s">
        <v>2282</v>
      </c>
      <c r="B3" s="2459" t="s">
        <v>2251</v>
      </c>
      <c r="C3" s="2460" t="s">
        <v>2283</v>
      </c>
      <c r="D3" s="2461"/>
      <c r="E3" s="2438" t="s">
        <v>2282</v>
      </c>
      <c r="F3" s="2462" t="s">
        <v>2252</v>
      </c>
      <c r="G3" s="2463" t="s">
        <v>2284</v>
      </c>
      <c r="H3" s="798"/>
      <c r="I3" s="798"/>
      <c r="J3" s="798"/>
      <c r="K3" s="798"/>
      <c r="L3" s="798"/>
      <c r="M3" s="798"/>
      <c r="N3" s="798"/>
      <c r="O3" s="798"/>
      <c r="P3" s="798"/>
      <c r="Q3" s="798"/>
      <c r="R3" s="798"/>
    </row>
    <row r="4" spans="1:29" ht="36.75">
      <c r="A4" s="2438"/>
      <c r="B4" s="323" t="s">
        <v>2253</v>
      </c>
      <c r="C4" s="2464" t="s">
        <v>2254</v>
      </c>
      <c r="D4" s="2461"/>
      <c r="E4" s="2465"/>
      <c r="F4" s="1370" t="s">
        <v>2255</v>
      </c>
      <c r="G4" s="2466" t="s">
        <v>2256</v>
      </c>
      <c r="H4" s="798"/>
      <c r="I4" s="798"/>
      <c r="J4" s="798"/>
      <c r="K4" s="798"/>
      <c r="L4" s="798"/>
      <c r="M4" s="798"/>
      <c r="N4" s="798"/>
      <c r="O4" s="798"/>
      <c r="P4" s="798"/>
      <c r="Q4" s="798"/>
      <c r="R4" s="798"/>
    </row>
    <row r="5" spans="1:29" ht="36.75">
      <c r="A5" s="2438"/>
      <c r="B5" s="323" t="s">
        <v>2257</v>
      </c>
      <c r="C5" s="2464" t="s">
        <v>2258</v>
      </c>
      <c r="D5" s="2461"/>
      <c r="E5" s="2465"/>
      <c r="F5" s="323" t="s">
        <v>2259</v>
      </c>
      <c r="G5" s="2466" t="s">
        <v>2260</v>
      </c>
      <c r="H5" s="798"/>
      <c r="I5" s="798"/>
      <c r="J5" s="798"/>
      <c r="K5" s="798"/>
      <c r="L5" s="798"/>
      <c r="M5" s="798"/>
      <c r="N5" s="798"/>
      <c r="O5" s="798"/>
      <c r="P5" s="798"/>
      <c r="Q5" s="798"/>
      <c r="R5" s="798"/>
    </row>
    <row r="6" spans="1:29" ht="36">
      <c r="A6" s="2438"/>
      <c r="B6" s="323" t="s">
        <v>2261</v>
      </c>
      <c r="C6" s="2466" t="s">
        <v>2256</v>
      </c>
      <c r="D6" s="2461"/>
      <c r="E6" s="2465"/>
      <c r="F6" s="323" t="s">
        <v>2262</v>
      </c>
      <c r="G6" s="2466" t="s">
        <v>2263</v>
      </c>
      <c r="H6" s="798"/>
      <c r="I6" s="798"/>
      <c r="J6" s="798"/>
      <c r="K6" s="798"/>
      <c r="L6" s="798"/>
      <c r="M6" s="798"/>
      <c r="N6" s="798"/>
      <c r="O6" s="798"/>
      <c r="P6" s="798"/>
      <c r="Q6" s="798"/>
      <c r="R6" s="798"/>
    </row>
    <row r="7" spans="1:29" ht="24.75" thickBot="1">
      <c r="A7" s="2438"/>
      <c r="B7" s="323" t="s">
        <v>2259</v>
      </c>
      <c r="C7" s="2466" t="s">
        <v>2260</v>
      </c>
      <c r="D7" s="2467"/>
      <c r="E7" s="2468"/>
      <c r="F7" s="2469" t="s">
        <v>2264</v>
      </c>
      <c r="G7" s="2470" t="s">
        <v>2265</v>
      </c>
      <c r="H7" s="798"/>
      <c r="I7" s="798"/>
      <c r="J7" s="798"/>
      <c r="K7" s="798"/>
      <c r="L7" s="798"/>
      <c r="M7" s="798"/>
      <c r="N7" s="798"/>
      <c r="O7" s="798"/>
      <c r="P7" s="798"/>
      <c r="Q7" s="798"/>
      <c r="R7" s="798"/>
    </row>
    <row r="8" spans="1:29">
      <c r="A8" s="2438"/>
      <c r="B8" s="323" t="s">
        <v>2262</v>
      </c>
      <c r="C8" s="2466" t="s">
        <v>2263</v>
      </c>
      <c r="D8" s="2467"/>
      <c r="E8" s="2467"/>
      <c r="F8" s="2471"/>
      <c r="G8" s="2471"/>
      <c r="H8" s="798"/>
      <c r="I8" s="798"/>
      <c r="J8" s="798"/>
      <c r="K8" s="798"/>
      <c r="L8" s="798"/>
      <c r="M8" s="798"/>
      <c r="N8" s="798"/>
      <c r="O8" s="798"/>
      <c r="P8" s="798"/>
      <c r="Q8" s="798"/>
      <c r="R8" s="798"/>
    </row>
    <row r="9" spans="1:29" ht="24">
      <c r="A9" s="2438"/>
      <c r="B9" s="323" t="s">
        <v>2266</v>
      </c>
      <c r="C9" s="2464" t="s">
        <v>2267</v>
      </c>
      <c r="D9" s="2461"/>
      <c r="E9" s="2467"/>
      <c r="F9" s="2471"/>
      <c r="G9" s="2471"/>
      <c r="H9" s="798"/>
      <c r="I9" s="798"/>
      <c r="J9" s="798"/>
      <c r="K9" s="798"/>
      <c r="L9" s="798"/>
      <c r="M9" s="798"/>
      <c r="N9" s="798"/>
      <c r="O9" s="798"/>
      <c r="P9" s="798"/>
      <c r="Q9" s="798"/>
      <c r="R9" s="798"/>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8"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8"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09" customWidth="1"/>
    <col min="2" max="9" width="15.75" style="2509" customWidth="1"/>
    <col min="10" max="16384" width="9" style="2509"/>
  </cols>
  <sheetData>
    <row r="1" spans="1:11">
      <c r="A1" s="2508" t="s">
        <v>665</v>
      </c>
      <c r="B1" s="2508">
        <f>SUM(B14:B23)</f>
        <v>83656.070000000007</v>
      </c>
      <c r="C1" s="2682"/>
      <c r="D1" s="2682"/>
      <c r="E1" s="2682"/>
      <c r="F1" s="2682"/>
      <c r="G1" s="2683"/>
      <c r="H1" s="2684"/>
      <c r="I1" s="2684"/>
      <c r="J1" s="2684"/>
      <c r="K1" s="2684"/>
    </row>
    <row r="2" spans="1:11">
      <c r="A2" s="2508" t="s">
        <v>653</v>
      </c>
      <c r="B2" s="2508">
        <f>SUM(C14:C23)</f>
        <v>0</v>
      </c>
      <c r="C2" s="2682"/>
      <c r="D2" s="2682"/>
      <c r="E2" s="2682"/>
      <c r="F2" s="2682"/>
      <c r="G2" s="2683"/>
      <c r="H2" s="2684"/>
      <c r="I2" s="2684"/>
      <c r="J2" s="2684"/>
      <c r="K2" s="2684"/>
    </row>
    <row r="3" spans="1:11">
      <c r="A3" s="2508" t="s">
        <v>662</v>
      </c>
      <c r="B3" s="2510">
        <f>项目基本情况!D3</f>
        <v>45159</v>
      </c>
      <c r="C3" s="2682"/>
      <c r="D3" s="2682"/>
      <c r="E3" s="2682"/>
      <c r="F3" s="2682"/>
      <c r="G3" s="2683"/>
      <c r="H3" s="2684"/>
      <c r="I3" s="2684"/>
      <c r="J3" s="2684"/>
      <c r="K3" s="2684"/>
    </row>
    <row r="4" spans="1:11" ht="27">
      <c r="A4" s="2508" t="s">
        <v>661</v>
      </c>
      <c r="B4" s="2508" t="s">
        <v>660</v>
      </c>
      <c r="C4" s="2508" t="s">
        <v>659</v>
      </c>
      <c r="D4" s="2508" t="s">
        <v>658</v>
      </c>
      <c r="E4" s="2682"/>
      <c r="F4" s="2683"/>
      <c r="G4" s="2683"/>
      <c r="H4" s="2684"/>
      <c r="I4" s="2684"/>
      <c r="J4" s="2684"/>
      <c r="K4" s="2684"/>
    </row>
    <row r="5" spans="1:11">
      <c r="A5" s="2508" t="s">
        <v>657</v>
      </c>
      <c r="B5" s="2508">
        <f ca="1">SUM(D14:D23)</f>
        <v>132536</v>
      </c>
      <c r="C5" s="2508">
        <f ca="1">IF(B5=D14,结果表!H102,ROUND(B5*10000/$B$1,0))</f>
        <v>15843</v>
      </c>
      <c r="D5" s="2508" t="e">
        <f ca="1">ROUND(B5*10000/$B$2,0)</f>
        <v>#DIV/0!</v>
      </c>
      <c r="E5" s="2682"/>
      <c r="F5" s="2683"/>
      <c r="G5" s="2683"/>
      <c r="H5" s="2684"/>
      <c r="I5" s="2684"/>
      <c r="J5" s="2684"/>
      <c r="K5" s="2684"/>
    </row>
    <row r="6" spans="1:11">
      <c r="A6" s="2508" t="s">
        <v>656</v>
      </c>
      <c r="B6" s="2508">
        <f ca="1">SUM(G14:G23)</f>
        <v>132536</v>
      </c>
      <c r="C6" s="2508">
        <f ca="1">IF(B6=G14,结果表!H108,ROUND(B6*10000/$B$1,0))</f>
        <v>15843</v>
      </c>
      <c r="D6" s="2508" t="e">
        <f ca="1">ROUND(B6*10000/$B$2,0)</f>
        <v>#DIV/0!</v>
      </c>
      <c r="E6" s="2682"/>
      <c r="F6" s="2683"/>
      <c r="G6" s="2683"/>
      <c r="H6" s="2684"/>
      <c r="I6" s="2684"/>
      <c r="J6" s="2684"/>
      <c r="K6" s="2684"/>
    </row>
    <row r="7" spans="1:11">
      <c r="A7" s="2508" t="s">
        <v>664</v>
      </c>
      <c r="B7" s="2508">
        <f>SUM(H14:H23)</f>
        <v>0</v>
      </c>
      <c r="C7" s="2508" t="str">
        <f>IF(B7=H14,结果表!H110,ROUND(B7*10000/$B$1,0))</f>
        <v>——</v>
      </c>
      <c r="D7" s="2508" t="e">
        <f>ROUND(B7*10000/$B$2,0)</f>
        <v>#DIV/0!</v>
      </c>
      <c r="E7" s="2682"/>
      <c r="F7" s="2683"/>
      <c r="G7" s="2683"/>
      <c r="H7" s="2684"/>
      <c r="I7" s="2684"/>
      <c r="J7" s="2684"/>
      <c r="K7" s="2684"/>
    </row>
    <row r="8" spans="1:11">
      <c r="A8" s="2508" t="s">
        <v>587</v>
      </c>
      <c r="B8" s="2508">
        <f>SUM(I14:I23)</f>
        <v>0</v>
      </c>
      <c r="C8" s="2508" t="str">
        <f>IF(B8=I14,结果表!H112,ROUND(B8*10000/$B$1,0))</f>
        <v>——</v>
      </c>
      <c r="D8" s="2508" t="e">
        <f>ROUND(B8*10000/$B$2,0)</f>
        <v>#DIV/0!</v>
      </c>
      <c r="E8" s="2682"/>
      <c r="F8" s="2683"/>
      <c r="G8" s="2683"/>
      <c r="H8" s="2684"/>
      <c r="I8" s="2684"/>
      <c r="J8" s="2684"/>
      <c r="K8" s="2684"/>
    </row>
    <row r="9" spans="1:11">
      <c r="A9" s="2508" t="s">
        <v>655</v>
      </c>
      <c r="B9" s="2516"/>
      <c r="C9" s="2682"/>
      <c r="D9" s="2682"/>
      <c r="E9" s="2682"/>
      <c r="F9" s="2683"/>
      <c r="G9" s="2683"/>
      <c r="H9" s="2684"/>
      <c r="I9" s="2684"/>
      <c r="J9" s="2684"/>
      <c r="K9" s="2684"/>
    </row>
    <row r="10" spans="1:11">
      <c r="A10" s="2508" t="s">
        <v>654</v>
      </c>
      <c r="B10" s="2508">
        <f>IF(E10="",0,ROUND(B1*(E10*365/G10)/10000,0))</f>
        <v>0</v>
      </c>
      <c r="C10" s="2508" t="s">
        <v>3322</v>
      </c>
      <c r="D10" s="2508" t="s">
        <v>3323</v>
      </c>
      <c r="E10" s="3432"/>
      <c r="F10" s="3436" t="s">
        <v>3324</v>
      </c>
      <c r="G10" s="3433"/>
      <c r="H10" s="2684"/>
      <c r="I10" s="2684"/>
      <c r="J10" s="2684"/>
      <c r="K10" s="2684"/>
    </row>
    <row r="11" spans="1:11">
      <c r="A11" s="2508" t="s">
        <v>670</v>
      </c>
      <c r="B11" s="2516"/>
      <c r="C11" s="2682"/>
      <c r="D11" s="2682"/>
      <c r="E11" s="2682"/>
      <c r="F11" s="2683"/>
      <c r="G11" s="2683"/>
      <c r="H11" s="2684"/>
      <c r="I11" s="2684"/>
      <c r="J11" s="2684"/>
      <c r="K11" s="2684"/>
    </row>
    <row r="12" spans="1:11">
      <c r="A12" s="2682"/>
      <c r="B12" s="2682"/>
      <c r="C12" s="2682"/>
      <c r="D12" s="2682"/>
      <c r="E12" s="2682"/>
      <c r="F12" s="2683"/>
      <c r="G12" s="2683"/>
      <c r="H12" s="2684"/>
      <c r="I12" s="2684"/>
      <c r="J12" s="2684"/>
      <c r="K12" s="2684"/>
    </row>
    <row r="13" spans="1:11" ht="27">
      <c r="A13" s="2511" t="s">
        <v>669</v>
      </c>
      <c r="B13" s="2512" t="s">
        <v>666</v>
      </c>
      <c r="C13" s="2512" t="s">
        <v>668</v>
      </c>
      <c r="D13" s="2512" t="s">
        <v>667</v>
      </c>
      <c r="E13" s="2508" t="s">
        <v>659</v>
      </c>
      <c r="F13" s="2508" t="s">
        <v>658</v>
      </c>
      <c r="G13" s="2512" t="s">
        <v>652</v>
      </c>
      <c r="H13" s="2512" t="s">
        <v>663</v>
      </c>
      <c r="I13" s="2512" t="s">
        <v>651</v>
      </c>
      <c r="J13" s="2683"/>
      <c r="K13" s="2684"/>
    </row>
    <row r="14" spans="1:11">
      <c r="A14" s="2513" t="s">
        <v>650</v>
      </c>
      <c r="B14" s="2514">
        <f>'数据-汇总表'!E31</f>
        <v>83656.070000000007</v>
      </c>
      <c r="C14" s="2514"/>
      <c r="D14" s="2514">
        <f ca="1">结果表!G19</f>
        <v>132536</v>
      </c>
      <c r="E14" s="2514">
        <f ca="1">ROUND(D14*10000/B14,0)</f>
        <v>15843</v>
      </c>
      <c r="F14" s="2514" t="e">
        <f ca="1">ROUND(D14*10000/C14,0)</f>
        <v>#DIV/0!</v>
      </c>
      <c r="G14" s="2514">
        <f ca="1">D14</f>
        <v>132536</v>
      </c>
      <c r="H14" s="2514"/>
      <c r="I14" s="2514"/>
      <c r="J14" s="2683"/>
      <c r="K14" s="2684"/>
    </row>
    <row r="15" spans="1:11">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c r="A16" s="2513" t="s">
        <v>648</v>
      </c>
      <c r="B16" s="2515"/>
      <c r="C16" s="2515"/>
      <c r="D16" s="2515"/>
      <c r="E16" s="2514" t="e">
        <f t="shared" si="0"/>
        <v>#DIV/0!</v>
      </c>
      <c r="F16" s="2514" t="e">
        <f t="shared" si="1"/>
        <v>#DIV/0!</v>
      </c>
      <c r="G16" s="1329"/>
      <c r="H16" s="1329"/>
      <c r="I16" s="2515"/>
      <c r="J16" s="2684"/>
      <c r="K16" s="2684"/>
    </row>
    <row r="17" spans="1:11">
      <c r="A17" s="2513" t="s">
        <v>647</v>
      </c>
      <c r="B17" s="2515"/>
      <c r="C17" s="2515"/>
      <c r="D17" s="2515"/>
      <c r="E17" s="2514" t="e">
        <f t="shared" si="0"/>
        <v>#DIV/0!</v>
      </c>
      <c r="F17" s="2514" t="e">
        <f t="shared" si="1"/>
        <v>#DIV/0!</v>
      </c>
      <c r="G17" s="1329"/>
      <c r="H17" s="1329"/>
      <c r="I17" s="2515"/>
      <c r="J17" s="2684"/>
      <c r="K17" s="2684"/>
    </row>
    <row r="18" spans="1:11">
      <c r="A18" s="2513" t="s">
        <v>646</v>
      </c>
      <c r="B18" s="2515"/>
      <c r="C18" s="2515"/>
      <c r="D18" s="2515"/>
      <c r="E18" s="2514" t="e">
        <f t="shared" si="0"/>
        <v>#DIV/0!</v>
      </c>
      <c r="F18" s="2514" t="e">
        <f t="shared" si="1"/>
        <v>#DIV/0!</v>
      </c>
      <c r="G18" s="2515"/>
      <c r="H18" s="2515"/>
      <c r="I18" s="2515"/>
      <c r="J18" s="2684"/>
      <c r="K18" s="2684"/>
    </row>
    <row r="19" spans="1:11">
      <c r="A19" s="2513" t="s">
        <v>645</v>
      </c>
      <c r="B19" s="2515"/>
      <c r="C19" s="2515"/>
      <c r="D19" s="2515"/>
      <c r="E19" s="2514" t="e">
        <f t="shared" si="0"/>
        <v>#DIV/0!</v>
      </c>
      <c r="F19" s="2514" t="e">
        <f t="shared" si="1"/>
        <v>#DIV/0!</v>
      </c>
      <c r="G19" s="2515"/>
      <c r="H19" s="2515"/>
      <c r="I19" s="2515"/>
      <c r="J19" s="2684"/>
      <c r="K19" s="2684"/>
    </row>
    <row r="20" spans="1:11">
      <c r="A20" s="2513" t="s">
        <v>644</v>
      </c>
      <c r="B20" s="2515"/>
      <c r="C20" s="2515"/>
      <c r="D20" s="2515"/>
      <c r="E20" s="2514" t="e">
        <f t="shared" si="0"/>
        <v>#DIV/0!</v>
      </c>
      <c r="F20" s="2514" t="e">
        <f t="shared" si="1"/>
        <v>#DIV/0!</v>
      </c>
      <c r="G20" s="2515"/>
      <c r="H20" s="2515"/>
      <c r="I20" s="2515"/>
      <c r="J20" s="2684"/>
      <c r="K20" s="2684"/>
    </row>
    <row r="21" spans="1:11">
      <c r="A21" s="2513" t="s">
        <v>643</v>
      </c>
      <c r="B21" s="2515"/>
      <c r="C21" s="2515"/>
      <c r="D21" s="2515"/>
      <c r="E21" s="2514" t="e">
        <f t="shared" si="0"/>
        <v>#DIV/0!</v>
      </c>
      <c r="F21" s="2514" t="e">
        <f t="shared" si="1"/>
        <v>#DIV/0!</v>
      </c>
      <c r="G21" s="2515"/>
      <c r="H21" s="2515"/>
      <c r="I21" s="2515"/>
      <c r="J21" s="2684"/>
      <c r="K21" s="2684"/>
    </row>
    <row r="22" spans="1:11">
      <c r="A22" s="2513" t="s">
        <v>642</v>
      </c>
      <c r="B22" s="2515"/>
      <c r="C22" s="2515"/>
      <c r="D22" s="2515"/>
      <c r="E22" s="2514" t="e">
        <f t="shared" si="0"/>
        <v>#DIV/0!</v>
      </c>
      <c r="F22" s="2514" t="e">
        <f t="shared" si="1"/>
        <v>#DIV/0!</v>
      </c>
      <c r="G22" s="2515"/>
      <c r="H22" s="2515"/>
      <c r="I22" s="2515"/>
      <c r="J22" s="2684"/>
      <c r="K22" s="2684"/>
    </row>
    <row r="23" spans="1:11">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98" t="str">
        <f>项目基本情况!S2</f>
        <v>北京市房地产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1" t="s">
        <v>1265</v>
      </c>
      <c r="B4" s="1752" t="s">
        <v>1266</v>
      </c>
      <c r="C4" s="1753" t="s">
        <v>3400</v>
      </c>
      <c r="D4" s="1753" t="s">
        <v>3401</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565">
        <v>25</v>
      </c>
      <c r="C5" s="3581"/>
      <c r="D5" s="3601"/>
      <c r="E5" s="131" t="s">
        <v>1269</v>
      </c>
      <c r="F5" s="1754"/>
      <c r="G5" s="1754"/>
      <c r="H5" s="1754"/>
      <c r="I5" s="1370"/>
    </row>
    <row r="6" spans="1:12" ht="12.75">
      <c r="A6" s="3578"/>
      <c r="B6" s="3565"/>
      <c r="C6" s="3582"/>
      <c r="D6" s="3601"/>
      <c r="E6" s="131" t="s">
        <v>1270</v>
      </c>
      <c r="F6" s="1754"/>
      <c r="G6" s="1754"/>
      <c r="H6" s="1754"/>
      <c r="I6" s="1370"/>
    </row>
    <row r="7" spans="1:12" ht="12.75">
      <c r="A7" s="3578"/>
      <c r="B7" s="3565"/>
      <c r="C7" s="3583"/>
      <c r="D7" s="3601"/>
      <c r="E7" s="131" t="s">
        <v>1271</v>
      </c>
      <c r="F7" s="1754"/>
      <c r="G7" s="1754"/>
      <c r="H7" s="1754"/>
      <c r="I7" s="1370"/>
    </row>
    <row r="8" spans="1:12" ht="12.75">
      <c r="A8" s="3578" t="s">
        <v>1272</v>
      </c>
      <c r="B8" s="3565">
        <v>15</v>
      </c>
      <c r="C8" s="3581"/>
      <c r="D8" s="3601"/>
      <c r="E8" s="131" t="s">
        <v>1273</v>
      </c>
      <c r="F8" s="1754"/>
      <c r="G8" s="1754"/>
      <c r="H8" s="1754"/>
      <c r="I8" s="1370"/>
    </row>
    <row r="9" spans="1:12" ht="12.75">
      <c r="A9" s="3578"/>
      <c r="B9" s="3565"/>
      <c r="C9" s="3583"/>
      <c r="D9" s="3601"/>
      <c r="E9" s="131" t="s">
        <v>1274</v>
      </c>
      <c r="F9" s="1754"/>
      <c r="G9" s="1754"/>
      <c r="H9" s="1754"/>
      <c r="I9" s="1370"/>
    </row>
    <row r="10" spans="1:12" ht="12.75">
      <c r="A10" s="3578" t="s">
        <v>1275</v>
      </c>
      <c r="B10" s="3565">
        <v>15</v>
      </c>
      <c r="C10" s="3581"/>
      <c r="D10" s="3601"/>
      <c r="E10" s="131" t="s">
        <v>1276</v>
      </c>
      <c r="F10" s="1754"/>
      <c r="G10" s="1754"/>
      <c r="H10" s="1754"/>
      <c r="I10" s="1370"/>
    </row>
    <row r="11" spans="1:12" ht="12.75">
      <c r="A11" s="3578"/>
      <c r="B11" s="3565"/>
      <c r="C11" s="3583"/>
      <c r="D11" s="3601"/>
      <c r="E11" s="131" t="s">
        <v>1277</v>
      </c>
      <c r="F11" s="1754"/>
      <c r="G11" s="1754"/>
      <c r="H11" s="1754"/>
      <c r="I11" s="1370"/>
    </row>
    <row r="12" spans="1:12" ht="12.75">
      <c r="A12" s="3578" t="s">
        <v>1278</v>
      </c>
      <c r="B12" s="3565">
        <v>15</v>
      </c>
      <c r="C12" s="3581"/>
      <c r="D12" s="3601"/>
      <c r="E12" s="131" t="s">
        <v>1279</v>
      </c>
      <c r="F12" s="1754"/>
      <c r="G12" s="1754"/>
      <c r="H12" s="1754"/>
      <c r="I12" s="1370"/>
    </row>
    <row r="13" spans="1:12" ht="12.75">
      <c r="A13" s="3578"/>
      <c r="B13" s="3565"/>
      <c r="C13" s="3583"/>
      <c r="D13" s="3601"/>
      <c r="E13" s="131" t="s">
        <v>1280</v>
      </c>
      <c r="F13" s="1754"/>
      <c r="G13" s="1754"/>
      <c r="H13" s="1754"/>
      <c r="I13" s="1370"/>
    </row>
    <row r="14" spans="1:12" ht="12.75">
      <c r="A14" s="3578" t="s">
        <v>1281</v>
      </c>
      <c r="B14" s="3565">
        <v>30</v>
      </c>
      <c r="C14" s="3581">
        <v>4</v>
      </c>
      <c r="D14" s="3601">
        <v>6</v>
      </c>
      <c r="E14" s="131" t="s">
        <v>1282</v>
      </c>
      <c r="F14" s="1754"/>
      <c r="G14" s="1754"/>
      <c r="H14" s="1754"/>
      <c r="I14" s="1370"/>
    </row>
    <row r="15" spans="1:12" ht="12.75">
      <c r="A15" s="3578"/>
      <c r="B15" s="3565"/>
      <c r="C15" s="3582"/>
      <c r="D15" s="3601"/>
      <c r="E15" s="131" t="s">
        <v>1283</v>
      </c>
      <c r="F15" s="1754"/>
      <c r="G15" s="1754"/>
      <c r="H15" s="1754"/>
      <c r="I15" s="1370"/>
    </row>
    <row r="16" spans="1:12" ht="12.75">
      <c r="A16" s="3578"/>
      <c r="B16" s="3565"/>
      <c r="C16" s="3583"/>
      <c r="D16" s="3601"/>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588" t="s">
        <v>2130</v>
      </c>
      <c r="F18" s="3589"/>
      <c r="G18" s="3589"/>
      <c r="H18" s="3589"/>
      <c r="I18" s="3589"/>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176152</v>
      </c>
      <c r="D19" s="135">
        <f ca="1">SUMIF(INDIRECT("'"&amp;D4&amp;"'"&amp;"!A:A"),结果表!B19,INDIRECT("'"&amp;D4&amp;"'"&amp;"!B:B"))</f>
        <v>103458</v>
      </c>
      <c r="E19" s="1758" t="s">
        <v>1292</v>
      </c>
      <c r="F19" s="1759" t="s">
        <v>1291</v>
      </c>
      <c r="G19" s="136">
        <f ca="1">ROUND(C19*$C$18+D19*$D$18,0)</f>
        <v>132536</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21057</v>
      </c>
      <c r="D20" s="138">
        <f ca="1">SUMIF(INDIRECT("'"&amp;D4&amp;"'"&amp;"!A:A"),结果表!B20,INDIRECT("'"&amp;D4&amp;"'"&amp;"!B:B"))</f>
        <v>12367</v>
      </c>
      <c r="E20" s="1761"/>
      <c r="F20" s="1025" t="s">
        <v>1295</v>
      </c>
      <c r="G20" s="139">
        <f ca="1">ROUND(C20*$C$18+D20*$D$18,0)</f>
        <v>15843</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0.70264261826055008</v>
      </c>
      <c r="E22" s="129"/>
      <c r="F22" s="129"/>
      <c r="G22" s="129"/>
      <c r="H22" s="129"/>
      <c r="I22" s="129"/>
    </row>
    <row r="23" spans="1:36" ht="13.5" thickBot="1">
      <c r="A23" s="1744"/>
      <c r="B23" s="1744"/>
      <c r="C23" s="1744"/>
      <c r="D23" s="1744"/>
      <c r="E23" s="129"/>
      <c r="F23" s="129"/>
      <c r="G23" s="129"/>
      <c r="H23" s="129"/>
      <c r="I23" s="129"/>
    </row>
    <row r="24" spans="1:36" ht="14.25">
      <c r="A24" s="3572" t="s">
        <v>1299</v>
      </c>
      <c r="B24" s="1759" t="s">
        <v>1291</v>
      </c>
      <c r="C24" s="136">
        <f>IF(B30=0,0,D30)</f>
        <v>0</v>
      </c>
      <c r="D24" s="1766"/>
      <c r="E24" s="129"/>
      <c r="F24" s="129"/>
      <c r="G24" s="129"/>
      <c r="H24" s="129"/>
      <c r="I24" s="129"/>
    </row>
    <row r="25" spans="1:36" ht="14.25">
      <c r="A25" s="3573"/>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2.1029645968061708</v>
      </c>
      <c r="D27" s="143">
        <f ca="1">ROUND(C27*B27/10000,0)</f>
        <v>0</v>
      </c>
      <c r="E27" s="129"/>
      <c r="F27" s="129"/>
      <c r="G27" s="129"/>
      <c r="H27" s="129"/>
      <c r="I27" s="129"/>
    </row>
    <row r="28" spans="1:36" ht="14.25">
      <c r="A28" s="1768"/>
      <c r="B28" s="142"/>
      <c r="C28" s="142">
        <f ca="1">G19/'数据-基础表'!I13</f>
        <v>2.5891707507473831</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132536</v>
      </c>
      <c r="D32" s="1772" t="s">
        <v>3402</v>
      </c>
      <c r="E32" s="129"/>
      <c r="F32" s="129"/>
      <c r="G32" s="129"/>
      <c r="H32" s="129"/>
      <c r="I32" s="129"/>
    </row>
    <row r="33" spans="1:15" ht="15">
      <c r="A33" s="785" t="s">
        <v>1306</v>
      </c>
      <c r="B33" s="1773"/>
      <c r="C33" s="1774" t="s">
        <v>3403</v>
      </c>
      <c r="D33" s="1775" t="s">
        <v>3400</v>
      </c>
      <c r="E33" s="1776" t="s">
        <v>1307</v>
      </c>
      <c r="F33" s="1777" t="str">
        <f>IF(D32="楼面单价","取值（单价）","取值（总价）")</f>
        <v>取值（总价）</v>
      </c>
      <c r="G33" s="129"/>
      <c r="H33" s="129"/>
      <c r="I33" s="129"/>
    </row>
    <row r="34" spans="1:15" ht="15">
      <c r="A34" s="1778"/>
      <c r="B34" s="1779" t="s">
        <v>1308</v>
      </c>
      <c r="C34" s="148">
        <f ca="1">IF(C33="自定义",F34,C32-C35)</f>
        <v>100595</v>
      </c>
      <c r="D34" s="860">
        <f ca="1">IF(C33="自定义",ROUND(C34/C32,3),IF(C33="收益比率",SUMIF(INDIRECT("'"&amp;D33&amp;"'"&amp;"!b:b"),"土地收益比率",INDIRECT("'"&amp;D33&amp;"'"&amp;"!c:c")),SUMIF(INDIRECT("'"&amp;D33&amp;"'"&amp;"!b:b"),"土地成本比率",INDIRECT("'"&amp;D33&amp;"'"&amp;"!c:c"))))</f>
        <v>0.75900000000000001</v>
      </c>
      <c r="E34" s="1780" t="s">
        <v>1309</v>
      </c>
      <c r="F34" s="1328"/>
      <c r="G34" s="129"/>
      <c r="H34" s="129"/>
      <c r="I34" s="129"/>
    </row>
    <row r="35" spans="1:15" ht="15.75" thickBot="1">
      <c r="A35" s="1781"/>
      <c r="B35" s="1782" t="s">
        <v>1310</v>
      </c>
      <c r="C35" s="1169">
        <f ca="1">IF(C33="自定义",F35,ROUND(C32*D35,0))</f>
        <v>31941</v>
      </c>
      <c r="D35" s="1170">
        <f ca="1">IF(C33="自定义",ROUND(C35/C32,3),IF(C33="收益比率",SUMIF(INDIRECT("'"&amp;D33&amp;"'"&amp;"!b:b"),"建筑物收益比率",INDIRECT("'"&amp;D33&amp;"'"&amp;"!c:c")),SUMIF(INDIRECT("'"&amp;D33&amp;"'"&amp;"!b:b"),"建筑物成本比率",INDIRECT("'"&amp;D33&amp;"'"&amp;"!c:c"))))</f>
        <v>0.24099999999999999</v>
      </c>
      <c r="E35" s="1783" t="s">
        <v>1311</v>
      </c>
      <c r="F35" s="154"/>
      <c r="G35" s="129"/>
      <c r="H35" s="129"/>
      <c r="I35" s="129"/>
    </row>
    <row r="36" spans="1:15" ht="15.75" thickBot="1">
      <c r="A36" s="3592" t="s">
        <v>1312</v>
      </c>
      <c r="B36" s="1784" t="s">
        <v>1313</v>
      </c>
      <c r="C36" s="145"/>
      <c r="D36" s="1785"/>
      <c r="E36" s="1786"/>
      <c r="F36" s="1787"/>
      <c r="G36" s="129"/>
      <c r="H36" s="129"/>
      <c r="I36" s="129"/>
    </row>
    <row r="37" spans="1:15" ht="15.75" thickBot="1">
      <c r="A37" s="3593"/>
      <c r="B37" s="1671" t="s">
        <v>1314</v>
      </c>
      <c r="C37" s="147"/>
      <c r="D37" s="1138"/>
      <c r="E37" s="1138"/>
      <c r="F37" s="1787"/>
      <c r="G37" s="129"/>
      <c r="H37" s="129"/>
      <c r="I37" s="129"/>
    </row>
    <row r="38" spans="1:15" ht="15.75" thickBot="1">
      <c r="A38" s="3594"/>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69" t="s">
        <v>1326</v>
      </c>
      <c r="B45" s="3570"/>
      <c r="C45" s="3571"/>
      <c r="D45" s="155">
        <f ca="1">ROUND(H101*F45,0)</f>
        <v>132536</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3"/>
      <c r="I46" s="159"/>
      <c r="J46" s="2519">
        <v>1</v>
      </c>
      <c r="K46" s="3628" t="s">
        <v>1331</v>
      </c>
      <c r="L46" s="3628"/>
      <c r="M46" s="3648"/>
      <c r="N46" s="3648"/>
      <c r="O46" s="3648"/>
    </row>
    <row r="47" spans="1:15" ht="12" customHeight="1">
      <c r="A47" s="160" t="s">
        <v>1332</v>
      </c>
      <c r="B47" s="161"/>
      <c r="C47" s="162"/>
      <c r="D47" s="1086" t="s">
        <v>1333</v>
      </c>
      <c r="E47" s="302" t="s">
        <v>1334</v>
      </c>
      <c r="F47" s="163" t="s">
        <v>1335</v>
      </c>
      <c r="G47" s="2542" t="s">
        <v>1336</v>
      </c>
      <c r="H47" s="2543"/>
      <c r="I47" s="159"/>
      <c r="J47" s="2519">
        <v>2</v>
      </c>
      <c r="K47" s="3628" t="s">
        <v>1337</v>
      </c>
      <c r="L47" s="3628"/>
      <c r="M47" s="3649">
        <f>'数据-取费表'!B2</f>
        <v>45159</v>
      </c>
      <c r="N47" s="3649"/>
      <c r="O47" s="3649"/>
    </row>
    <row r="48" spans="1:15" ht="25.5">
      <c r="A48" s="3597" t="s">
        <v>1338</v>
      </c>
      <c r="B48" s="3580"/>
      <c r="C48" s="3580"/>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628" t="s">
        <v>1340</v>
      </c>
      <c r="L48" s="3628"/>
      <c r="M48" s="3650">
        <f ca="1">H101</f>
        <v>132536</v>
      </c>
      <c r="N48" s="3650"/>
      <c r="O48" s="3650"/>
    </row>
    <row r="49" spans="1:35" ht="25.5" customHeight="1">
      <c r="A49" s="2329" t="s">
        <v>1341</v>
      </c>
      <c r="B49" s="3564" t="s">
        <v>1342</v>
      </c>
      <c r="C49" s="3564"/>
      <c r="D49" s="1587">
        <v>0</v>
      </c>
      <c r="E49" s="324" t="s">
        <v>1343</v>
      </c>
      <c r="F49" s="2420" t="s">
        <v>28</v>
      </c>
      <c r="G49" s="3634"/>
      <c r="H49" s="2306" t="s">
        <v>2133</v>
      </c>
      <c r="I49" s="2307"/>
      <c r="J49" s="2519">
        <v>4</v>
      </c>
      <c r="K49" s="3628" t="str">
        <f>IF(项目基本情况!E8="房地产抵押价值","房地产抵押价值","抵押担保权已注销时的房地产抵押价值")</f>
        <v>房地产抵押价值</v>
      </c>
      <c r="L49" s="3628"/>
      <c r="M49" s="3650">
        <f ca="1">IF(项目基本情况!E8="房地产抵押价值",H107,H109)</f>
        <v>132536</v>
      </c>
      <c r="N49" s="3650"/>
      <c r="O49" s="3650"/>
    </row>
    <row r="50" spans="1:35" ht="25.5" customHeight="1">
      <c r="A50" s="2547"/>
      <c r="B50" s="3564" t="s">
        <v>1344</v>
      </c>
      <c r="C50" s="3564"/>
      <c r="D50" s="2548"/>
      <c r="E50" s="332"/>
      <c r="F50" s="2420"/>
      <c r="G50" s="3635"/>
      <c r="H50" s="2308" t="s">
        <v>2134</v>
      </c>
      <c r="I50" s="2307"/>
      <c r="J50" s="3647" t="s">
        <v>1345</v>
      </c>
      <c r="K50" s="3647"/>
      <c r="L50" s="3647"/>
      <c r="M50" s="3647"/>
      <c r="N50" s="3647"/>
      <c r="O50" s="3647"/>
    </row>
    <row r="51" spans="1:35" ht="20.45" customHeight="1">
      <c r="A51" s="2549"/>
      <c r="B51" s="3564" t="s">
        <v>1346</v>
      </c>
      <c r="C51" s="3564"/>
      <c r="D51" s="1086"/>
      <c r="E51" s="327"/>
      <c r="F51" s="2420"/>
      <c r="G51" s="3636"/>
      <c r="H51" s="2308" t="s">
        <v>2135</v>
      </c>
      <c r="I51" s="2307"/>
      <c r="J51" s="2520" t="s">
        <v>1347</v>
      </c>
      <c r="K51" s="3628" t="s">
        <v>1348</v>
      </c>
      <c r="L51" s="3628"/>
      <c r="M51" s="2520" t="s">
        <v>1349</v>
      </c>
      <c r="N51" s="2520" t="s">
        <v>1350</v>
      </c>
      <c r="O51" s="2520" t="s">
        <v>1351</v>
      </c>
    </row>
    <row r="52" spans="1:35" ht="24" customHeight="1">
      <c r="A52" s="2331" t="s">
        <v>1352</v>
      </c>
      <c r="B52" s="3564" t="s">
        <v>1353</v>
      </c>
      <c r="C52" s="3564"/>
      <c r="D52" s="1086">
        <f ca="1">ROUND(D45*'数据-取费表'!B41/(1+'数据-取费表'!C42),0)</f>
        <v>6942</v>
      </c>
      <c r="E52" s="2330" t="s">
        <v>1354</v>
      </c>
      <c r="F52" s="2550">
        <f>'数据-取费表'!B41</f>
        <v>5.5000000000000007E-2</v>
      </c>
      <c r="G52" s="2551"/>
      <c r="H52" s="2540"/>
      <c r="I52" s="1804"/>
      <c r="J52" s="2519">
        <v>1</v>
      </c>
      <c r="K52" s="3629" t="s">
        <v>1355</v>
      </c>
      <c r="L52" s="3629"/>
      <c r="M52" s="2521" t="b">
        <f>D48</f>
        <v>0</v>
      </c>
      <c r="N52" s="2519" t="str">
        <f>E48</f>
        <v>销售额×税（费）率</v>
      </c>
      <c r="O52" s="2522">
        <f>F48</f>
        <v>5.5000000000000007E-2</v>
      </c>
    </row>
    <row r="53" spans="1:35" ht="12" customHeight="1">
      <c r="A53" s="2331" t="s">
        <v>1356</v>
      </c>
      <c r="B53" s="3590" t="s">
        <v>2290</v>
      </c>
      <c r="C53" s="3591"/>
      <c r="D53" s="1086">
        <f ca="1">ROUND(D45*'数据-取费表'!B41/(1+'数据-取费表'!C42),0)</f>
        <v>6942</v>
      </c>
      <c r="E53" s="2330" t="s">
        <v>1354</v>
      </c>
      <c r="F53" s="2550">
        <f>'数据-取费表'!B41</f>
        <v>5.5000000000000007E-2</v>
      </c>
      <c r="G53" s="2551"/>
      <c r="H53" s="2540"/>
      <c r="I53" s="1804"/>
      <c r="J53" s="2519">
        <v>2</v>
      </c>
      <c r="K53" s="3629" t="s">
        <v>1357</v>
      </c>
      <c r="L53" s="3629"/>
      <c r="M53" s="2521">
        <f t="shared" ref="M53:O54" ca="1" si="0">D55</f>
        <v>66</v>
      </c>
      <c r="N53" s="2519" t="str">
        <f t="shared" si="0"/>
        <v>销售额×税（费）率</v>
      </c>
      <c r="O53" s="2522" t="str">
        <f t="shared" si="0"/>
        <v>免征</v>
      </c>
    </row>
    <row r="54" spans="1:35" ht="12" customHeight="1">
      <c r="A54" s="2331" t="s">
        <v>1358</v>
      </c>
      <c r="B54" s="3590" t="s">
        <v>2291</v>
      </c>
      <c r="C54" s="3591"/>
      <c r="D54" s="1086">
        <f ca="1">C68</f>
        <v>6942</v>
      </c>
      <c r="E54" s="327" t="s">
        <v>1359</v>
      </c>
      <c r="F54" s="2550">
        <f>'数据-取费表'!B41</f>
        <v>5.5000000000000007E-2</v>
      </c>
      <c r="G54" s="2551"/>
      <c r="H54" s="2552"/>
      <c r="I54" s="1804"/>
      <c r="J54" s="2519">
        <v>3</v>
      </c>
      <c r="K54" s="3629" t="s">
        <v>1360</v>
      </c>
      <c r="L54" s="3629"/>
      <c r="M54" s="2521">
        <f t="shared" ca="1" si="0"/>
        <v>75136</v>
      </c>
      <c r="N54" s="2519" t="str">
        <f t="shared" si="0"/>
        <v>增值额×税（费）率</v>
      </c>
      <c r="O54" s="2523" t="str">
        <f t="shared" si="0"/>
        <v>免征</v>
      </c>
    </row>
    <row r="55" spans="1:35" ht="24" customHeight="1">
      <c r="A55" s="3579" t="s">
        <v>1361</v>
      </c>
      <c r="B55" s="3580"/>
      <c r="C55" s="3580"/>
      <c r="D55" s="2320">
        <f ca="1">IF(H55="个人住宅",0,ROUND(D45*I55,0))</f>
        <v>66</v>
      </c>
      <c r="E55" s="2330" t="s">
        <v>1362</v>
      </c>
      <c r="F55" s="2550" t="str">
        <f>IF(H55="正常",I55,"免征")</f>
        <v>免征</v>
      </c>
      <c r="G55" s="2551"/>
      <c r="H55" s="2546"/>
      <c r="I55" s="165">
        <f>'数据-取费表'!B49</f>
        <v>5.0000000000000001E-4</v>
      </c>
      <c r="J55" s="2519">
        <f>IF(H59="非个人房产","",4)</f>
        <v>4</v>
      </c>
      <c r="K55" s="3629" t="str">
        <f>IF(H59="非个人房产","——","个人所得税")</f>
        <v>个人所得税</v>
      </c>
      <c r="L55" s="3629"/>
      <c r="M55" s="2524">
        <f ca="1">D59</f>
        <v>1262</v>
      </c>
      <c r="N55" s="2037" t="str">
        <f>E59</f>
        <v>差额计税</v>
      </c>
      <c r="O55" s="2525">
        <f>F59</f>
        <v>0.01</v>
      </c>
    </row>
    <row r="56" spans="1:35" ht="24.75">
      <c r="A56" s="3579" t="s">
        <v>1363</v>
      </c>
      <c r="B56" s="3580"/>
      <c r="C56" s="3580"/>
      <c r="D56" s="2320">
        <f ca="1">IF(H56="个人住宅",D57,D58)</f>
        <v>75136</v>
      </c>
      <c r="E56" s="2330" t="s">
        <v>1364</v>
      </c>
      <c r="F56" s="2550" t="str">
        <f>IF(H56="正常",F58,"免征")</f>
        <v>免征</v>
      </c>
      <c r="G56" s="2553" t="s">
        <v>1365</v>
      </c>
      <c r="H56" s="2554"/>
      <c r="I56" s="1805"/>
      <c r="J56" s="2519" t="str">
        <f>IF(项目基本情况!K6="上海银行",IF(J55="",4,J55+1),"")</f>
        <v/>
      </c>
      <c r="K56" s="3652" t="str">
        <f>IF(项目基本情况!K6="上海银行","其他处置费用","")</f>
        <v/>
      </c>
      <c r="L56" s="3653"/>
      <c r="M56" s="2521" t="str">
        <f>IF(项目基本情况!K6="上海银行",M69,"")</f>
        <v/>
      </c>
      <c r="N56" s="3652" t="str">
        <f>IF(项目基本情况!K6="上海银行","包含处置中涉及的律师、诉讼、拍卖、评估等费用","")</f>
        <v/>
      </c>
      <c r="O56" s="3655"/>
    </row>
    <row r="57" spans="1:35" ht="12.75">
      <c r="A57" s="2331" t="s">
        <v>1341</v>
      </c>
      <c r="B57" s="3590" t="s">
        <v>1366</v>
      </c>
      <c r="C57" s="3591"/>
      <c r="D57" s="1587">
        <v>0</v>
      </c>
      <c r="E57" s="324" t="s">
        <v>1343</v>
      </c>
      <c r="F57" s="302"/>
      <c r="G57" s="2551"/>
      <c r="H57" s="2555"/>
      <c r="I57" s="1805"/>
      <c r="J57" s="3629">
        <f>IF(AND(J55="",J56=""),4,IF(项目基本情况!K6="上海银行",结果表!J56+1,结果表!J55+1))</f>
        <v>5</v>
      </c>
      <c r="K57" s="3629" t="s">
        <v>1367</v>
      </c>
      <c r="L57" s="2526" t="s">
        <v>1368</v>
      </c>
      <c r="M57" s="2527"/>
      <c r="N57" s="2528">
        <f ca="1">SUMIF(M52:M56,"&lt;9e307")</f>
        <v>76464</v>
      </c>
      <c r="O57" s="2529"/>
      <c r="P57" s="2686">
        <f ca="1">N57/M49</f>
        <v>0.57693004164906136</v>
      </c>
    </row>
    <row r="58" spans="1:35" ht="24.75">
      <c r="A58" s="2331" t="s">
        <v>1352</v>
      </c>
      <c r="B58" s="3590" t="s">
        <v>1369</v>
      </c>
      <c r="C58" s="3564"/>
      <c r="D58" s="2320">
        <f ca="1">IF(H58="转让取得",C81,C97)</f>
        <v>75136</v>
      </c>
      <c r="E58" s="2330" t="s">
        <v>1364</v>
      </c>
      <c r="F58" s="302" t="s">
        <v>28</v>
      </c>
      <c r="G58" s="2551"/>
      <c r="H58" s="2554"/>
      <c r="I58" s="1805"/>
      <c r="J58" s="3629"/>
      <c r="K58" s="3629"/>
      <c r="L58" s="2526" t="s">
        <v>1370</v>
      </c>
      <c r="M58" s="2530"/>
      <c r="N58" s="2531" t="str">
        <f ca="1">NUMBERSTRING(INT(N57*10000),2)&amp;"元整"</f>
        <v>柒亿陆仟肆佰陆拾肆万元整</v>
      </c>
      <c r="O58" s="2532"/>
    </row>
    <row r="59" spans="1:35" ht="24.75" thickBot="1">
      <c r="A59" s="3632" t="s">
        <v>1371</v>
      </c>
      <c r="B59" s="3633"/>
      <c r="C59" s="3633"/>
      <c r="D59" s="2556">
        <f ca="1">IF(H59="非个人房产","——",IF(H59="个人住宅（满五唯一有凭证）",0,IF(H59="个人其他（无凭证）",ROUND(D45*F59,0),ROUND(C67*F59,0))))</f>
        <v>1262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30">
        <f>J57+1</f>
        <v>6</v>
      </c>
      <c r="K59" s="3629" t="s">
        <v>1372</v>
      </c>
      <c r="L59" s="2519" t="s">
        <v>1368</v>
      </c>
      <c r="M59" s="2533"/>
      <c r="N59" s="2534">
        <f ca="1">M49-N57</f>
        <v>56072</v>
      </c>
      <c r="O59" s="2535"/>
    </row>
    <row r="60" spans="1:35" ht="12" customHeight="1">
      <c r="A60" s="1806"/>
      <c r="B60" s="1744"/>
      <c r="C60" s="1744"/>
      <c r="D60" s="1744"/>
      <c r="E60" s="1575"/>
      <c r="F60" s="1805"/>
      <c r="G60" s="1805"/>
      <c r="H60" s="1807"/>
      <c r="I60" s="129"/>
      <c r="J60" s="3631"/>
      <c r="K60" s="3629"/>
      <c r="L60" s="2526" t="s">
        <v>1370</v>
      </c>
      <c r="M60" s="2530"/>
      <c r="N60" s="2531" t="str">
        <f ca="1">NUMBERSTRING(INT(N59*10000),2)&amp;"元整"</f>
        <v>伍亿陆仟零柒拾贰万元整</v>
      </c>
      <c r="O60" s="2532"/>
    </row>
    <row r="61" spans="1:35" ht="13.5" thickBot="1">
      <c r="A61" s="3577" t="s">
        <v>1373</v>
      </c>
      <c r="B61" s="3577"/>
      <c r="C61" s="3577"/>
      <c r="D61" s="3577"/>
      <c r="E61" s="3577"/>
      <c r="F61" s="1805"/>
      <c r="G61" s="1805"/>
      <c r="H61" s="1807"/>
      <c r="I61" s="129"/>
      <c r="J61" s="2519">
        <f>J59+1</f>
        <v>7</v>
      </c>
      <c r="K61" s="3629" t="s">
        <v>1374</v>
      </c>
      <c r="L61" s="3629"/>
      <c r="M61" s="2536"/>
      <c r="N61" s="2537">
        <f ca="1">ROUND(N59*10000/'数据-汇总表'!E3,0)</f>
        <v>6703</v>
      </c>
      <c r="O61" s="2538"/>
    </row>
    <row r="62" spans="1:35" ht="12.75">
      <c r="A62" s="3595" t="s">
        <v>1375</v>
      </c>
      <c r="B62" s="3596"/>
      <c r="C62" s="2018"/>
      <c r="D62" s="2018" t="s">
        <v>1376</v>
      </c>
      <c r="E62" s="166" t="s">
        <v>1377</v>
      </c>
      <c r="F62" s="1805"/>
      <c r="G62" s="1805"/>
      <c r="H62" s="1807"/>
      <c r="I62" s="129"/>
    </row>
    <row r="63" spans="1:35" ht="12.75">
      <c r="A63" s="173" t="s">
        <v>330</v>
      </c>
      <c r="B63" s="167" t="s">
        <v>1378</v>
      </c>
      <c r="C63" s="2560">
        <f ca="1">ROUND((C64+C65)/(1+'数据-取费表'!C42),0)</f>
        <v>126225</v>
      </c>
      <c r="D63" s="167"/>
      <c r="E63" s="168"/>
      <c r="F63" s="1805"/>
      <c r="G63" s="1805"/>
      <c r="H63" s="1807"/>
      <c r="I63" s="129"/>
      <c r="J63" s="3654" t="s">
        <v>1379</v>
      </c>
      <c r="K63" s="1330" t="s">
        <v>1380</v>
      </c>
      <c r="L63" s="1330">
        <f ca="1">IF(M49&gt;10000,M49*0.5%,IF(AND(M49&gt;1000,M49&lt;=10000),M49*1%,IF(AND(M49&gt;100,M49&lt;=1000),M49*3%,IF(AND(M49&gt;10,M49&lt;=100),M49*5%,M49*8%))))</f>
        <v>662.68000000000006</v>
      </c>
      <c r="M63" s="302">
        <f ca="1">ROUND(L63,1)</f>
        <v>662.7</v>
      </c>
      <c r="N63" s="2539"/>
      <c r="Z63" s="1749"/>
      <c r="AI63" s="1750"/>
    </row>
    <row r="64" spans="1:35" ht="14.25" customHeight="1">
      <c r="A64" s="169" t="s">
        <v>325</v>
      </c>
      <c r="B64" s="170" t="s">
        <v>1381</v>
      </c>
      <c r="C64" s="2561">
        <f ca="1">D45</f>
        <v>132536</v>
      </c>
      <c r="D64" s="170" t="s">
        <v>26</v>
      </c>
      <c r="E64" s="172"/>
      <c r="F64" s="1805"/>
      <c r="G64" s="1805"/>
      <c r="H64" s="1807"/>
      <c r="I64" s="129"/>
      <c r="J64" s="3654"/>
      <c r="K64" s="1330" t="s">
        <v>1382</v>
      </c>
      <c r="L64" s="1330">
        <f ca="1">IF(M49&gt;2000,M49*0.5%,IF(AND(M49&gt;1000,M49&lt;=2000),M49*0.6%,IF(AND(M49&gt;500,M49&lt;=1000),M49*0.7%,IF(AND(M49&gt;200,M49&lt;=500),M49*0.8%,IF(AND(M49&gt;100,M49&lt;=200),M49*0.9%,IF(AND(M49&gt;50,M49&lt;=100),M49*1%,IF(AND(M49&gt;20,M49&lt;=50),M49*1.5%,IF(AND(M49&gt;10,M49&lt;=20),M49*2%,IF(AND(M49&gt;1,M49&lt;=10),M49*2.5%)))))))))</f>
        <v>662.68000000000006</v>
      </c>
      <c r="M64" s="302">
        <f t="shared" ref="M64:M65" ca="1" si="1">ROUND(L64,1)</f>
        <v>662.7</v>
      </c>
      <c r="N64" s="2540" t="s">
        <v>1383</v>
      </c>
      <c r="Z64" s="1749"/>
      <c r="AI64" s="1750"/>
    </row>
    <row r="65" spans="1:35" ht="14.25" customHeight="1">
      <c r="A65" s="169" t="s">
        <v>326</v>
      </c>
      <c r="B65" s="170" t="s">
        <v>1384</v>
      </c>
      <c r="C65" s="2562"/>
      <c r="D65" s="170"/>
      <c r="E65" s="172"/>
      <c r="F65" s="1805"/>
      <c r="G65" s="1805"/>
      <c r="H65" s="1807"/>
      <c r="I65" s="129"/>
      <c r="J65" s="3654"/>
      <c r="K65" s="1330" t="s">
        <v>1385</v>
      </c>
      <c r="L65" s="1330">
        <f ca="1">IF(M49&gt;1000,M49*0.1%,IF(AND(M49&gt;500,M49&lt;=1000),M49*0.5%,IF(AND(M49&gt;50,M49&lt;=500),M49*1%,IF(AND(M49&gt;1,M49&lt;=50),M49*1.5%))))</f>
        <v>132.536</v>
      </c>
      <c r="M65" s="302">
        <f t="shared" ca="1" si="1"/>
        <v>132.5</v>
      </c>
      <c r="N65" s="2540" t="s">
        <v>1383</v>
      </c>
      <c r="Z65" s="1749"/>
      <c r="AI65" s="1750"/>
    </row>
    <row r="66" spans="1:35" ht="14.25" customHeight="1">
      <c r="A66" s="173" t="s">
        <v>327</v>
      </c>
      <c r="B66" s="174" t="s">
        <v>1386</v>
      </c>
      <c r="C66" s="2563"/>
      <c r="D66" s="174" t="s">
        <v>26</v>
      </c>
      <c r="E66" s="1336" t="s">
        <v>671</v>
      </c>
      <c r="F66" s="1805"/>
      <c r="G66" s="1805"/>
      <c r="H66" s="1807"/>
      <c r="I66" s="129"/>
      <c r="J66" s="3654"/>
      <c r="K66" s="1330" t="s">
        <v>1387</v>
      </c>
      <c r="L66" s="1330">
        <f ca="1">M49*0.5%</f>
        <v>662.68000000000006</v>
      </c>
      <c r="M66" s="302">
        <f ca="1">IF(L66&gt;0.5,0.5,ROUND(L66,0))</f>
        <v>0.5</v>
      </c>
      <c r="N66" s="2540" t="s">
        <v>1388</v>
      </c>
      <c r="Z66" s="1749"/>
      <c r="AI66" s="1750"/>
    </row>
    <row r="67" spans="1:35" ht="14.25" customHeight="1">
      <c r="A67" s="173" t="s">
        <v>328</v>
      </c>
      <c r="B67" s="174" t="s">
        <v>1389</v>
      </c>
      <c r="C67" s="2564">
        <f ca="1">C63-C66</f>
        <v>126225</v>
      </c>
      <c r="D67" s="170" t="s">
        <v>26</v>
      </c>
      <c r="E67" s="172"/>
      <c r="F67" s="1805"/>
      <c r="G67" s="1805"/>
      <c r="H67" s="1807"/>
      <c r="I67" s="129"/>
      <c r="J67" s="3654"/>
      <c r="K67" s="1330" t="s">
        <v>1390</v>
      </c>
      <c r="L67" s="1330">
        <f ca="1">IF(M49&gt;=10000,(8.25+(M49-10000)*0.01%),IF(AND(M49&gt;=8000,M49&lt;10000),(7.85+(M49-8000)*0.02%),IF(AND(M49&gt;=5000,M49&lt;8000),(6.65+(M49-5000)*0.04%),IF(AND(M49&gt;=2000,M49&lt;5000),(4.25+(PM49-2000)*0.08%),IF(AND(M49&gt;=1000,M49&lt;2000),(2.75+(M49-1000)*0.15%),IF(AND(M49&gt;=100,M49&lt;1000),(0.5+(M49-100)*0.25%),IF(AND(M49&gt;0,M49&lt;100),M49*0.5%)))))))</f>
        <v>20.503599999999999</v>
      </c>
      <c r="M67" s="302">
        <f ca="1">ROUND(L67*0.9,1)</f>
        <v>18.5</v>
      </c>
      <c r="N67" s="2539"/>
      <c r="Z67" s="1749"/>
      <c r="AI67" s="1750"/>
    </row>
    <row r="68" spans="1:35" ht="14.25" customHeight="1" thickBot="1">
      <c r="A68" s="176" t="s">
        <v>329</v>
      </c>
      <c r="B68" s="177" t="s">
        <v>1391</v>
      </c>
      <c r="C68" s="2565">
        <f ca="1">IF(C67&lt;=0,0,ROUND(C67*D68,0))</f>
        <v>6942</v>
      </c>
      <c r="D68" s="2566">
        <f>'数据-取费表'!B41</f>
        <v>5.5000000000000007E-2</v>
      </c>
      <c r="E68" s="178"/>
      <c r="F68" s="1805"/>
      <c r="G68" s="1805"/>
      <c r="H68" s="1807"/>
      <c r="I68" s="129"/>
      <c r="J68" s="3654"/>
      <c r="K68" s="1330" t="s">
        <v>1392</v>
      </c>
      <c r="L68" s="1330">
        <f ca="1">IF(M49&gt;10000,M49*0.5%,IF(AND(M49&gt;5000,M49&lt;=10000),M49*1%,IF(AND(M49&gt;1000,M49&lt;=5000),M49*2%,IF(AND(M49&gt;200,M49&lt;=1000),M49*3%,M49*5%))))</f>
        <v>662.68000000000006</v>
      </c>
      <c r="M68" s="302">
        <f ca="1">ROUND(L68,1)</f>
        <v>662.7</v>
      </c>
      <c r="N68" s="2539"/>
      <c r="Z68" s="1749"/>
      <c r="AI68" s="1750"/>
    </row>
    <row r="69" spans="1:35" s="1769" customFormat="1" ht="16.5" customHeight="1">
      <c r="A69" s="1808"/>
      <c r="B69" s="1809"/>
      <c r="C69" s="1810"/>
      <c r="D69" s="1811"/>
      <c r="E69" s="1812"/>
      <c r="F69" s="1575"/>
      <c r="G69" s="1575"/>
      <c r="H69" s="1574"/>
      <c r="I69" s="1744"/>
      <c r="J69" s="3654"/>
      <c r="K69" s="1330" t="s">
        <v>1393</v>
      </c>
      <c r="L69" s="1330"/>
      <c r="M69" s="302">
        <f ca="1">ROUND(SUM(M63:M68),0)</f>
        <v>2140</v>
      </c>
      <c r="N69" s="2541">
        <f ca="1">M69/M49</f>
        <v>1.6146556407315747E-2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16" t="s">
        <v>1394</v>
      </c>
      <c r="B70" s="3617"/>
      <c r="C70" s="3617"/>
      <c r="D70" s="3617"/>
      <c r="E70" s="3617"/>
      <c r="F70" s="3617"/>
      <c r="G70" s="3617"/>
      <c r="H70" s="3617"/>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5" t="s">
        <v>1375</v>
      </c>
      <c r="B71" s="3596"/>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126225</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631</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590" t="s">
        <v>1402</v>
      </c>
      <c r="F76" s="3564"/>
      <c r="G76" s="3564"/>
      <c r="H76" s="36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631</v>
      </c>
      <c r="D78" s="2573">
        <f>'数据-取费表'!B43</f>
        <v>5.000000000000001E-3</v>
      </c>
      <c r="E78" s="3574" t="s">
        <v>1406</v>
      </c>
      <c r="F78" s="3575"/>
      <c r="G78" s="3575"/>
      <c r="H78" s="358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125594</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199.03961965134707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75136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6" t="s">
        <v>1410</v>
      </c>
      <c r="B83" s="3617"/>
      <c r="C83" s="3617"/>
      <c r="D83" s="3617"/>
      <c r="E83" s="3617"/>
      <c r="F83" s="3617"/>
      <c r="G83" s="3617"/>
      <c r="H83" s="361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5" t="s">
        <v>1375</v>
      </c>
      <c r="B84" s="359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126225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631</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656" t="s">
        <v>2128</v>
      </c>
      <c r="H90" s="3657"/>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74" t="s">
        <v>1419</v>
      </c>
      <c r="F91" s="3575"/>
      <c r="G91" s="357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74" t="s">
        <v>1422</v>
      </c>
      <c r="F92" s="3575"/>
      <c r="G92" s="3575"/>
      <c r="H92" s="3584"/>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631</v>
      </c>
      <c r="D93" s="2573">
        <f>'数据-取费表'!B43</f>
        <v>5.000000000000001E-3</v>
      </c>
      <c r="E93" s="3574" t="s">
        <v>1406</v>
      </c>
      <c r="F93" s="3575"/>
      <c r="G93" s="3575"/>
      <c r="H93" s="358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585" t="s">
        <v>1426</v>
      </c>
      <c r="F94" s="3586"/>
      <c r="G94" s="3586"/>
      <c r="H94" s="35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125594</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199.03961965134707</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75136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1" t="str">
        <f>C4</f>
        <v>成本法</v>
      </c>
      <c r="D101" s="2582" t="str">
        <f>D4</f>
        <v>收益法（汇总）</v>
      </c>
      <c r="E101" s="3651" t="s">
        <v>1431</v>
      </c>
      <c r="F101" s="3608"/>
      <c r="G101" s="1824" t="s">
        <v>1432</v>
      </c>
      <c r="H101" s="2591">
        <f ca="1">H118</f>
        <v>132536</v>
      </c>
      <c r="I101" s="129"/>
    </row>
    <row r="102" spans="1:35" ht="18.75" customHeight="1">
      <c r="A102" s="3610" t="s">
        <v>1433</v>
      </c>
      <c r="B102" s="2580" t="s">
        <v>1432</v>
      </c>
      <c r="C102" s="2581">
        <f ca="1">IF(D32="楼面单价",ROUND(C19,0),C19)</f>
        <v>176152</v>
      </c>
      <c r="D102" s="2582">
        <f ca="1">IF(D32="楼面单价",ROUND(D19,0),D19)</f>
        <v>103458</v>
      </c>
      <c r="E102" s="3651"/>
      <c r="F102" s="3608"/>
      <c r="G102" s="1824" t="s">
        <v>1434</v>
      </c>
      <c r="H102" s="2551">
        <f ca="1">I118</f>
        <v>15843</v>
      </c>
      <c r="I102" s="129"/>
    </row>
    <row r="103" spans="1:35" ht="42.75" customHeight="1">
      <c r="A103" s="3610"/>
      <c r="B103" s="2580" t="s">
        <v>1434</v>
      </c>
      <c r="C103" s="2583">
        <f ca="1">C20</f>
        <v>21057</v>
      </c>
      <c r="D103" s="2584">
        <f ca="1">D20</f>
        <v>12367</v>
      </c>
      <c r="E103" s="3645" t="s">
        <v>1435</v>
      </c>
      <c r="F103" s="3646"/>
      <c r="G103" s="1825" t="s">
        <v>1436</v>
      </c>
      <c r="H103" s="2591">
        <f>IF(D36="正常操作",H104+H105+H106,H105+H106)</f>
        <v>0</v>
      </c>
      <c r="I103" s="129"/>
    </row>
    <row r="104" spans="1:35" ht="18.75" customHeight="1">
      <c r="A104" s="3610" t="s">
        <v>1437</v>
      </c>
      <c r="B104" s="2585" t="s">
        <v>1432</v>
      </c>
      <c r="C104" s="2586">
        <f ca="1">H118</f>
        <v>132536</v>
      </c>
      <c r="D104" s="2587"/>
      <c r="E104" s="1671" t="s">
        <v>1438</v>
      </c>
      <c r="F104" s="1663"/>
      <c r="G104" s="1825" t="s">
        <v>1436</v>
      </c>
      <c r="H104" s="2592">
        <f>IF(D36="同一抵押权人同一抵押物续贷",C36&amp;"（续贷，未扣减，详见特别提示）",C36)</f>
        <v>0</v>
      </c>
      <c r="I104" s="129"/>
    </row>
    <row r="105" spans="1:35" ht="18.75" customHeight="1" thickBot="1">
      <c r="A105" s="3611"/>
      <c r="B105" s="2588" t="s">
        <v>1434</v>
      </c>
      <c r="C105" s="2589">
        <f ca="1">I118</f>
        <v>15843</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07" t="str">
        <f>IF(项目基本情况!E8="已注销","——","3.房地产抵押价值")</f>
        <v>3.房地产抵押价值</v>
      </c>
      <c r="F107" s="3608"/>
      <c r="G107" s="1824" t="s">
        <v>1432</v>
      </c>
      <c r="H107" s="2591">
        <f ca="1">IF(E107="——","——",H101-H103)</f>
        <v>132536</v>
      </c>
      <c r="I107" s="129"/>
    </row>
    <row r="108" spans="1:35" ht="18.75" customHeight="1">
      <c r="A108" s="129"/>
      <c r="B108" s="129"/>
      <c r="C108" s="129"/>
      <c r="D108" s="129"/>
      <c r="E108" s="3607"/>
      <c r="F108" s="3608"/>
      <c r="G108" s="1824" t="s">
        <v>1434</v>
      </c>
      <c r="H108" s="2551">
        <f ca="1">IF(H107=H101,H102,ROUND(H107*10000/'数据-汇总表'!E3,0))</f>
        <v>15843</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4" t="s">
        <v>1432</v>
      </c>
      <c r="H109" s="2594" t="str">
        <f>IF(E109="——","——",H101-H105-H106)</f>
        <v>——</v>
      </c>
      <c r="I109" s="129"/>
    </row>
    <row r="110" spans="1:35" ht="18.75" customHeight="1">
      <c r="A110" s="129"/>
      <c r="B110" s="129"/>
      <c r="C110" s="129"/>
      <c r="D110" s="129"/>
      <c r="E110" s="3607"/>
      <c r="F110" s="3608"/>
      <c r="G110" s="1824" t="s">
        <v>1434</v>
      </c>
      <c r="H110" s="2551"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4" t="s">
        <v>1432</v>
      </c>
      <c r="H111" s="2591" t="str">
        <f>IF(E111="——","——",N59)</f>
        <v>——</v>
      </c>
      <c r="I111" s="129"/>
    </row>
    <row r="112" spans="1:35" ht="18.75" customHeight="1" thickBot="1">
      <c r="A112" s="129"/>
      <c r="B112" s="129"/>
      <c r="C112" s="129"/>
      <c r="D112" s="129"/>
      <c r="E112" s="3640"/>
      <c r="F112" s="3641"/>
      <c r="G112" s="1827" t="s">
        <v>1434</v>
      </c>
      <c r="H112" s="2595" t="str">
        <f>IF(E111="——","——",N61)</f>
        <v>——</v>
      </c>
      <c r="I112" s="129"/>
    </row>
    <row r="113" spans="1:27" ht="18.75" customHeight="1">
      <c r="A113" s="129"/>
      <c r="B113" s="129"/>
      <c r="C113" s="129"/>
      <c r="D113" s="129"/>
      <c r="E113" s="3612" t="s">
        <v>1440</v>
      </c>
      <c r="F113" s="3612"/>
      <c r="G113" s="3612"/>
      <c r="H113" s="3612"/>
      <c r="I113" s="129"/>
    </row>
    <row r="114" spans="1:27" ht="3.75" customHeight="1">
      <c r="A114" s="1744"/>
      <c r="B114" s="1744"/>
      <c r="C114" s="1744"/>
      <c r="D114" s="1744"/>
      <c r="E114" s="1806"/>
      <c r="F114" s="1806"/>
      <c r="G114" s="1806"/>
      <c r="H114" s="1806"/>
      <c r="I114" s="1744"/>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83656.070000000007</v>
      </c>
      <c r="C118" s="2325">
        <f>M19</f>
        <v>0</v>
      </c>
      <c r="D118" s="2325">
        <f ca="1">ROUND(IF(D32="总价",C34,E118*B118/10000),0)</f>
        <v>100595</v>
      </c>
      <c r="E118" s="2325">
        <f ca="1">ROUND(IF(C33="自定义",IF(D32="楼面单价",C34,D118*10000/B118),I118-G118),0)</f>
        <v>12025</v>
      </c>
      <c r="F118" s="2325">
        <f ca="1">ROUND(IF(D32="总价",C35,G118*B118/10000),0)</f>
        <v>31941</v>
      </c>
      <c r="G118" s="2325">
        <f ca="1">ROUND(IF(D32="楼面单价",C35,F118*10000/B118),0)</f>
        <v>3818</v>
      </c>
      <c r="H118" s="2325">
        <f ca="1">ROUND(IF(D32="总价",C32,I118*B118/10000),0)</f>
        <v>132536</v>
      </c>
      <c r="I118" s="2325">
        <f ca="1">ROUND(IF(D32="楼面单价",C32,H118*10000/B118),0)</f>
        <v>15843</v>
      </c>
    </row>
    <row r="119" spans="1:27" ht="18.75" customHeight="1">
      <c r="A119" s="3578" t="s">
        <v>1452</v>
      </c>
      <c r="B119" s="3578"/>
      <c r="C119" s="3578"/>
      <c r="D119" s="3618" t="str">
        <f ca="1">NUMBERSTRING(INT(D118*10000),2)&amp;"元整"</f>
        <v>壹拾亿零伍佰玖拾伍万元整</v>
      </c>
      <c r="E119" s="3620"/>
      <c r="F119" s="3618" t="str">
        <f ca="1">NUMBERSTRING(INT(F118*10000),2)&amp;"元整"</f>
        <v>叁亿壹仟玖佰肆拾壹万元整</v>
      </c>
      <c r="G119" s="3620"/>
      <c r="H119" s="3618" t="str">
        <f ca="1">NUMBERSTRING(INT(H118*10000),2)&amp;"元整"</f>
        <v>壹拾叁亿贰仟伍佰叁拾陆万元整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132536</v>
      </c>
      <c r="E122" s="3643"/>
      <c r="F122" s="3643"/>
      <c r="G122" s="3643"/>
      <c r="H122" s="3643"/>
      <c r="I122" s="3644"/>
      <c r="AA122" s="725"/>
    </row>
    <row r="123" spans="1:27" ht="18.75" customHeight="1">
      <c r="A123" s="3578" t="s">
        <v>1452</v>
      </c>
      <c r="B123" s="3578"/>
      <c r="C123" s="3578"/>
      <c r="D123" s="3618" t="str">
        <f ca="1">NUMBERSTRING(INT(D122*10000),2)&amp;"元整"</f>
        <v>壹拾叁亿贰仟伍佰叁拾陆万元整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5" t="str">
        <f>项目基本情况!B1</f>
        <v>北京市房地产抵押价值预评估</v>
      </c>
      <c r="C37" s="3475"/>
      <c r="D37" s="3475"/>
      <c r="E37" s="3475"/>
      <c r="F37" s="3475"/>
      <c r="G37" s="3475"/>
      <c r="H37" s="3475"/>
      <c r="I37" s="3475"/>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17" t="s">
        <v>3405</v>
      </c>
      <c r="F1" s="1876" t="s">
        <v>3406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63023.41</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87" t="s">
        <v>1771</v>
      </c>
      <c r="S4" s="3688"/>
      <c r="T4" s="3687" t="s">
        <v>1772</v>
      </c>
      <c r="U4" s="3688"/>
      <c r="V4" s="3672" t="s">
        <v>1773</v>
      </c>
      <c r="W4" s="3672"/>
      <c r="X4" s="1353"/>
      <c r="Y4" s="3687" t="s">
        <v>1775</v>
      </c>
      <c r="Z4" s="3688"/>
      <c r="AA4" s="3674" t="s">
        <v>1771</v>
      </c>
      <c r="AB4" s="3672" t="s">
        <v>1772</v>
      </c>
      <c r="AC4" s="3674" t="s">
        <v>1773</v>
      </c>
    </row>
    <row r="5" spans="1:29" ht="15">
      <c r="A5" s="358"/>
      <c r="B5" s="359"/>
      <c r="C5" s="3695" t="s">
        <v>1673</v>
      </c>
      <c r="D5" s="3696"/>
      <c r="E5" s="3702" t="s">
        <v>1674</v>
      </c>
      <c r="F5" s="3703"/>
      <c r="G5" s="3695" t="s">
        <v>1675</v>
      </c>
      <c r="H5" s="3696"/>
      <c r="I5" s="3695" t="s">
        <v>1676</v>
      </c>
      <c r="J5" s="3696"/>
      <c r="K5" s="559"/>
      <c r="L5" s="2711"/>
      <c r="M5" s="2712"/>
      <c r="N5" s="2712"/>
      <c r="O5" s="2712"/>
      <c r="P5" s="3683"/>
      <c r="Q5" s="3684"/>
      <c r="R5" s="3689"/>
      <c r="S5" s="3690"/>
      <c r="T5" s="3689"/>
      <c r="U5" s="3690"/>
      <c r="V5" s="3672"/>
      <c r="W5" s="3672"/>
      <c r="X5" s="1353"/>
      <c r="Y5" s="3689"/>
      <c r="Z5" s="3690"/>
      <c r="AA5" s="3675"/>
      <c r="AB5" s="3672"/>
      <c r="AC5" s="3675"/>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5"/>
      <c r="Q6" s="3686"/>
      <c r="R6" s="3689"/>
      <c r="S6" s="3690"/>
      <c r="T6" s="3691"/>
      <c r="U6" s="3692"/>
      <c r="V6" s="3672"/>
      <c r="W6" s="3672"/>
      <c r="X6" s="1353"/>
      <c r="Y6" s="3691"/>
      <c r="Z6" s="3692"/>
      <c r="AA6" s="3676"/>
      <c r="AB6" s="3672"/>
      <c r="AC6" s="3676"/>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3407</v>
      </c>
      <c r="D8" s="365">
        <v>100</v>
      </c>
      <c r="E8" s="368"/>
      <c r="F8" s="367">
        <f>SUMIF(61:61,E8,62:62)-SUMIF(61:61,C8,62:62)+100</f>
        <v>0</v>
      </c>
      <c r="G8" s="368"/>
      <c r="H8" s="365">
        <f>SUMIF(61:61,G8,62:62)-SUMIF(61:61,C8,62:62)+100</f>
        <v>0</v>
      </c>
      <c r="I8" s="368"/>
      <c r="J8" s="365">
        <f>SUMIF(61:61,I8,62:62)-SUMIF(61:61,C8,62:62)+100</f>
        <v>0</v>
      </c>
      <c r="K8" s="560"/>
      <c r="L8" s="2713"/>
      <c r="M8" s="2714"/>
      <c r="N8" s="2714"/>
      <c r="O8" s="2714"/>
      <c r="P8" s="3697" t="s">
        <v>1683</v>
      </c>
      <c r="Q8" s="3698"/>
      <c r="R8" s="701" t="s">
        <v>14</v>
      </c>
      <c r="S8" s="702">
        <f t="shared" si="0"/>
        <v>0</v>
      </c>
      <c r="T8" s="701" t="s">
        <v>14</v>
      </c>
      <c r="U8" s="702">
        <f t="shared" si="1"/>
        <v>0</v>
      </c>
      <c r="V8" s="701" t="s">
        <v>14</v>
      </c>
      <c r="W8" s="702">
        <f t="shared" si="2"/>
        <v>0</v>
      </c>
      <c r="X8" s="703"/>
      <c r="Y8" s="3697" t="s">
        <v>1683</v>
      </c>
      <c r="Z8" s="3698"/>
      <c r="AA8" s="704" t="e">
        <f t="shared" ref="AA8:AA46" si="3">D8/F8</f>
        <v>#DIV/0!</v>
      </c>
      <c r="AB8" s="704" t="e">
        <f t="shared" ref="AB8:AB46" si="4">D8/H8</f>
        <v>#DIV/0!</v>
      </c>
      <c r="AC8" s="704" t="e">
        <f t="shared" ref="AC8:AC46" si="5">D8/J8</f>
        <v>#DIV/0!</v>
      </c>
    </row>
    <row r="9" spans="1:29" s="108" customFormat="1" ht="15">
      <c r="A9" s="369" t="s">
        <v>1684</v>
      </c>
      <c r="B9" s="63" t="s">
        <v>1685</v>
      </c>
      <c r="C9" s="3468" t="s">
        <v>3408</v>
      </c>
      <c r="D9" s="126">
        <v>100</v>
      </c>
      <c r="E9" s="371"/>
      <c r="F9" s="372">
        <f>SUMIF(63:63,E9,64:64)-SUMIF(63:63,C9,64:64)+100</f>
        <v>0</v>
      </c>
      <c r="G9" s="371"/>
      <c r="H9" s="126">
        <f>SUMIF(63:63,G9,64:64)-SUMIF(63:63,C9,64:64)+100</f>
        <v>0</v>
      </c>
      <c r="I9" s="371"/>
      <c r="J9" s="126">
        <f>SUMIF(63:63,I9,64:64)-SUMIF(63:63,C9,64:64)+100</f>
        <v>0</v>
      </c>
      <c r="K9" s="560"/>
      <c r="L9" s="2713"/>
      <c r="M9" s="2714"/>
      <c r="N9" s="2714"/>
      <c r="O9" s="2714"/>
      <c r="P9" s="3673" t="s">
        <v>1686</v>
      </c>
      <c r="Q9" s="1341" t="str">
        <f t="shared" ref="Q9:Q15" si="6">B9</f>
        <v>用途</v>
      </c>
      <c r="R9" s="701" t="s">
        <v>14</v>
      </c>
      <c r="S9" s="702">
        <f t="shared" si="0"/>
        <v>0</v>
      </c>
      <c r="T9" s="701" t="s">
        <v>14</v>
      </c>
      <c r="U9" s="702">
        <f t="shared" si="1"/>
        <v>0</v>
      </c>
      <c r="V9" s="701" t="s">
        <v>14</v>
      </c>
      <c r="W9" s="702">
        <f t="shared" si="2"/>
        <v>0</v>
      </c>
      <c r="X9" s="703"/>
      <c r="Y9" s="3565" t="s">
        <v>1687</v>
      </c>
      <c r="Z9" s="52" t="str">
        <f t="shared" ref="Z9:Z15" si="7">Q9</f>
        <v>用途</v>
      </c>
      <c r="AA9" s="704" t="e">
        <f t="shared" si="3"/>
        <v>#DIV/0!</v>
      </c>
      <c r="AB9" s="704" t="e">
        <f t="shared" si="4"/>
        <v>#DIV/0!</v>
      </c>
      <c r="AC9" s="704" t="e">
        <f t="shared" si="5"/>
        <v>#DIV/0!</v>
      </c>
    </row>
    <row r="10" spans="1:29" s="378" customFormat="1" ht="27">
      <c r="A10" s="374"/>
      <c r="B10" s="375" t="s">
        <v>1688</v>
      </c>
      <c r="C10" s="3425">
        <f>项目基本情况!D15</f>
        <v>27.38</v>
      </c>
      <c r="D10" s="127">
        <v>100</v>
      </c>
      <c r="E10" s="3426"/>
      <c r="F10" s="376">
        <f>SUMIF(65:65,E10,66:66)-SUMIF(65:65,C10,66:66)+100</f>
        <v>100</v>
      </c>
      <c r="G10" s="3425"/>
      <c r="H10" s="127">
        <f>SUMIF(65:65,G10,66:66)-SUMIF(65:65,C10,66:66)+100</f>
        <v>100</v>
      </c>
      <c r="I10" s="3425"/>
      <c r="J10" s="127">
        <f>SUMIF(65:65,I10,66:66)-SUMIF(65:65,C10,66:66)+100</f>
        <v>100</v>
      </c>
      <c r="K10" s="560"/>
      <c r="L10" s="2715"/>
      <c r="M10" s="2716"/>
      <c r="N10" s="2716"/>
      <c r="O10" s="2716"/>
      <c r="P10" s="3673"/>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3"/>
      <c r="Q11" s="1341"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3"/>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3"/>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3"/>
      <c r="Q14" s="1341">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718"/>
      <c r="M15" s="2712"/>
      <c r="N15" s="2712"/>
      <c r="O15" s="2712"/>
      <c r="P15" s="3663" t="s">
        <v>1691</v>
      </c>
      <c r="Q15" s="1350" t="str">
        <f t="shared" si="6"/>
        <v>商业繁华度</v>
      </c>
      <c r="R15" s="705" t="s">
        <v>14</v>
      </c>
      <c r="S15" s="706">
        <f t="shared" si="0"/>
        <v>6</v>
      </c>
      <c r="T15" s="705" t="s">
        <v>14</v>
      </c>
      <c r="U15" s="706">
        <f t="shared" si="1"/>
        <v>6</v>
      </c>
      <c r="V15" s="705" t="s">
        <v>14</v>
      </c>
      <c r="W15" s="706">
        <f t="shared" si="2"/>
        <v>6</v>
      </c>
      <c r="X15" s="1353"/>
      <c r="Y15" s="3665" t="s">
        <v>1691</v>
      </c>
      <c r="Z15" s="1354" t="str">
        <f t="shared" si="7"/>
        <v>商业繁华度</v>
      </c>
      <c r="AA15" s="1351">
        <f t="shared" si="3"/>
        <v>16.666666666666668</v>
      </c>
      <c r="AB15" s="1351">
        <f t="shared" si="4"/>
        <v>16.666666666666668</v>
      </c>
      <c r="AC15" s="1351">
        <f t="shared" si="5"/>
        <v>16.666666666666668</v>
      </c>
    </row>
    <row r="16" spans="1:29" ht="15">
      <c r="A16" s="379"/>
      <c r="B16" s="397"/>
      <c r="C16" s="398" t="s">
        <v>3387</v>
      </c>
      <c r="D16" s="399"/>
      <c r="E16" s="398"/>
      <c r="F16" s="400"/>
      <c r="G16" s="398"/>
      <c r="H16" s="401"/>
      <c r="I16" s="398"/>
      <c r="J16" s="399"/>
      <c r="K16" s="564"/>
      <c r="L16" s="2718"/>
      <c r="M16" s="2712"/>
      <c r="N16" s="2712"/>
      <c r="O16" s="2712"/>
      <c r="P16" s="3664"/>
      <c r="Q16" s="1350"/>
      <c r="R16" s="705"/>
      <c r="S16" s="706"/>
      <c r="T16" s="705"/>
      <c r="U16" s="706"/>
      <c r="V16" s="705"/>
      <c r="W16" s="706"/>
      <c r="X16" s="1353"/>
      <c r="Y16" s="3666"/>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718"/>
      <c r="M17" s="2712"/>
      <c r="N17" s="2712"/>
      <c r="O17" s="2712"/>
      <c r="P17" s="3664"/>
      <c r="Q17" s="1350" t="str">
        <f>B17</f>
        <v>交通便捷度</v>
      </c>
      <c r="R17" s="705" t="s">
        <v>14</v>
      </c>
      <c r="S17" s="706">
        <f>F17</f>
        <v>0</v>
      </c>
      <c r="T17" s="705" t="s">
        <v>14</v>
      </c>
      <c r="U17" s="706">
        <f>H17</f>
        <v>0</v>
      </c>
      <c r="V17" s="705" t="s">
        <v>14</v>
      </c>
      <c r="W17" s="706">
        <f>J17</f>
        <v>0</v>
      </c>
      <c r="X17" s="1353"/>
      <c r="Y17" s="3666"/>
      <c r="Z17" s="1354" t="str">
        <f>Q17</f>
        <v>交通便捷度</v>
      </c>
      <c r="AA17" s="1351" t="e">
        <f t="shared" si="3"/>
        <v>#DIV/0!</v>
      </c>
      <c r="AB17" s="1351" t="e">
        <f t="shared" si="4"/>
        <v>#DIV/0!</v>
      </c>
      <c r="AC17" s="1351" t="e">
        <f t="shared" si="5"/>
        <v>#DIV/0!</v>
      </c>
    </row>
    <row r="18" spans="1:29" ht="15">
      <c r="A18" s="379"/>
      <c r="B18" s="407"/>
      <c r="C18" s="1898" t="s">
        <v>3388</v>
      </c>
      <c r="D18" s="401"/>
      <c r="E18" s="1900"/>
      <c r="F18" s="404"/>
      <c r="G18" s="1899"/>
      <c r="H18" s="399"/>
      <c r="I18" s="1900"/>
      <c r="J18" s="399"/>
      <c r="K18" s="564"/>
      <c r="L18" s="2718"/>
      <c r="M18" s="2712"/>
      <c r="N18" s="2712"/>
      <c r="O18" s="2712"/>
      <c r="P18" s="3664"/>
      <c r="Q18" s="1350"/>
      <c r="R18" s="705"/>
      <c r="S18" s="706"/>
      <c r="T18" s="705"/>
      <c r="U18" s="706"/>
      <c r="V18" s="705"/>
      <c r="W18" s="706"/>
      <c r="X18" s="1353"/>
      <c r="Y18" s="3666"/>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718"/>
      <c r="M19" s="2712"/>
      <c r="N19" s="2712"/>
      <c r="O19" s="2712"/>
      <c r="P19" s="3664"/>
      <c r="Q19" s="1350" t="str">
        <f>B19</f>
        <v>公共配套设施</v>
      </c>
      <c r="R19" s="705" t="s">
        <v>14</v>
      </c>
      <c r="S19" s="706">
        <f>F19</f>
        <v>0</v>
      </c>
      <c r="T19" s="705" t="s">
        <v>14</v>
      </c>
      <c r="U19" s="706">
        <f>H19</f>
        <v>0</v>
      </c>
      <c r="V19" s="705" t="s">
        <v>14</v>
      </c>
      <c r="W19" s="706">
        <f>J19</f>
        <v>0</v>
      </c>
      <c r="X19" s="1353"/>
      <c r="Y19" s="3666"/>
      <c r="Z19" s="1354" t="str">
        <f>Q19</f>
        <v>公共配套设施</v>
      </c>
      <c r="AA19" s="1351" t="e">
        <f t="shared" si="3"/>
        <v>#DIV/0!</v>
      </c>
      <c r="AB19" s="1351" t="e">
        <f t="shared" si="4"/>
        <v>#DIV/0!</v>
      </c>
      <c r="AC19" s="1351" t="e">
        <f t="shared" si="5"/>
        <v>#DIV/0!</v>
      </c>
    </row>
    <row r="20" spans="1:29" ht="15">
      <c r="A20" s="379"/>
      <c r="B20" s="407"/>
      <c r="C20" s="398" t="s">
        <v>3387</v>
      </c>
      <c r="D20" s="399"/>
      <c r="E20" s="1895"/>
      <c r="F20" s="400"/>
      <c r="G20" s="1894"/>
      <c r="H20" s="399"/>
      <c r="I20" s="1895"/>
      <c r="J20" s="399"/>
      <c r="K20" s="564"/>
      <c r="L20" s="2718"/>
      <c r="M20" s="2712"/>
      <c r="N20" s="2712"/>
      <c r="O20" s="2712"/>
      <c r="P20" s="3664"/>
      <c r="Q20" s="1350"/>
      <c r="R20" s="705"/>
      <c r="S20" s="706"/>
      <c r="T20" s="705"/>
      <c r="U20" s="706"/>
      <c r="V20" s="705"/>
      <c r="W20" s="706"/>
      <c r="X20" s="1353"/>
      <c r="Y20" s="3666"/>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718"/>
      <c r="M21" s="2712"/>
      <c r="N21" s="2712"/>
      <c r="O21" s="2712"/>
      <c r="P21" s="3664"/>
      <c r="Q21" s="1350" t="str">
        <f>B21</f>
        <v>基础设施水平</v>
      </c>
      <c r="R21" s="705" t="s">
        <v>14</v>
      </c>
      <c r="S21" s="706">
        <f>F21</f>
        <v>0</v>
      </c>
      <c r="T21" s="705" t="s">
        <v>14</v>
      </c>
      <c r="U21" s="706">
        <f>H21</f>
        <v>0</v>
      </c>
      <c r="V21" s="705" t="s">
        <v>14</v>
      </c>
      <c r="W21" s="706">
        <f>J21</f>
        <v>0</v>
      </c>
      <c r="X21" s="1353"/>
      <c r="Y21" s="3666"/>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3409</v>
      </c>
      <c r="D22" s="399"/>
      <c r="E22" s="398"/>
      <c r="F22" s="400"/>
      <c r="G22" s="398"/>
      <c r="H22" s="399"/>
      <c r="I22" s="398"/>
      <c r="J22" s="399"/>
      <c r="K22" s="1129"/>
      <c r="L22" s="2718"/>
      <c r="M22" s="2712"/>
      <c r="N22" s="2712"/>
      <c r="O22" s="2712"/>
      <c r="P22" s="3664"/>
      <c r="Q22" s="1350"/>
      <c r="R22" s="705"/>
      <c r="S22" s="706"/>
      <c r="T22" s="705"/>
      <c r="U22" s="706"/>
      <c r="V22" s="705"/>
      <c r="W22" s="706"/>
      <c r="X22" s="1353"/>
      <c r="Y22" s="3666"/>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718"/>
      <c r="M23" s="2712"/>
      <c r="N23" s="2712"/>
      <c r="O23" s="2712"/>
      <c r="P23" s="3664"/>
      <c r="Q23" s="1350" t="str">
        <f>B23</f>
        <v>自然及人文环境</v>
      </c>
      <c r="R23" s="705" t="s">
        <v>14</v>
      </c>
      <c r="S23" s="706">
        <f>F23</f>
        <v>0</v>
      </c>
      <c r="T23" s="705" t="s">
        <v>14</v>
      </c>
      <c r="U23" s="706">
        <f>H23</f>
        <v>0</v>
      </c>
      <c r="V23" s="705" t="s">
        <v>14</v>
      </c>
      <c r="W23" s="706">
        <f>J23</f>
        <v>0</v>
      </c>
      <c r="X23" s="1353"/>
      <c r="Y23" s="3666"/>
      <c r="Z23" s="1354" t="str">
        <f>Q23</f>
        <v>自然及人文环境</v>
      </c>
      <c r="AA23" s="1351" t="e">
        <f t="shared" si="3"/>
        <v>#DIV/0!</v>
      </c>
      <c r="AB23" s="1351" t="e">
        <f t="shared" si="4"/>
        <v>#DIV/0!</v>
      </c>
      <c r="AC23" s="1351" t="e">
        <f t="shared" si="5"/>
        <v>#DIV/0!</v>
      </c>
    </row>
    <row r="24" spans="1:29" ht="15">
      <c r="A24" s="379"/>
      <c r="B24" s="407"/>
      <c r="C24" s="398" t="s">
        <v>3387</v>
      </c>
      <c r="D24" s="399"/>
      <c r="E24" s="1895"/>
      <c r="F24" s="400"/>
      <c r="G24" s="1894"/>
      <c r="H24" s="399"/>
      <c r="I24" s="1895"/>
      <c r="J24" s="399"/>
      <c r="K24" s="564"/>
      <c r="L24" s="2718"/>
      <c r="M24" s="2712"/>
      <c r="N24" s="2712"/>
      <c r="O24" s="2712"/>
      <c r="P24" s="3664"/>
      <c r="Q24" s="1350"/>
      <c r="R24" s="705"/>
      <c r="S24" s="706"/>
      <c r="T24" s="705"/>
      <c r="U24" s="706"/>
      <c r="V24" s="705"/>
      <c r="W24" s="706"/>
      <c r="X24" s="1353"/>
      <c r="Y24" s="366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4"/>
      <c r="Q25" s="1350" t="str">
        <f t="shared" ref="Q25:Q46" si="11">B25</f>
        <v>临街状况</v>
      </c>
      <c r="R25" s="705" t="s">
        <v>14</v>
      </c>
      <c r="S25" s="706">
        <f>F25</f>
        <v>100</v>
      </c>
      <c r="T25" s="705" t="s">
        <v>14</v>
      </c>
      <c r="U25" s="706">
        <f>H25</f>
        <v>100</v>
      </c>
      <c r="V25" s="705" t="s">
        <v>14</v>
      </c>
      <c r="W25" s="706">
        <f>J25</f>
        <v>100</v>
      </c>
      <c r="X25" s="1353"/>
      <c r="Y25" s="3666"/>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4"/>
      <c r="Q26" s="1350" t="str">
        <f t="shared" si="11"/>
        <v>平面位置/可视性</v>
      </c>
      <c r="R26" s="705" t="s">
        <v>14</v>
      </c>
      <c r="S26" s="706">
        <f>F26</f>
        <v>100</v>
      </c>
      <c r="T26" s="705" t="s">
        <v>14</v>
      </c>
      <c r="U26" s="706">
        <f>H26</f>
        <v>100</v>
      </c>
      <c r="V26" s="705" t="s">
        <v>14</v>
      </c>
      <c r="W26" s="706">
        <f>J26</f>
        <v>100</v>
      </c>
      <c r="X26" s="1353"/>
      <c r="Y26" s="3666"/>
      <c r="Z26" s="1354" t="str">
        <f>Q26</f>
        <v>平面位置/可视性</v>
      </c>
      <c r="AA26" s="1351">
        <f t="shared" si="3"/>
        <v>1</v>
      </c>
      <c r="AB26" s="1351">
        <f t="shared" si="4"/>
        <v>1</v>
      </c>
      <c r="AC26" s="1351">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64"/>
      <c r="Q27" s="1341" t="str">
        <f t="shared" si="11"/>
        <v>人流量</v>
      </c>
      <c r="R27" s="701" t="s">
        <v>14</v>
      </c>
      <c r="S27" s="702">
        <f>F27</f>
        <v>100</v>
      </c>
      <c r="T27" s="701" t="s">
        <v>14</v>
      </c>
      <c r="U27" s="702">
        <f>H27</f>
        <v>100</v>
      </c>
      <c r="V27" s="701" t="s">
        <v>14</v>
      </c>
      <c r="W27" s="702">
        <f>J27</f>
        <v>100</v>
      </c>
      <c r="X27" s="703"/>
      <c r="Y27" s="366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4"/>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66"/>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4"/>
      <c r="Q29" s="1350">
        <f t="shared" si="11"/>
        <v>111</v>
      </c>
      <c r="R29" s="705" t="s">
        <v>14</v>
      </c>
      <c r="S29" s="706">
        <f t="shared" si="12"/>
        <v>100</v>
      </c>
      <c r="T29" s="705" t="s">
        <v>14</v>
      </c>
      <c r="U29" s="706">
        <f t="shared" si="13"/>
        <v>100</v>
      </c>
      <c r="V29" s="705" t="s">
        <v>14</v>
      </c>
      <c r="W29" s="706">
        <f t="shared" si="14"/>
        <v>100</v>
      </c>
      <c r="X29" s="1353"/>
      <c r="Y29" s="3666"/>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4"/>
      <c r="Q30" s="1350">
        <f t="shared" si="11"/>
        <v>111</v>
      </c>
      <c r="R30" s="705" t="s">
        <v>14</v>
      </c>
      <c r="S30" s="706">
        <f t="shared" si="12"/>
        <v>100</v>
      </c>
      <c r="T30" s="705" t="s">
        <v>14</v>
      </c>
      <c r="U30" s="706">
        <f t="shared" si="13"/>
        <v>100</v>
      </c>
      <c r="V30" s="705" t="s">
        <v>14</v>
      </c>
      <c r="W30" s="706">
        <f t="shared" si="14"/>
        <v>100</v>
      </c>
      <c r="X30" s="1353"/>
      <c r="Y30" s="3666"/>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4"/>
      <c r="Q31" s="1350">
        <f t="shared" si="11"/>
        <v>111</v>
      </c>
      <c r="R31" s="705" t="s">
        <v>14</v>
      </c>
      <c r="S31" s="706">
        <f t="shared" si="12"/>
        <v>100</v>
      </c>
      <c r="T31" s="705" t="s">
        <v>14</v>
      </c>
      <c r="U31" s="706">
        <f t="shared" si="13"/>
        <v>100</v>
      </c>
      <c r="V31" s="705" t="s">
        <v>14</v>
      </c>
      <c r="W31" s="706">
        <f t="shared" si="14"/>
        <v>100</v>
      </c>
      <c r="X31" s="1353"/>
      <c r="Y31" s="3666"/>
      <c r="Z31" s="1354">
        <f t="shared" si="15"/>
        <v>111</v>
      </c>
      <c r="AA31" s="1351">
        <f t="shared" si="3"/>
        <v>1</v>
      </c>
      <c r="AB31" s="1351">
        <f t="shared" si="4"/>
        <v>1</v>
      </c>
      <c r="AC31" s="1351">
        <f t="shared" si="5"/>
        <v>1</v>
      </c>
    </row>
    <row r="32" spans="1:29" ht="15">
      <c r="A32" s="391" t="s">
        <v>1694</v>
      </c>
      <c r="B32" s="63" t="s">
        <v>1784</v>
      </c>
      <c r="C32" s="1907" t="s">
        <v>3422</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718"/>
      <c r="M32" s="2712"/>
      <c r="N32" s="2712"/>
      <c r="O32" s="2712"/>
      <c r="P32" s="3667" t="s">
        <v>1696</v>
      </c>
      <c r="Q32" s="1350" t="str">
        <f t="shared" si="11"/>
        <v>商业类型</v>
      </c>
      <c r="R32" s="705" t="s">
        <v>14</v>
      </c>
      <c r="S32" s="706">
        <f t="shared" si="12"/>
        <v>3</v>
      </c>
      <c r="T32" s="705" t="s">
        <v>14</v>
      </c>
      <c r="U32" s="706">
        <f t="shared" si="13"/>
        <v>3</v>
      </c>
      <c r="V32" s="705" t="s">
        <v>14</v>
      </c>
      <c r="W32" s="706">
        <f t="shared" si="14"/>
        <v>3</v>
      </c>
      <c r="X32" s="1353"/>
      <c r="Y32" s="3670" t="s">
        <v>1696</v>
      </c>
      <c r="Z32" s="1354" t="str">
        <f t="shared" si="15"/>
        <v>商业类型</v>
      </c>
      <c r="AA32" s="1351">
        <f t="shared" si="3"/>
        <v>33.333333333333336</v>
      </c>
      <c r="AB32" s="1351">
        <f t="shared" si="4"/>
        <v>33.333333333333336</v>
      </c>
      <c r="AC32" s="1351">
        <f t="shared" si="5"/>
        <v>33.333333333333336</v>
      </c>
    </row>
    <row r="33" spans="1:29" s="422" customFormat="1" ht="15">
      <c r="A33" s="419"/>
      <c r="B33" s="375" t="s">
        <v>1697</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717"/>
      <c r="M33" s="2719"/>
      <c r="N33" s="2719"/>
      <c r="O33" s="2719"/>
      <c r="P33" s="3668"/>
      <c r="Q33" s="707" t="str">
        <f t="shared" si="11"/>
        <v>项目建筑规模</v>
      </c>
      <c r="R33" s="708" t="s">
        <v>14</v>
      </c>
      <c r="S33" s="709">
        <f t="shared" si="12"/>
        <v>103</v>
      </c>
      <c r="T33" s="708" t="s">
        <v>14</v>
      </c>
      <c r="U33" s="709">
        <f t="shared" si="13"/>
        <v>103</v>
      </c>
      <c r="V33" s="708" t="s">
        <v>14</v>
      </c>
      <c r="W33" s="709">
        <f t="shared" si="14"/>
        <v>103</v>
      </c>
      <c r="X33" s="710"/>
      <c r="Y33" s="3670"/>
      <c r="Z33" s="711" t="str">
        <f t="shared" si="15"/>
        <v>项目建筑规模</v>
      </c>
      <c r="AA33" s="1351">
        <f t="shared" si="3"/>
        <v>0.970873786407767</v>
      </c>
      <c r="AB33" s="1351">
        <f t="shared" si="4"/>
        <v>0.970873786407767</v>
      </c>
      <c r="AC33" s="1351">
        <f t="shared" si="5"/>
        <v>0.970873786407767</v>
      </c>
    </row>
    <row r="34" spans="1:29" ht="15">
      <c r="A34" s="423"/>
      <c r="B34" s="375" t="s">
        <v>1698</v>
      </c>
      <c r="C34" s="1909" t="s">
        <v>3396</v>
      </c>
      <c r="D34" s="386">
        <v>100</v>
      </c>
      <c r="E34" s="1909"/>
      <c r="F34" s="412">
        <f>SUMIF(105:105,E34,106:106)-SUMIF(105:105,C34,106:106)+100</f>
        <v>0</v>
      </c>
      <c r="G34" s="1909"/>
      <c r="H34" s="386">
        <f>SUMIF(105:105,G34,106:106)-SUMIF(105:105,C34,106:106)+100</f>
        <v>0</v>
      </c>
      <c r="I34" s="1909"/>
      <c r="J34" s="386">
        <f>SUMIF(105:105,I34,106:106)-SUMIF(105:105,C34,106:106)+100</f>
        <v>0</v>
      </c>
      <c r="K34" s="561"/>
      <c r="L34" s="2718"/>
      <c r="M34" s="2712"/>
      <c r="N34" s="2712"/>
      <c r="O34" s="2712"/>
      <c r="P34" s="3668"/>
      <c r="Q34" s="1350" t="str">
        <f t="shared" si="11"/>
        <v>建筑结构</v>
      </c>
      <c r="R34" s="705" t="s">
        <v>14</v>
      </c>
      <c r="S34" s="706">
        <f t="shared" si="12"/>
        <v>0</v>
      </c>
      <c r="T34" s="705" t="s">
        <v>14</v>
      </c>
      <c r="U34" s="706">
        <f t="shared" si="13"/>
        <v>0</v>
      </c>
      <c r="V34" s="705" t="s">
        <v>14</v>
      </c>
      <c r="W34" s="706">
        <f t="shared" si="14"/>
        <v>0</v>
      </c>
      <c r="X34" s="1353"/>
      <c r="Y34" s="3670"/>
      <c r="Z34" s="1354" t="str">
        <f t="shared" si="15"/>
        <v>建筑结构</v>
      </c>
      <c r="AA34" s="1351" t="e">
        <f t="shared" si="3"/>
        <v>#DIV/0!</v>
      </c>
      <c r="AB34" s="1351" t="e">
        <f t="shared" si="4"/>
        <v>#DIV/0!</v>
      </c>
      <c r="AC34" s="1351" t="e">
        <f t="shared" si="5"/>
        <v>#DIV/0!</v>
      </c>
    </row>
    <row r="35" spans="1:29" ht="15">
      <c r="A35" s="423"/>
      <c r="B35" s="375" t="s">
        <v>1785</v>
      </c>
      <c r="C35" s="1903" t="s">
        <v>3411</v>
      </c>
      <c r="D35" s="386">
        <v>100</v>
      </c>
      <c r="E35" s="1903"/>
      <c r="F35" s="412">
        <f>SUMIF(107:107,E35,108:108)-SUMIF(107:107,C35,108:108)+100</f>
        <v>0</v>
      </c>
      <c r="G35" s="1903"/>
      <c r="H35" s="386">
        <f>SUMIF(107:107,G35,108:108)-SUMIF(107:107,C35,108:108)+100</f>
        <v>0</v>
      </c>
      <c r="I35" s="1903"/>
      <c r="J35" s="386">
        <f>SUMIF(107:107,I35,108:108)-SUMIF(107:107,C35,108:108)+100</f>
        <v>0</v>
      </c>
      <c r="K35" s="561"/>
      <c r="L35" s="2718"/>
      <c r="M35" s="2712"/>
      <c r="N35" s="2712"/>
      <c r="O35" s="2712"/>
      <c r="P35" s="3668"/>
      <c r="Q35" s="1350" t="str">
        <f t="shared" si="11"/>
        <v>公共部分装修</v>
      </c>
      <c r="R35" s="705" t="s">
        <v>14</v>
      </c>
      <c r="S35" s="706">
        <f t="shared" si="12"/>
        <v>0</v>
      </c>
      <c r="T35" s="705" t="s">
        <v>14</v>
      </c>
      <c r="U35" s="706">
        <f t="shared" si="13"/>
        <v>0</v>
      </c>
      <c r="V35" s="705" t="s">
        <v>14</v>
      </c>
      <c r="W35" s="706">
        <f t="shared" si="14"/>
        <v>0</v>
      </c>
      <c r="X35" s="1353"/>
      <c r="Y35" s="3670"/>
      <c r="Z35" s="1354" t="str">
        <f t="shared" si="15"/>
        <v>公共部分装修</v>
      </c>
      <c r="AA35" s="1351" t="e">
        <f t="shared" si="3"/>
        <v>#DIV/0!</v>
      </c>
      <c r="AB35" s="1351" t="e">
        <f t="shared" si="4"/>
        <v>#DIV/0!</v>
      </c>
      <c r="AC35" s="1351" t="e">
        <f t="shared" si="5"/>
        <v>#DIV/0!</v>
      </c>
    </row>
    <row r="36" spans="1:29" ht="15">
      <c r="A36" s="423"/>
      <c r="B36" s="375" t="s">
        <v>1786</v>
      </c>
      <c r="C36" s="425">
        <f>'数据-取费表'!N19</f>
        <v>0.83</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68"/>
      <c r="Q36" s="1350" t="str">
        <f t="shared" si="11"/>
        <v>成新度</v>
      </c>
      <c r="R36" s="705" t="s">
        <v>14</v>
      </c>
      <c r="S36" s="706" t="e">
        <f t="shared" si="12"/>
        <v>#N/A</v>
      </c>
      <c r="T36" s="705" t="s">
        <v>14</v>
      </c>
      <c r="U36" s="706" t="e">
        <f t="shared" si="13"/>
        <v>#N/A</v>
      </c>
      <c r="V36" s="705" t="s">
        <v>14</v>
      </c>
      <c r="W36" s="706" t="e">
        <f t="shared" si="14"/>
        <v>#N/A</v>
      </c>
      <c r="X36" s="1353"/>
      <c r="Y36" s="3670"/>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668"/>
      <c r="Q37" s="1341"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3" t="s">
        <v>3413</v>
      </c>
      <c r="D38" s="386">
        <v>100</v>
      </c>
      <c r="E38" s="1903"/>
      <c r="F38" s="412">
        <f>SUMIF(114:114,E38,115:115)-SUMIF(114:114,C38,115:115)+100</f>
        <v>0</v>
      </c>
      <c r="G38" s="1903"/>
      <c r="H38" s="386">
        <f>SUMIF(114:114,G38,115:115)-SUMIF(114:114,C38,115:115)+100</f>
        <v>0</v>
      </c>
      <c r="I38" s="1903"/>
      <c r="J38" s="386">
        <f>SUMIF(114:114,I38,115:115)-SUMIF(114:114,C38,115:115)+100</f>
        <v>0</v>
      </c>
      <c r="K38" s="561"/>
      <c r="L38" s="2718"/>
      <c r="M38" s="2712"/>
      <c r="N38" s="2712"/>
      <c r="O38" s="2712"/>
      <c r="P38" s="3668" t="s">
        <v>1696</v>
      </c>
      <c r="Q38" s="1350" t="str">
        <f t="shared" si="11"/>
        <v>业态</v>
      </c>
      <c r="R38" s="705" t="s">
        <v>14</v>
      </c>
      <c r="S38" s="706">
        <f t="shared" si="12"/>
        <v>0</v>
      </c>
      <c r="T38" s="705" t="s">
        <v>14</v>
      </c>
      <c r="U38" s="706">
        <f t="shared" si="13"/>
        <v>0</v>
      </c>
      <c r="V38" s="705" t="s">
        <v>14</v>
      </c>
      <c r="W38" s="706">
        <f t="shared" si="14"/>
        <v>0</v>
      </c>
      <c r="X38" s="1353"/>
      <c r="Y38" s="3670" t="s">
        <v>1696</v>
      </c>
      <c r="Z38" s="1354" t="str">
        <f t="shared" si="15"/>
        <v>业态</v>
      </c>
      <c r="AA38" s="1351" t="e">
        <f t="shared" si="3"/>
        <v>#DIV/0!</v>
      </c>
      <c r="AB38" s="1351" t="e">
        <f t="shared" si="4"/>
        <v>#DIV/0!</v>
      </c>
      <c r="AC38" s="1351" t="e">
        <f t="shared" si="5"/>
        <v>#DIV/0!</v>
      </c>
    </row>
    <row r="39" spans="1:29" ht="15">
      <c r="A39" s="423"/>
      <c r="B39" s="375" t="s">
        <v>1789</v>
      </c>
      <c r="C39" s="1903" t="s">
        <v>3415</v>
      </c>
      <c r="D39" s="386">
        <v>100</v>
      </c>
      <c r="E39" s="1903"/>
      <c r="F39" s="412">
        <f>SUMIF(116:116,E39,117:117)-SUMIF(116:116,C39,117:117)+100</f>
        <v>0</v>
      </c>
      <c r="G39" s="1903"/>
      <c r="H39" s="386">
        <f>SUMIF(116:116,G39,117:117)-SUMIF(116:116,C39,117:117)+100</f>
        <v>0</v>
      </c>
      <c r="I39" s="1903"/>
      <c r="J39" s="386">
        <f>SUMIF(116:116,I39,117:117)-SUMIF(116:116,C39,117:117)+100</f>
        <v>0</v>
      </c>
      <c r="K39" s="561"/>
      <c r="L39" s="2718"/>
      <c r="M39" s="2712"/>
      <c r="N39" s="2712"/>
      <c r="O39" s="2712"/>
      <c r="P39" s="3668"/>
      <c r="Q39" s="1350" t="str">
        <f t="shared" si="11"/>
        <v>层高</v>
      </c>
      <c r="R39" s="705" t="s">
        <v>14</v>
      </c>
      <c r="S39" s="706">
        <f t="shared" si="12"/>
        <v>0</v>
      </c>
      <c r="T39" s="705" t="s">
        <v>14</v>
      </c>
      <c r="U39" s="706">
        <f t="shared" si="13"/>
        <v>0</v>
      </c>
      <c r="V39" s="705" t="s">
        <v>14</v>
      </c>
      <c r="W39" s="706">
        <f t="shared" si="14"/>
        <v>0</v>
      </c>
      <c r="X39" s="1353"/>
      <c r="Y39" s="3670"/>
      <c r="Z39" s="1354" t="str">
        <f t="shared" si="15"/>
        <v>层高</v>
      </c>
      <c r="AA39" s="1351" t="e">
        <f t="shared" si="3"/>
        <v>#DIV/0!</v>
      </c>
      <c r="AB39" s="1351" t="e">
        <f t="shared" si="4"/>
        <v>#DIV/0!</v>
      </c>
      <c r="AC39" s="1351" t="e">
        <f t="shared" si="5"/>
        <v>#DIV/0!</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68"/>
      <c r="Q40" s="1350" t="str">
        <f t="shared" si="11"/>
        <v>单套建筑面积</v>
      </c>
      <c r="R40" s="705" t="s">
        <v>14</v>
      </c>
      <c r="S40" s="706">
        <f t="shared" si="12"/>
        <v>100</v>
      </c>
      <c r="T40" s="705" t="s">
        <v>14</v>
      </c>
      <c r="U40" s="706">
        <f t="shared" si="13"/>
        <v>100</v>
      </c>
      <c r="V40" s="705" t="s">
        <v>14</v>
      </c>
      <c r="W40" s="706">
        <f t="shared" si="14"/>
        <v>100</v>
      </c>
      <c r="X40" s="1353"/>
      <c r="Y40" s="367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1">
        <f t="shared" si="3"/>
        <v>1</v>
      </c>
      <c r="AB41" s="1351">
        <f t="shared" si="4"/>
        <v>1</v>
      </c>
      <c r="AC41" s="1351">
        <f t="shared" si="5"/>
        <v>1</v>
      </c>
    </row>
    <row r="42" spans="1:29" ht="15">
      <c r="A42" s="423"/>
      <c r="B42" s="375" t="s">
        <v>1792</v>
      </c>
      <c r="C42" s="1903" t="s">
        <v>3417</v>
      </c>
      <c r="D42" s="386">
        <v>100</v>
      </c>
      <c r="E42" s="1903"/>
      <c r="F42" s="412">
        <f>SUMIF(122:122,E42,123:123)-SUMIF(122:122,C42,123:123)+100</f>
        <v>0</v>
      </c>
      <c r="G42" s="1903"/>
      <c r="H42" s="386">
        <f>SUMIF(122:122,G42,123:123)-SUMIF(122:122,C42,123:123)+100</f>
        <v>0</v>
      </c>
      <c r="I42" s="1903"/>
      <c r="J42" s="386">
        <f>SUMIF(122:122,I42,123:123)-SUMIF(122:122,C42,123:123)+100</f>
        <v>0</v>
      </c>
      <c r="K42" s="561"/>
      <c r="L42" s="2718"/>
      <c r="M42" s="2712"/>
      <c r="N42" s="2712"/>
      <c r="O42" s="2712"/>
      <c r="P42" s="3668"/>
      <c r="Q42" s="1350" t="str">
        <f t="shared" si="11"/>
        <v>内部装修</v>
      </c>
      <c r="R42" s="705" t="s">
        <v>14</v>
      </c>
      <c r="S42" s="706">
        <f t="shared" si="12"/>
        <v>0</v>
      </c>
      <c r="T42" s="705" t="s">
        <v>14</v>
      </c>
      <c r="U42" s="706">
        <f t="shared" si="13"/>
        <v>0</v>
      </c>
      <c r="V42" s="705" t="s">
        <v>14</v>
      </c>
      <c r="W42" s="706">
        <f t="shared" si="14"/>
        <v>0</v>
      </c>
      <c r="X42" s="1353"/>
      <c r="Y42" s="3670"/>
      <c r="Z42" s="1354" t="str">
        <f t="shared" si="15"/>
        <v>内部装修</v>
      </c>
      <c r="AA42" s="1351" t="e">
        <f t="shared" si="3"/>
        <v>#DIV/0!</v>
      </c>
      <c r="AB42" s="1351" t="e">
        <f t="shared" si="4"/>
        <v>#DIV/0!</v>
      </c>
      <c r="AC42" s="1351" t="e">
        <f t="shared" si="5"/>
        <v>#DIV/0!</v>
      </c>
    </row>
    <row r="43" spans="1:29" ht="15">
      <c r="A43" s="423"/>
      <c r="B43" s="375" t="s">
        <v>1707</v>
      </c>
      <c r="C43" s="1903" t="s">
        <v>3388</v>
      </c>
      <c r="D43" s="386">
        <v>100</v>
      </c>
      <c r="E43" s="1903"/>
      <c r="F43" s="412">
        <f>SUMIF(124:124,E43,125:125)-SUMIF(124:124,C43,125:125)+100</f>
        <v>0</v>
      </c>
      <c r="G43" s="1903"/>
      <c r="H43" s="386">
        <f>SUMIF(124:124,G43,125:125)-SUMIF(124:124,C43,125:125)+100</f>
        <v>0</v>
      </c>
      <c r="I43" s="1903"/>
      <c r="J43" s="386">
        <f>SUMIF(124:124,I43,125:125)-SUMIF(124:124,C43,125:125)+100</f>
        <v>0</v>
      </c>
      <c r="K43" s="561"/>
      <c r="L43" s="2718"/>
      <c r="M43" s="2712"/>
      <c r="N43" s="2712"/>
      <c r="O43" s="2712"/>
      <c r="P43" s="3668"/>
      <c r="Q43" s="1350" t="str">
        <f t="shared" si="11"/>
        <v>内部装修维护情况</v>
      </c>
      <c r="R43" s="705" t="s">
        <v>14</v>
      </c>
      <c r="S43" s="706">
        <f t="shared" si="12"/>
        <v>0</v>
      </c>
      <c r="T43" s="705" t="s">
        <v>14</v>
      </c>
      <c r="U43" s="706">
        <f t="shared" si="13"/>
        <v>0</v>
      </c>
      <c r="V43" s="705" t="s">
        <v>14</v>
      </c>
      <c r="W43" s="706">
        <f t="shared" si="14"/>
        <v>0</v>
      </c>
      <c r="X43" s="1353"/>
      <c r="Y43" s="3670"/>
      <c r="Z43" s="1354" t="str">
        <f t="shared" si="15"/>
        <v>内部装修维护情况</v>
      </c>
      <c r="AA43" s="1351" t="e">
        <f t="shared" si="3"/>
        <v>#DIV/0!</v>
      </c>
      <c r="AB43" s="1351" t="e">
        <f t="shared" si="4"/>
        <v>#DIV/0!</v>
      </c>
      <c r="AC43" s="1351" t="e">
        <f t="shared" si="5"/>
        <v>#DIV/0!</v>
      </c>
    </row>
    <row r="44" spans="1:29" s="108" customFormat="1" ht="15">
      <c r="A44" s="424"/>
      <c r="B44" s="3472" t="s">
        <v>3424</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8"/>
      <c r="Q44" s="1341" t="str">
        <f t="shared" si="11"/>
        <v>地下面积占比</v>
      </c>
      <c r="R44" s="701" t="s">
        <v>14</v>
      </c>
      <c r="S44" s="702">
        <f t="shared" si="12"/>
        <v>100</v>
      </c>
      <c r="T44" s="701" t="s">
        <v>14</v>
      </c>
      <c r="U44" s="702">
        <f t="shared" si="13"/>
        <v>100</v>
      </c>
      <c r="V44" s="701" t="s">
        <v>14</v>
      </c>
      <c r="W44" s="702">
        <f t="shared" si="14"/>
        <v>100</v>
      </c>
      <c r="X44" s="703"/>
      <c r="Y44" s="3670"/>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8"/>
      <c r="Q45" s="1350">
        <f t="shared" si="11"/>
        <v>111</v>
      </c>
      <c r="R45" s="705" t="s">
        <v>14</v>
      </c>
      <c r="S45" s="706">
        <f t="shared" si="12"/>
        <v>100</v>
      </c>
      <c r="T45" s="705" t="s">
        <v>14</v>
      </c>
      <c r="U45" s="706">
        <f t="shared" si="13"/>
        <v>100</v>
      </c>
      <c r="V45" s="705" t="s">
        <v>14</v>
      </c>
      <c r="W45" s="706">
        <f t="shared" si="14"/>
        <v>100</v>
      </c>
      <c r="X45" s="1353"/>
      <c r="Y45" s="3670"/>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69"/>
      <c r="Q46" s="1350">
        <f t="shared" si="11"/>
        <v>111</v>
      </c>
      <c r="R46" s="705" t="s">
        <v>14</v>
      </c>
      <c r="S46" s="706">
        <f t="shared" si="12"/>
        <v>100</v>
      </c>
      <c r="T46" s="705" t="s">
        <v>14</v>
      </c>
      <c r="U46" s="706">
        <f t="shared" si="13"/>
        <v>100</v>
      </c>
      <c r="V46" s="705" t="s">
        <v>14</v>
      </c>
      <c r="W46" s="706">
        <f t="shared" si="14"/>
        <v>100</v>
      </c>
      <c r="X46" s="1353"/>
      <c r="Y46" s="3671"/>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20"/>
      <c r="M47" s="2721"/>
      <c r="N47" s="2712"/>
      <c r="O47" s="2721"/>
      <c r="P47" s="3658" t="str">
        <f>A47</f>
        <v>成交单价（元/平方米）</v>
      </c>
      <c r="Q47" s="3658"/>
      <c r="R47" s="3672">
        <f>E47</f>
        <v>0</v>
      </c>
      <c r="S47" s="3672"/>
      <c r="T47" s="3672">
        <f>G47</f>
        <v>0</v>
      </c>
      <c r="U47" s="3672"/>
      <c r="V47" s="3672">
        <f>I47</f>
        <v>0</v>
      </c>
      <c r="W47" s="3672"/>
      <c r="X47" s="690"/>
      <c r="Y47" s="712"/>
      <c r="Z47" s="690"/>
      <c r="AA47" s="690"/>
      <c r="AB47" s="690"/>
      <c r="AC47" s="690"/>
    </row>
    <row r="48" spans="1:29" ht="15.75" thickBot="1">
      <c r="A48" s="437" t="s">
        <v>1793</v>
      </c>
      <c r="B48" s="438"/>
      <c r="C48" s="1159" t="e">
        <f>R49</f>
        <v>#DIV/0!</v>
      </c>
      <c r="D48" s="2313" t="s">
        <v>2137</v>
      </c>
      <c r="E48" s="1160" t="e">
        <f>R48</f>
        <v>#DIV/0!</v>
      </c>
      <c r="F48" s="2314"/>
      <c r="G48" s="1159" t="e">
        <f>T48</f>
        <v>#DIV/0!</v>
      </c>
      <c r="H48" s="2314"/>
      <c r="I48" s="1160" t="e">
        <f>V48</f>
        <v>#DIV/0!</v>
      </c>
      <c r="J48" s="2314"/>
      <c r="K48" s="2316">
        <f>F48+H48+J48</f>
        <v>0</v>
      </c>
      <c r="L48" s="2720"/>
      <c r="M48" s="2721"/>
      <c r="N48" s="2712"/>
      <c r="O48" s="272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0"/>
      <c r="M49" s="2721"/>
      <c r="N49" s="2712"/>
      <c r="O49" s="2721"/>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71" t="s">
        <v>3421</v>
      </c>
      <c r="D100" s="3471" t="s">
        <v>3423</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v>
      </c>
      <c r="E103" s="544">
        <v>40000</v>
      </c>
      <c r="F103" s="544">
        <v>60000</v>
      </c>
      <c r="G103" s="544">
        <v>80000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9" t="s">
        <v>3410</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69" t="s">
        <v>3412</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9" t="s">
        <v>3414</v>
      </c>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9" t="s">
        <v>3416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9" t="s">
        <v>3412</v>
      </c>
      <c r="D122" s="3469" t="s">
        <v>3418</v>
      </c>
      <c r="E122" s="3469" t="s">
        <v>3419</v>
      </c>
      <c r="F122" s="3470" t="s">
        <v>3420</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地下面积占比</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5">
        <f>MATCH(B1,'数据-取费表'!A6:A16,0)+5</f>
        <v>8</v>
      </c>
    </row>
    <row r="2" spans="1:9" s="200" customFormat="1" ht="18" customHeight="1">
      <c r="A2" s="201" t="s">
        <v>1462</v>
      </c>
      <c r="B2" s="202">
        <f ca="1">IF(D2="——",C52,C52-E2)</f>
        <v>176152</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21057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98412</v>
      </c>
      <c r="D5" s="211" t="s">
        <v>1469</v>
      </c>
      <c r="E5" s="212" t="s">
        <v>1470</v>
      </c>
      <c r="F5" s="212" t="s">
        <v>1471</v>
      </c>
      <c r="G5" s="213"/>
    </row>
    <row r="6" spans="1:9" s="214" customFormat="1" ht="13.5" customHeight="1">
      <c r="A6" s="777" t="s">
        <v>1472</v>
      </c>
      <c r="B6" s="215" t="s">
        <v>1473</v>
      </c>
      <c r="C6" s="216">
        <f>'土地比较法-住宅、综合'!B2</f>
        <v>93957</v>
      </c>
      <c r="D6" s="217"/>
      <c r="E6" s="218"/>
      <c r="F6" s="218"/>
      <c r="G6" s="219"/>
    </row>
    <row r="7" spans="1:9" s="214" customFormat="1" ht="13.5" customHeight="1">
      <c r="A7" s="777" t="s">
        <v>1474</v>
      </c>
      <c r="B7" s="215" t="s">
        <v>1475</v>
      </c>
      <c r="C7" s="220">
        <f>ROUND(C6*F7,0)</f>
        <v>2866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1589</v>
      </c>
      <c r="D8" s="222"/>
      <c r="E8" s="220"/>
      <c r="F8" s="221"/>
      <c r="G8" s="1853" t="s">
        <v>3392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3393</v>
      </c>
      <c r="H9" s="1136"/>
      <c r="I9" s="1855" t="s">
        <v>1479</v>
      </c>
    </row>
    <row r="10" spans="1:9" s="214" customFormat="1" ht="13.5" customHeight="1">
      <c r="A10" s="778" t="s">
        <v>356</v>
      </c>
      <c r="B10" s="224" t="s">
        <v>1480</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83656.070000000007</v>
      </c>
      <c r="E19" s="211">
        <f>'数据-取费表'!B31</f>
        <v>200</v>
      </c>
      <c r="F19" s="231"/>
      <c r="G19" s="1853" t="s">
        <v>3394</v>
      </c>
    </row>
    <row r="20" spans="1:7" s="214" customFormat="1" ht="13.5" customHeight="1">
      <c r="A20" s="255" t="s">
        <v>1493</v>
      </c>
      <c r="B20" s="210" t="s">
        <v>1494</v>
      </c>
      <c r="C20" s="232">
        <f ca="1">ROUND((C5+C19)*F20,0)</f>
        <v>1968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6976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6908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68</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16061</v>
      </c>
      <c r="D27" s="235">
        <f ca="1">C29</f>
        <v>3.2000000000000002E-3</v>
      </c>
      <c r="E27" s="236" t="s">
        <v>1514</v>
      </c>
      <c r="F27" s="246">
        <f ca="1">IF(B1="",'数据-取费表'!Q16,INDIRECT("'数据-取费表'!q"&amp;$G$1))</f>
        <v>0.16</v>
      </c>
      <c r="G27" s="247" t="s">
        <v>1515</v>
      </c>
    </row>
    <row r="28" spans="1:7" s="214" customFormat="1" ht="13.5" customHeight="1">
      <c r="A28" s="779" t="s">
        <v>346</v>
      </c>
      <c r="B28" s="248" t="s">
        <v>1516</v>
      </c>
      <c r="C28" s="249">
        <f ca="1">ROUND((C5+C19+C20)*F27*'数据-取费表'!B21/'数据-取费表'!B20,0)</f>
        <v>16061</v>
      </c>
      <c r="D28" s="235"/>
      <c r="E28" s="236"/>
      <c r="F28" s="246"/>
      <c r="G28" s="247"/>
    </row>
    <row r="29" spans="1:7" s="214" customFormat="1" ht="13.5" customHeight="1">
      <c r="A29" s="779"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133612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38856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35582</v>
      </c>
      <c r="D34" s="217"/>
      <c r="E34" s="220"/>
      <c r="F34" s="257">
        <f ca="1">IF('数据-取费表'!B24=0,1,IF(B1="",'数据-取费表'!N16,INDIRECT("'数据-取费表'!n"&amp;$G$1)))</f>
        <v>1</v>
      </c>
      <c r="G34" s="219" t="s">
        <v>1526</v>
      </c>
    </row>
    <row r="35" spans="1:7" ht="13.5" customHeight="1">
      <c r="A35" s="779" t="s">
        <v>351</v>
      </c>
      <c r="B35" s="215" t="s">
        <v>1527</v>
      </c>
      <c r="C35" s="220">
        <f ca="1">ROUND(C34*F35,0)</f>
        <v>1067</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1673</v>
      </c>
      <c r="D37" s="217">
        <f ca="1">D19</f>
        <v>83656.070000000007</v>
      </c>
      <c r="E37" s="249">
        <f>'数据-取费表'!B35</f>
        <v>200</v>
      </c>
      <c r="F37" s="259"/>
      <c r="G37" s="261" t="s">
        <v>1532</v>
      </c>
    </row>
    <row r="38" spans="1:7" ht="13.5" customHeight="1">
      <c r="A38" s="779" t="s">
        <v>354</v>
      </c>
      <c r="B38" s="215" t="s">
        <v>1533</v>
      </c>
      <c r="C38" s="220">
        <f ca="1">ROUND(C34*F38,0)</f>
        <v>534</v>
      </c>
      <c r="D38" s="220"/>
      <c r="E38" s="220"/>
      <c r="F38" s="259">
        <f>'数据-取费表'!B36</f>
        <v>1.4999999999999999E-2</v>
      </c>
      <c r="G38" s="219" t="s">
        <v>1528</v>
      </c>
    </row>
    <row r="39" spans="1:7" s="214" customFormat="1" ht="13.5" customHeight="1">
      <c r="A39" s="255" t="s">
        <v>1534</v>
      </c>
      <c r="B39" s="210" t="s">
        <v>1535</v>
      </c>
      <c r="C39" s="232">
        <f ca="1">ROUND(C33*F20,0)</f>
        <v>777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1368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1341</v>
      </c>
      <c r="D42" s="238"/>
      <c r="E42" s="238"/>
      <c r="F42" s="239"/>
      <c r="G42" s="3704" t="s">
        <v>1544</v>
      </c>
    </row>
    <row r="43" spans="1:7" ht="13.5" customHeight="1">
      <c r="A43" s="779" t="s">
        <v>347</v>
      </c>
      <c r="B43" s="215" t="s">
        <v>1545</v>
      </c>
      <c r="C43" s="238">
        <f ca="1">ROUND(IF('数据-取费表'!B22&lt;=1,C39*F22*'数据-取费表'!B21/2,C39*(POWER((1+F22),'数据-取费表'!B21/2)-1)),0)</f>
        <v>27</v>
      </c>
      <c r="D43" s="238"/>
      <c r="E43" s="238"/>
      <c r="F43" s="239"/>
      <c r="G43" s="3705"/>
    </row>
    <row r="44" spans="1:7" ht="13.5" customHeight="1">
      <c r="A44" s="779" t="s">
        <v>348</v>
      </c>
      <c r="B44" s="215" t="s">
        <v>1546</v>
      </c>
      <c r="C44" s="238">
        <f ca="1">ROUND(IF('数据-取费表'!B22&lt;=1,C40*F22*'数据-取费表'!B21/2,C40*(POWER((1+F22),'数据-取费表'!B21/2)-1)),4)</f>
        <v>6.9999999999999999E-4</v>
      </c>
      <c r="D44" s="238"/>
      <c r="E44" s="238"/>
      <c r="F44" s="239"/>
      <c r="G44" s="3706"/>
    </row>
    <row r="45" spans="1:7" s="214" customFormat="1" ht="13.5" customHeight="1">
      <c r="A45" s="255" t="s">
        <v>1547</v>
      </c>
      <c r="B45" s="244" t="s">
        <v>1513</v>
      </c>
      <c r="C45" s="245">
        <f ca="1">C46</f>
        <v>6341</v>
      </c>
      <c r="D45" s="235">
        <f ca="1">C47</f>
        <v>3.2000000000000002E-3</v>
      </c>
      <c r="E45" s="236" t="s">
        <v>1539</v>
      </c>
      <c r="F45" s="246">
        <f ca="1">F27</f>
        <v>0.16</v>
      </c>
      <c r="G45" s="247" t="s">
        <v>1548</v>
      </c>
    </row>
    <row r="46" spans="1:7" s="214" customFormat="1" ht="13.5" customHeight="1">
      <c r="A46" s="779" t="s">
        <v>346</v>
      </c>
      <c r="B46" s="248" t="s">
        <v>1549</v>
      </c>
      <c r="C46" s="249">
        <f ca="1">ROUND((C33+C39)*F27,0)</f>
        <v>6341</v>
      </c>
      <c r="D46" s="263"/>
      <c r="E46" s="236"/>
      <c r="F46" s="246"/>
      <c r="G46" s="247"/>
    </row>
    <row r="47" spans="1:7" s="214" customFormat="1" ht="13.5" customHeight="1">
      <c r="A47" s="779"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51253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42540</v>
      </c>
      <c r="D51" s="232"/>
      <c r="E51" s="232"/>
      <c r="F51" s="264"/>
      <c r="G51" s="234" t="s">
        <v>1560</v>
      </c>
    </row>
    <row r="52" spans="1:7" s="208" customFormat="1" ht="16.5" thickBot="1">
      <c r="A52" s="265" t="s">
        <v>1561</v>
      </c>
      <c r="B52" s="266"/>
      <c r="C52" s="267">
        <f ca="1">C31+C51</f>
        <v>176152</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zoomScaleSheetLayoutView="80" workbookViewId="0">
      <selection activeCell="L49" sqref="L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93957</v>
      </c>
      <c r="C2" s="906"/>
      <c r="D2" s="906"/>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11231</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87" t="s">
        <v>1771</v>
      </c>
      <c r="S4" s="3688"/>
      <c r="T4" s="3687" t="s">
        <v>1772</v>
      </c>
      <c r="U4" s="3688"/>
      <c r="V4" s="3672" t="s">
        <v>1773</v>
      </c>
      <c r="W4" s="3672"/>
      <c r="X4" s="1353"/>
      <c r="Y4" s="3687" t="s">
        <v>1775</v>
      </c>
      <c r="Z4" s="3688"/>
      <c r="AA4" s="3674" t="s">
        <v>1771</v>
      </c>
      <c r="AB4" s="3675" t="s">
        <v>1772</v>
      </c>
      <c r="AC4" s="3674" t="s">
        <v>1773</v>
      </c>
    </row>
    <row r="5" spans="1:30" ht="15">
      <c r="A5" s="358"/>
      <c r="B5" s="359"/>
      <c r="C5" s="3695" t="s">
        <v>1673</v>
      </c>
      <c r="D5" s="3696"/>
      <c r="E5" s="3702" t="s">
        <v>1674</v>
      </c>
      <c r="F5" s="3703"/>
      <c r="G5" s="3695" t="s">
        <v>1675</v>
      </c>
      <c r="H5" s="3696"/>
      <c r="I5" s="3695" t="s">
        <v>1676</v>
      </c>
      <c r="J5" s="3696"/>
      <c r="K5" s="559"/>
      <c r="L5" s="2711"/>
      <c r="M5" s="2712"/>
      <c r="N5" s="2712"/>
      <c r="O5" s="2712"/>
      <c r="P5" s="3683"/>
      <c r="Q5" s="3684"/>
      <c r="R5" s="3689"/>
      <c r="S5" s="3690"/>
      <c r="T5" s="3689"/>
      <c r="U5" s="3690"/>
      <c r="V5" s="3672"/>
      <c r="W5" s="3672"/>
      <c r="X5" s="1353"/>
      <c r="Y5" s="3689"/>
      <c r="Z5" s="3690"/>
      <c r="AA5" s="3675"/>
      <c r="AB5" s="3675"/>
      <c r="AC5" s="3675"/>
    </row>
    <row r="6" spans="1:30" ht="15.75" thickBot="1">
      <c r="A6" s="360"/>
      <c r="B6" s="361"/>
      <c r="C6" s="3693" t="s">
        <v>1677</v>
      </c>
      <c r="D6" s="3694"/>
      <c r="E6" s="3700" t="s">
        <v>1677</v>
      </c>
      <c r="F6" s="3701"/>
      <c r="G6" s="3693" t="s">
        <v>1677</v>
      </c>
      <c r="H6" s="3694"/>
      <c r="I6" s="3693" t="s">
        <v>1677</v>
      </c>
      <c r="J6" s="3694"/>
      <c r="K6" s="559" t="s">
        <v>1678</v>
      </c>
      <c r="L6" s="2711"/>
      <c r="M6" s="2712"/>
      <c r="N6" s="2712"/>
      <c r="O6" s="2712"/>
      <c r="P6" s="3685"/>
      <c r="Q6" s="3686"/>
      <c r="R6" s="3689"/>
      <c r="S6" s="3690"/>
      <c r="T6" s="3691"/>
      <c r="U6" s="3692"/>
      <c r="V6" s="3672"/>
      <c r="W6" s="3672"/>
      <c r="X6" s="1353"/>
      <c r="Y6" s="3691"/>
      <c r="Z6" s="3692"/>
      <c r="AA6" s="3676"/>
      <c r="AB6" s="3676"/>
      <c r="AC6" s="3676"/>
    </row>
    <row r="7" spans="1:30" s="108" customFormat="1" ht="15.75" thickBot="1">
      <c r="A7" s="362" t="s">
        <v>1679</v>
      </c>
      <c r="B7" s="363"/>
      <c r="C7" s="364">
        <f>'数据-取费表'!B2</f>
        <v>45159</v>
      </c>
      <c r="D7" s="365">
        <v>100</v>
      </c>
      <c r="E7" s="366">
        <f>土地案例!M2</f>
        <v>45141</v>
      </c>
      <c r="F7" s="367">
        <f>SUMIF(69:69,YEAR(E7)&amp;"-"&amp;INT((MONTH(E7)+2)/3),70:70)</f>
        <v>100</v>
      </c>
      <c r="G7" s="1971">
        <f>土地案例!M3</f>
        <v>44865</v>
      </c>
      <c r="H7" s="365">
        <f>SUMIF(69:69,YEAR(G7)&amp;"-"&amp;INT((MONTH(G7)+2)/3),70:70)</f>
        <v>98.799999999999983</v>
      </c>
      <c r="I7" s="1971">
        <f>土地案例!M4</f>
        <v>44865</v>
      </c>
      <c r="J7" s="365">
        <f>SUMIF(69:69,YEAR(I7)&amp;"-"&amp;INT((MONTH(I7)+2)/3),70:70)</f>
        <v>98.799999999999983</v>
      </c>
      <c r="K7" s="560"/>
      <c r="L7" s="2713"/>
      <c r="M7" s="2714"/>
      <c r="N7" s="2714"/>
      <c r="O7" s="2714"/>
      <c r="P7" s="3697" t="s">
        <v>1680</v>
      </c>
      <c r="Q7" s="3699"/>
      <c r="R7" s="701" t="s">
        <v>14</v>
      </c>
      <c r="S7" s="702">
        <f t="shared" ref="S7:S15" si="0">F7</f>
        <v>100</v>
      </c>
      <c r="T7" s="701" t="s">
        <v>14</v>
      </c>
      <c r="U7" s="702">
        <f t="shared" ref="U7:U15" si="1">H7</f>
        <v>98.799999999999983</v>
      </c>
      <c r="V7" s="701" t="s">
        <v>14</v>
      </c>
      <c r="W7" s="702">
        <f t="shared" ref="W7:W15" si="2">J7</f>
        <v>98.799999999999983</v>
      </c>
      <c r="X7" s="703"/>
      <c r="Y7" s="3697" t="s">
        <v>1680</v>
      </c>
      <c r="Z7" s="3698"/>
      <c r="AA7" s="704">
        <f>D7/F7</f>
        <v>1</v>
      </c>
      <c r="AB7" s="704">
        <f>D7/H7</f>
        <v>1.0121457489878545</v>
      </c>
      <c r="AC7" s="704">
        <f>D7/J7</f>
        <v>1.0121457489878545</v>
      </c>
    </row>
    <row r="8" spans="1:30" s="108" customFormat="1" ht="15.75" thickBot="1">
      <c r="A8" s="362" t="s">
        <v>1681</v>
      </c>
      <c r="B8" s="363"/>
      <c r="C8" s="368" t="s">
        <v>1682</v>
      </c>
      <c r="D8" s="365">
        <v>100</v>
      </c>
      <c r="E8" s="368" t="s">
        <v>3407</v>
      </c>
      <c r="F8" s="367">
        <f>SUMIF(72:72,E8,73:73)-SUMIF(72:72,C8,73:73)+100</f>
        <v>100</v>
      </c>
      <c r="G8" s="368" t="s">
        <v>3407</v>
      </c>
      <c r="H8" s="365">
        <f>SUMIF(72:72,G8,73:73)-SUMIF(72:72,C8,73:73)+100</f>
        <v>100</v>
      </c>
      <c r="I8" s="368" t="s">
        <v>3407</v>
      </c>
      <c r="J8" s="365">
        <f>SUMIF(72:72,I8,73:73)-SUMIF(72:72,C8,73:73)+100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45" si="3">D8/F8</f>
        <v>1</v>
      </c>
      <c r="AB8" s="704">
        <f t="shared" ref="AB8:AB45" si="4">D8/H8</f>
        <v>1</v>
      </c>
      <c r="AC8" s="704">
        <f t="shared" ref="AC8:AC45" si="5">D8/J8</f>
        <v>1</v>
      </c>
    </row>
    <row r="9" spans="1:30" s="108" customFormat="1" ht="15">
      <c r="A9" s="369" t="s">
        <v>1684</v>
      </c>
      <c r="B9" s="63" t="s">
        <v>1685</v>
      </c>
      <c r="C9" s="1974" t="s">
        <v>673</v>
      </c>
      <c r="D9" s="126">
        <v>100</v>
      </c>
      <c r="E9" s="1974" t="s">
        <v>3425</v>
      </c>
      <c r="F9" s="126">
        <f>SUMIF(74:74,E9,75:75)-SUMIF(74:74,C9,75:75)+100</f>
        <v>98</v>
      </c>
      <c r="G9" s="1974" t="s">
        <v>3425</v>
      </c>
      <c r="H9" s="126">
        <f>SUMIF(74:74,G9,75:75)-SUMIF(74:74,C9,75:75)+100</f>
        <v>98</v>
      </c>
      <c r="I9" s="1974" t="s">
        <v>3425</v>
      </c>
      <c r="J9" s="126">
        <f>SUMIF(74:74,I9,75:75)-SUMIF(74:74,C9,75:75)+100</f>
        <v>98</v>
      </c>
      <c r="K9" s="560"/>
      <c r="L9" s="2713"/>
      <c r="M9" s="2714"/>
      <c r="N9" s="2714"/>
      <c r="O9" s="2768"/>
      <c r="P9" s="3658" t="s">
        <v>1686</v>
      </c>
      <c r="Q9" s="1341" t="str">
        <f t="shared" ref="Q9:Q15" si="6">B9</f>
        <v>用途</v>
      </c>
      <c r="R9" s="701" t="s">
        <v>14</v>
      </c>
      <c r="S9" s="702">
        <f t="shared" si="0"/>
        <v>98</v>
      </c>
      <c r="T9" s="701" t="s">
        <v>14</v>
      </c>
      <c r="U9" s="702">
        <f t="shared" si="1"/>
        <v>98</v>
      </c>
      <c r="V9" s="701" t="s">
        <v>14</v>
      </c>
      <c r="W9" s="702">
        <f t="shared" si="2"/>
        <v>98</v>
      </c>
      <c r="X9" s="703"/>
      <c r="Y9" s="3565" t="s">
        <v>1687</v>
      </c>
      <c r="Z9" s="52" t="str">
        <f t="shared" ref="Z9:Z15" si="7">Q9</f>
        <v>用途</v>
      </c>
      <c r="AA9" s="704">
        <f t="shared" si="3"/>
        <v>1.0204081632653061</v>
      </c>
      <c r="AB9" s="704">
        <f t="shared" si="4"/>
        <v>1.0204081632653061</v>
      </c>
      <c r="AC9" s="704">
        <f t="shared" si="5"/>
        <v>1.0204081632653061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5"/>
      <c r="M10" s="2716"/>
      <c r="N10" s="2716"/>
      <c r="O10" s="2769"/>
      <c r="P10" s="3658"/>
      <c r="Q10" s="1341" t="str">
        <f t="shared" si="6"/>
        <v>土地使用年限（年）</v>
      </c>
      <c r="R10" s="701" t="s">
        <v>14</v>
      </c>
      <c r="S10" s="702">
        <f t="shared" si="0"/>
        <v>115</v>
      </c>
      <c r="T10" s="701" t="s">
        <v>14</v>
      </c>
      <c r="U10" s="702">
        <f t="shared" si="1"/>
        <v>115</v>
      </c>
      <c r="V10" s="701" t="s">
        <v>14</v>
      </c>
      <c r="W10" s="702">
        <f t="shared" si="2"/>
        <v>115</v>
      </c>
      <c r="X10" s="703"/>
      <c r="Y10" s="3565"/>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7"/>
      <c r="M11" s="2712"/>
      <c r="N11" s="2712"/>
      <c r="O11" s="2770"/>
      <c r="P11" s="3658"/>
      <c r="Q11" s="1341"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58"/>
      <c r="Q12" s="1341"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58"/>
      <c r="Q13" s="1341">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58"/>
      <c r="Q14" s="1341">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5" t="s">
        <v>1691</v>
      </c>
      <c r="Q15" s="1350" t="str">
        <f t="shared" si="6"/>
        <v>居住社区成熟度</v>
      </c>
      <c r="R15" s="705" t="s">
        <v>14</v>
      </c>
      <c r="S15" s="706">
        <f t="shared" si="0"/>
        <v>100</v>
      </c>
      <c r="T15" s="705" t="s">
        <v>14</v>
      </c>
      <c r="U15" s="706">
        <f t="shared" si="1"/>
        <v>100</v>
      </c>
      <c r="V15" s="705" t="s">
        <v>14</v>
      </c>
      <c r="W15" s="706">
        <f t="shared" si="2"/>
        <v>100</v>
      </c>
      <c r="X15" s="1353"/>
      <c r="Y15" s="3665" t="s">
        <v>1691</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718"/>
      <c r="M16" s="2712"/>
      <c r="N16" s="2712"/>
      <c r="O16" s="2770"/>
      <c r="P16" s="3666"/>
      <c r="Q16" s="1350"/>
      <c r="R16" s="705"/>
      <c r="S16" s="706"/>
      <c r="T16" s="705"/>
      <c r="U16" s="706"/>
      <c r="V16" s="705"/>
      <c r="W16" s="706"/>
      <c r="X16" s="1353"/>
      <c r="Y16" s="3666"/>
      <c r="Z16" s="1354"/>
      <c r="AA16" s="1351">
        <v>1</v>
      </c>
      <c r="AB16" s="1351">
        <v>1</v>
      </c>
      <c r="AC16" s="1351">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8"/>
      <c r="M17" s="2712"/>
      <c r="N17" s="2712"/>
      <c r="O17" s="2770"/>
      <c r="P17" s="3666"/>
      <c r="Q17" s="1350" t="str">
        <f>B17</f>
        <v>商业繁华度</v>
      </c>
      <c r="R17" s="705" t="s">
        <v>14</v>
      </c>
      <c r="S17" s="706">
        <f>F17</f>
        <v>100</v>
      </c>
      <c r="T17" s="705" t="s">
        <v>14</v>
      </c>
      <c r="U17" s="706">
        <f>H17</f>
        <v>100</v>
      </c>
      <c r="V17" s="705" t="s">
        <v>14</v>
      </c>
      <c r="W17" s="706">
        <f>J17</f>
        <v>100</v>
      </c>
      <c r="X17" s="1353"/>
      <c r="Y17" s="3666"/>
      <c r="Z17" s="1354" t="str">
        <f>Q17</f>
        <v>商业繁华度</v>
      </c>
      <c r="AA17" s="1351">
        <f t="shared" si="3"/>
        <v>1</v>
      </c>
      <c r="AB17" s="1351">
        <f t="shared" si="4"/>
        <v>1</v>
      </c>
      <c r="AC17" s="1351">
        <f t="shared" si="5"/>
        <v>1</v>
      </c>
    </row>
    <row r="18" spans="1:29" ht="15">
      <c r="A18" s="379"/>
      <c r="B18" s="407"/>
      <c r="C18" s="1898" t="s">
        <v>3387</v>
      </c>
      <c r="D18" s="401"/>
      <c r="E18" s="1900" t="s">
        <v>3387</v>
      </c>
      <c r="F18" s="401"/>
      <c r="G18" s="1900" t="s">
        <v>3387</v>
      </c>
      <c r="H18" s="399"/>
      <c r="I18" s="1900" t="s">
        <v>3387</v>
      </c>
      <c r="J18" s="399"/>
      <c r="K18" s="620"/>
      <c r="L18" s="2718"/>
      <c r="M18" s="2712"/>
      <c r="N18" s="2712"/>
      <c r="O18" s="2770"/>
      <c r="P18" s="3666"/>
      <c r="Q18" s="1350"/>
      <c r="R18" s="705"/>
      <c r="S18" s="706"/>
      <c r="T18" s="705"/>
      <c r="U18" s="706"/>
      <c r="V18" s="705"/>
      <c r="W18" s="706"/>
      <c r="X18" s="1353"/>
      <c r="Y18" s="3666"/>
      <c r="Z18" s="1354"/>
      <c r="AA18" s="1351">
        <v>1</v>
      </c>
      <c r="AB18" s="1351">
        <v>1</v>
      </c>
      <c r="AC18" s="1351">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6"/>
      <c r="Q19" s="1350" t="str">
        <f>B19</f>
        <v>办公集聚程度</v>
      </c>
      <c r="R19" s="705" t="s">
        <v>14</v>
      </c>
      <c r="S19" s="706">
        <f>F19</f>
        <v>100</v>
      </c>
      <c r="T19" s="705" t="s">
        <v>14</v>
      </c>
      <c r="U19" s="706">
        <f>H19</f>
        <v>100</v>
      </c>
      <c r="V19" s="705" t="s">
        <v>14</v>
      </c>
      <c r="W19" s="706">
        <f>J19</f>
        <v>100</v>
      </c>
      <c r="X19" s="1353"/>
      <c r="Y19" s="3666"/>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8"/>
      <c r="M20" s="2712"/>
      <c r="N20" s="2712"/>
      <c r="O20" s="2770"/>
      <c r="P20" s="3666"/>
      <c r="Q20" s="1350"/>
      <c r="R20" s="705"/>
      <c r="S20" s="706"/>
      <c r="T20" s="705"/>
      <c r="U20" s="706"/>
      <c r="V20" s="705"/>
      <c r="W20" s="706"/>
      <c r="X20" s="1353"/>
      <c r="Y20" s="3666"/>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18"/>
      <c r="M21" s="2712"/>
      <c r="N21" s="2712"/>
      <c r="O21" s="2770"/>
      <c r="P21" s="3666"/>
      <c r="Q21" s="1350" t="str">
        <f>B21</f>
        <v>交通便捷度</v>
      </c>
      <c r="R21" s="705" t="s">
        <v>14</v>
      </c>
      <c r="S21" s="706">
        <f>F21</f>
        <v>100</v>
      </c>
      <c r="T21" s="705" t="s">
        <v>14</v>
      </c>
      <c r="U21" s="706">
        <f>H21</f>
        <v>100</v>
      </c>
      <c r="V21" s="705" t="s">
        <v>14</v>
      </c>
      <c r="W21" s="706">
        <f>J21</f>
        <v>100</v>
      </c>
      <c r="X21" s="1353"/>
      <c r="Y21" s="3666"/>
      <c r="Z21" s="1354" t="str">
        <f>Q21</f>
        <v>交通便捷度</v>
      </c>
      <c r="AA21" s="1351">
        <f t="shared" si="3"/>
        <v>1</v>
      </c>
      <c r="AB21" s="1351">
        <f t="shared" si="4"/>
        <v>1</v>
      </c>
      <c r="AC21" s="1351">
        <f t="shared" si="5"/>
        <v>1</v>
      </c>
    </row>
    <row r="22" spans="1:29" ht="15">
      <c r="A22" s="379"/>
      <c r="B22" s="1130"/>
      <c r="C22" s="398" t="s">
        <v>3388</v>
      </c>
      <c r="D22" s="401"/>
      <c r="E22" s="398" t="s">
        <v>3388</v>
      </c>
      <c r="F22" s="399"/>
      <c r="G22" s="398" t="s">
        <v>3388</v>
      </c>
      <c r="H22" s="399"/>
      <c r="I22" s="398" t="s">
        <v>3388</v>
      </c>
      <c r="J22" s="399"/>
      <c r="K22" s="620"/>
      <c r="L22" s="2718"/>
      <c r="M22" s="2712"/>
      <c r="N22" s="2712"/>
      <c r="O22" s="2770"/>
      <c r="P22" s="3666"/>
      <c r="Q22" s="1350"/>
      <c r="R22" s="705"/>
      <c r="S22" s="706"/>
      <c r="T22" s="705"/>
      <c r="U22" s="706"/>
      <c r="V22" s="705"/>
      <c r="W22" s="706"/>
      <c r="X22" s="1353"/>
      <c r="Y22" s="3666"/>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66"/>
      <c r="Q23" s="1350" t="str">
        <f t="shared" ref="Q23:Q37" si="8">B23</f>
        <v>区域土地利用方向</v>
      </c>
      <c r="R23" s="705" t="s">
        <v>14</v>
      </c>
      <c r="S23" s="706">
        <f>F23</f>
        <v>100</v>
      </c>
      <c r="T23" s="705" t="s">
        <v>14</v>
      </c>
      <c r="U23" s="706">
        <f>H23</f>
        <v>100</v>
      </c>
      <c r="V23" s="705" t="s">
        <v>14</v>
      </c>
      <c r="W23" s="706">
        <f>J23</f>
        <v>100</v>
      </c>
      <c r="X23" s="1353"/>
      <c r="Y23" s="3666"/>
      <c r="Z23" s="1354" t="str">
        <f>Q23</f>
        <v>区域土地利用方向</v>
      </c>
      <c r="AA23" s="1351">
        <f t="shared" si="3"/>
        <v>1</v>
      </c>
      <c r="AB23" s="1351">
        <f t="shared" si="4"/>
        <v>1</v>
      </c>
      <c r="AC23" s="1351">
        <f t="shared" si="5"/>
        <v>1</v>
      </c>
    </row>
    <row r="24" spans="1:29" ht="15">
      <c r="A24" s="358"/>
      <c r="B24" s="407"/>
      <c r="C24" s="565" t="s">
        <v>3388</v>
      </c>
      <c r="D24" s="399"/>
      <c r="E24" s="565" t="s">
        <v>3388</v>
      </c>
      <c r="F24" s="399"/>
      <c r="G24" s="565" t="s">
        <v>3388</v>
      </c>
      <c r="H24" s="399"/>
      <c r="I24" s="565" t="s">
        <v>3388</v>
      </c>
      <c r="J24" s="399"/>
      <c r="K24" s="740"/>
      <c r="L24" s="2718"/>
      <c r="M24" s="2712"/>
      <c r="N24" s="2712"/>
      <c r="O24" s="2770"/>
      <c r="P24" s="3666"/>
      <c r="Q24" s="1350"/>
      <c r="R24" s="705"/>
      <c r="S24" s="706"/>
      <c r="T24" s="705"/>
      <c r="U24" s="706"/>
      <c r="V24" s="705"/>
      <c r="W24" s="706"/>
      <c r="X24" s="1353"/>
      <c r="Y24" s="3666"/>
      <c r="Z24" s="1354"/>
      <c r="AA24" s="1351"/>
      <c r="AB24" s="1351"/>
      <c r="AC24" s="1351"/>
    </row>
    <row r="25" spans="1:29" ht="57">
      <c r="A25" s="358"/>
      <c r="B25" s="1130" t="s">
        <v>1872</v>
      </c>
      <c r="C25" s="1952" t="str">
        <f>估价对象房地状况!C20</f>
        <v>区域自然环境：；人文环境；综合评价环境状况一般</v>
      </c>
      <c r="D25" s="401">
        <v>100</v>
      </c>
      <c r="E25" s="403"/>
      <c r="F25" s="401">
        <f>SUMIF(97:97,E26,98:98)-SUMIF(97:97,C26,98:98)+100</f>
        <v>102</v>
      </c>
      <c r="G25" s="403"/>
      <c r="H25" s="401">
        <f>SUMIF(97:97,G26,98:98)-SUMIF(97:97,C26,98:98)+100</f>
        <v>102</v>
      </c>
      <c r="I25" s="405"/>
      <c r="J25" s="401">
        <f>SUMIF(97:97,I26,98:98)-SUMIF(97:97,C26,98:98)+100</f>
        <v>102</v>
      </c>
      <c r="K25" s="621">
        <v>2</v>
      </c>
      <c r="L25" s="2718"/>
      <c r="M25" s="2712"/>
      <c r="N25" s="2712"/>
      <c r="O25" s="2770"/>
      <c r="P25" s="3666"/>
      <c r="Q25" s="1350" t="str">
        <f t="shared" si="8"/>
        <v>自然及人文环境状况</v>
      </c>
      <c r="R25" s="705" t="s">
        <v>14</v>
      </c>
      <c r="S25" s="706">
        <f>F25</f>
        <v>102</v>
      </c>
      <c r="T25" s="705" t="s">
        <v>14</v>
      </c>
      <c r="U25" s="706">
        <f>H25</f>
        <v>102</v>
      </c>
      <c r="V25" s="705" t="s">
        <v>14</v>
      </c>
      <c r="W25" s="706">
        <f>J25</f>
        <v>102</v>
      </c>
      <c r="X25" s="1353"/>
      <c r="Y25" s="3666"/>
      <c r="Z25" s="1354" t="str">
        <f>Q25</f>
        <v>自然及人文环境状况</v>
      </c>
      <c r="AA25" s="1351">
        <f t="shared" si="3"/>
        <v>0.98039215686274506</v>
      </c>
      <c r="AB25" s="1351">
        <f t="shared" si="4"/>
        <v>0.98039215686274506</v>
      </c>
      <c r="AC25" s="1351">
        <f t="shared" si="5"/>
        <v>0.98039215686274506</v>
      </c>
    </row>
    <row r="26" spans="1:29" ht="15">
      <c r="A26" s="358"/>
      <c r="B26" s="407"/>
      <c r="C26" s="398" t="s">
        <v>3387</v>
      </c>
      <c r="D26" s="399"/>
      <c r="E26" s="1901" t="s">
        <v>3388</v>
      </c>
      <c r="F26" s="399"/>
      <c r="G26" s="1901" t="s">
        <v>3388</v>
      </c>
      <c r="H26" s="399"/>
      <c r="I26" s="1901" t="s">
        <v>3388</v>
      </c>
      <c r="J26" s="399"/>
      <c r="K26" s="620"/>
      <c r="L26" s="2718"/>
      <c r="M26" s="2712"/>
      <c r="N26" s="2712"/>
      <c r="O26" s="2770"/>
      <c r="P26" s="3666"/>
      <c r="Q26" s="1350"/>
      <c r="R26" s="705"/>
      <c r="S26" s="706"/>
      <c r="T26" s="705"/>
      <c r="U26" s="706"/>
      <c r="V26" s="705"/>
      <c r="W26" s="706"/>
      <c r="X26" s="1353"/>
      <c r="Y26" s="3666"/>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3"/>
      <c r="M27" s="2714"/>
      <c r="N27" s="2714"/>
      <c r="O27" s="2768"/>
      <c r="P27" s="3666"/>
      <c r="Q27" s="1341" t="str">
        <f t="shared" si="8"/>
        <v>公共配套设施</v>
      </c>
      <c r="R27" s="701" t="s">
        <v>14</v>
      </c>
      <c r="S27" s="702">
        <f>F27</f>
        <v>100</v>
      </c>
      <c r="T27" s="701" t="s">
        <v>14</v>
      </c>
      <c r="U27" s="702">
        <f>H27</f>
        <v>100</v>
      </c>
      <c r="V27" s="701" t="s">
        <v>14</v>
      </c>
      <c r="W27" s="702">
        <f>J27</f>
        <v>100</v>
      </c>
      <c r="X27" s="703"/>
      <c r="Y27" s="3666"/>
      <c r="Z27" s="52" t="str">
        <f>Q27</f>
        <v>公共配套设施</v>
      </c>
      <c r="AA27" s="1351">
        <f>D27/F27</f>
        <v>1</v>
      </c>
      <c r="AB27" s="1351">
        <f>D27/H27</f>
        <v>1</v>
      </c>
      <c r="AC27" s="1351">
        <f>D27/J27</f>
        <v>1</v>
      </c>
    </row>
    <row r="28" spans="1:29" s="108" customFormat="1" ht="15">
      <c r="A28" s="597"/>
      <c r="B28" s="407"/>
      <c r="C28" s="1975" t="s">
        <v>3388</v>
      </c>
      <c r="D28" s="399"/>
      <c r="E28" s="1901" t="s">
        <v>3388</v>
      </c>
      <c r="F28" s="399"/>
      <c r="G28" s="1901" t="s">
        <v>3388</v>
      </c>
      <c r="H28" s="399"/>
      <c r="I28" s="1901" t="s">
        <v>3388</v>
      </c>
      <c r="J28" s="399"/>
      <c r="K28" s="620"/>
      <c r="L28" s="2713"/>
      <c r="M28" s="2714"/>
      <c r="N28" s="2714"/>
      <c r="O28" s="2768"/>
      <c r="P28" s="3666"/>
      <c r="Q28" s="1341"/>
      <c r="R28" s="701"/>
      <c r="S28" s="702"/>
      <c r="T28" s="701"/>
      <c r="U28" s="702"/>
      <c r="V28" s="701"/>
      <c r="W28" s="702"/>
      <c r="X28" s="703"/>
      <c r="Y28" s="3666"/>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3"/>
      <c r="M29" s="2714"/>
      <c r="N29" s="2714"/>
      <c r="O29" s="2768"/>
      <c r="P29" s="3666"/>
      <c r="Q29" s="1341"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1">
        <f>D29/F29</f>
        <v>1</v>
      </c>
      <c r="AB29" s="1351">
        <f>D29/H29</f>
        <v>1</v>
      </c>
      <c r="AC29" s="1351">
        <f>D29/J29</f>
        <v>1</v>
      </c>
    </row>
    <row r="30" spans="1:29" s="108" customFormat="1" ht="15">
      <c r="A30" s="597"/>
      <c r="B30" s="407"/>
      <c r="C30" s="1975" t="s">
        <v>3409</v>
      </c>
      <c r="D30" s="399"/>
      <c r="E30" s="1975" t="s">
        <v>3409</v>
      </c>
      <c r="F30" s="399"/>
      <c r="G30" s="1975" t="s">
        <v>3409</v>
      </c>
      <c r="H30" s="399"/>
      <c r="I30" s="1975" t="s">
        <v>3409</v>
      </c>
      <c r="J30" s="399"/>
      <c r="K30" s="620"/>
      <c r="L30" s="2713"/>
      <c r="M30" s="2714"/>
      <c r="N30" s="2714"/>
      <c r="O30" s="2768"/>
      <c r="P30" s="3666"/>
      <c r="Q30" s="1341"/>
      <c r="R30" s="701"/>
      <c r="S30" s="702"/>
      <c r="T30" s="701"/>
      <c r="U30" s="702"/>
      <c r="V30" s="701"/>
      <c r="W30" s="702"/>
      <c r="X30" s="703"/>
      <c r="Y30" s="366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6"/>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66"/>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6"/>
      <c r="Q32" s="1350" t="str">
        <f t="shared" si="8"/>
        <v>毗邻道路的类型与等级</v>
      </c>
      <c r="R32" s="705" t="s">
        <v>14</v>
      </c>
      <c r="S32" s="706">
        <f t="shared" si="10"/>
        <v>100</v>
      </c>
      <c r="T32" s="705" t="s">
        <v>14</v>
      </c>
      <c r="U32" s="706">
        <f t="shared" si="11"/>
        <v>100</v>
      </c>
      <c r="V32" s="705" t="s">
        <v>14</v>
      </c>
      <c r="W32" s="706">
        <f t="shared" si="12"/>
        <v>100</v>
      </c>
      <c r="X32" s="1353"/>
      <c r="Y32" s="3666"/>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8"/>
      <c r="M33" s="2712"/>
      <c r="N33" s="2712"/>
      <c r="O33" s="2770"/>
      <c r="P33" s="3666"/>
      <c r="Q33" s="1350"/>
      <c r="R33" s="705"/>
      <c r="S33" s="706"/>
      <c r="T33" s="705"/>
      <c r="U33" s="706"/>
      <c r="V33" s="705"/>
      <c r="W33" s="706"/>
      <c r="X33" s="1353"/>
      <c r="Y33" s="366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6"/>
      <c r="Q34" s="1350" t="str">
        <f t="shared" si="8"/>
        <v>土地级别</v>
      </c>
      <c r="R34" s="705" t="s">
        <v>14</v>
      </c>
      <c r="S34" s="706">
        <f t="shared" si="10"/>
        <v>100</v>
      </c>
      <c r="T34" s="705" t="s">
        <v>14</v>
      </c>
      <c r="U34" s="706">
        <f t="shared" si="11"/>
        <v>100</v>
      </c>
      <c r="V34" s="705" t="s">
        <v>14</v>
      </c>
      <c r="W34" s="706">
        <f t="shared" si="12"/>
        <v>100</v>
      </c>
      <c r="X34" s="1353"/>
      <c r="Y34" s="3666"/>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6"/>
      <c r="Q35" s="1350">
        <f t="shared" si="8"/>
        <v>111</v>
      </c>
      <c r="R35" s="705" t="s">
        <v>14</v>
      </c>
      <c r="S35" s="706">
        <f t="shared" si="10"/>
        <v>100</v>
      </c>
      <c r="T35" s="705" t="s">
        <v>14</v>
      </c>
      <c r="U35" s="706">
        <f t="shared" si="11"/>
        <v>100</v>
      </c>
      <c r="V35" s="705" t="s">
        <v>14</v>
      </c>
      <c r="W35" s="706">
        <f t="shared" si="12"/>
        <v>100</v>
      </c>
      <c r="X35" s="1353"/>
      <c r="Y35" s="3666"/>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0" t="s">
        <v>1696</v>
      </c>
      <c r="Q36" s="1350">
        <f t="shared" si="8"/>
        <v>111</v>
      </c>
      <c r="R36" s="705" t="s">
        <v>14</v>
      </c>
      <c r="S36" s="706">
        <f t="shared" si="10"/>
        <v>100</v>
      </c>
      <c r="T36" s="705" t="s">
        <v>14</v>
      </c>
      <c r="U36" s="706">
        <f t="shared" si="11"/>
        <v>100</v>
      </c>
      <c r="V36" s="705" t="s">
        <v>14</v>
      </c>
      <c r="W36" s="706">
        <f t="shared" si="12"/>
        <v>100</v>
      </c>
      <c r="X36" s="1353"/>
      <c r="Y36" s="3670"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0"/>
      <c r="Q37" s="1350">
        <f t="shared" si="8"/>
        <v>111</v>
      </c>
      <c r="R37" s="708" t="s">
        <v>14</v>
      </c>
      <c r="S37" s="709">
        <f t="shared" si="10"/>
        <v>100</v>
      </c>
      <c r="T37" s="708" t="s">
        <v>14</v>
      </c>
      <c r="U37" s="709">
        <f t="shared" si="11"/>
        <v>100</v>
      </c>
      <c r="V37" s="708" t="s">
        <v>14</v>
      </c>
      <c r="W37" s="709">
        <f t="shared" si="12"/>
        <v>100</v>
      </c>
      <c r="X37" s="710"/>
      <c r="Y37" s="3670"/>
      <c r="Z37" s="711">
        <f t="shared" si="13"/>
        <v>111</v>
      </c>
      <c r="AA37" s="1351">
        <f t="shared" si="3"/>
        <v>1</v>
      </c>
      <c r="AB37" s="1351">
        <f t="shared" si="4"/>
        <v>1</v>
      </c>
      <c r="AC37" s="1351">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8"/>
      <c r="M38" s="2712"/>
      <c r="N38" s="2712"/>
      <c r="O38" s="2770"/>
      <c r="P38" s="3670"/>
      <c r="Q38" s="1350" t="str">
        <f>B38</f>
        <v>宗地面积</v>
      </c>
      <c r="R38" s="705" t="s">
        <v>14</v>
      </c>
      <c r="S38" s="706">
        <f t="shared" si="10"/>
        <v>100</v>
      </c>
      <c r="T38" s="705" t="s">
        <v>14</v>
      </c>
      <c r="U38" s="706">
        <f t="shared" si="11"/>
        <v>100</v>
      </c>
      <c r="V38" s="705" t="s">
        <v>14</v>
      </c>
      <c r="W38" s="706">
        <f t="shared" si="12"/>
        <v>100</v>
      </c>
      <c r="X38" s="1353"/>
      <c r="Y38" s="3670"/>
      <c r="Z38" s="1354" t="str">
        <f t="shared" si="13"/>
        <v>宗地面积</v>
      </c>
      <c r="AA38" s="1351">
        <f t="shared" si="3"/>
        <v>1</v>
      </c>
      <c r="AB38" s="1351">
        <f t="shared" si="4"/>
        <v>1</v>
      </c>
      <c r="AC38" s="1351">
        <f t="shared" si="5"/>
        <v>1</v>
      </c>
    </row>
    <row r="39" spans="1:29" ht="15">
      <c r="A39" s="423"/>
      <c r="B39" s="375" t="s">
        <v>1875</v>
      </c>
      <c r="C39" s="1903" t="s">
        <v>3482</v>
      </c>
      <c r="D39" s="386">
        <v>100</v>
      </c>
      <c r="E39" s="1903" t="s">
        <v>3482</v>
      </c>
      <c r="F39" s="386">
        <f>SUMIF(118:118,E39,119:119)-SUMIF(118:118,C39,119:119)+100</f>
        <v>100</v>
      </c>
      <c r="G39" s="1903" t="s">
        <v>3482</v>
      </c>
      <c r="H39" s="386">
        <f>SUMIF(118:118,G39,119:119)-SUMIF(118:118,C39,119:119)+100</f>
        <v>100</v>
      </c>
      <c r="I39" s="1903" t="s">
        <v>3482</v>
      </c>
      <c r="J39" s="386">
        <f>SUMIF(118:118,I39,119:119)-SUMIF(118:118,C39,119:119)+100</f>
        <v>100</v>
      </c>
      <c r="K39" s="561">
        <v>2</v>
      </c>
      <c r="L39" s="2718"/>
      <c r="M39" s="2712"/>
      <c r="N39" s="2712"/>
      <c r="O39" s="2770"/>
      <c r="P39" s="3670"/>
      <c r="Q39" s="1350" t="str">
        <f t="shared" ref="Q39:Q45" si="14">B39</f>
        <v>宗地形状</v>
      </c>
      <c r="R39" s="705" t="s">
        <v>14</v>
      </c>
      <c r="S39" s="706">
        <f t="shared" si="10"/>
        <v>100</v>
      </c>
      <c r="T39" s="705" t="s">
        <v>14</v>
      </c>
      <c r="U39" s="706">
        <f t="shared" si="11"/>
        <v>100</v>
      </c>
      <c r="V39" s="705" t="s">
        <v>14</v>
      </c>
      <c r="W39" s="706">
        <f t="shared" si="12"/>
        <v>100</v>
      </c>
      <c r="X39" s="1353"/>
      <c r="Y39" s="3670"/>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670"/>
      <c r="Q40" s="1350" t="str">
        <f t="shared" si="14"/>
        <v>临街宽度及深度</v>
      </c>
      <c r="R40" s="705" t="s">
        <v>14</v>
      </c>
      <c r="S40" s="706">
        <f t="shared" si="10"/>
        <v>100</v>
      </c>
      <c r="T40" s="705" t="s">
        <v>14</v>
      </c>
      <c r="U40" s="706">
        <f t="shared" si="11"/>
        <v>100</v>
      </c>
      <c r="V40" s="705" t="s">
        <v>14</v>
      </c>
      <c r="W40" s="706">
        <f t="shared" si="12"/>
        <v>100</v>
      </c>
      <c r="X40" s="1353"/>
      <c r="Y40" s="3670"/>
      <c r="Z40" s="1354" t="str">
        <f t="shared" si="13"/>
        <v>临街宽度及深度</v>
      </c>
      <c r="AA40" s="1351">
        <f t="shared" si="3"/>
        <v>1</v>
      </c>
      <c r="AB40" s="1351">
        <f t="shared" si="4"/>
        <v>1</v>
      </c>
      <c r="AC40" s="1351">
        <f t="shared" si="5"/>
        <v>1</v>
      </c>
    </row>
    <row r="41" spans="1:29" s="108" customFormat="1" ht="15">
      <c r="A41" s="424"/>
      <c r="B41" s="375" t="s">
        <v>1877</v>
      </c>
      <c r="C41" s="1977" t="s">
        <v>3487</v>
      </c>
      <c r="D41" s="127">
        <v>100</v>
      </c>
      <c r="E41" s="1977" t="s">
        <v>3487</v>
      </c>
      <c r="F41" s="386">
        <f>SUMIF(122:122,E41,123:123)-SUMIF(122:122,C41,123:123)+100</f>
        <v>100</v>
      </c>
      <c r="G41" s="1977" t="s">
        <v>3487</v>
      </c>
      <c r="H41" s="386">
        <f>SUMIF(122:122,G41,123:123)-SUMIF(122:122,C41,123:123)+100</f>
        <v>100</v>
      </c>
      <c r="I41" s="1977" t="s">
        <v>3487</v>
      </c>
      <c r="J41" s="386">
        <f>SUMIF(122:122,I41,123:123)-SUMIF(122:122,C41,123:123)+100</f>
        <v>100</v>
      </c>
      <c r="K41" s="561">
        <v>1</v>
      </c>
      <c r="L41" s="2713"/>
      <c r="M41" s="2714"/>
      <c r="N41" s="2714"/>
      <c r="O41" s="2768"/>
      <c r="P41" s="3670"/>
      <c r="Q41" s="1350"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3" t="s">
        <v>3388</v>
      </c>
      <c r="D42" s="386">
        <v>100</v>
      </c>
      <c r="E42" s="1903" t="s">
        <v>3388</v>
      </c>
      <c r="F42" s="386">
        <f>SUMIF(124:124,E42,125:125)-SUMIF(124:124,C42,125:125)+100</f>
        <v>100</v>
      </c>
      <c r="G42" s="1903" t="s">
        <v>3388</v>
      </c>
      <c r="H42" s="386">
        <f>SUMIF(124:124,G42,125:125)-SUMIF(124:124,C42,125:125)+100</f>
        <v>100</v>
      </c>
      <c r="I42" s="1903" t="s">
        <v>3388</v>
      </c>
      <c r="J42" s="386">
        <f>SUMIF(124:124,I42,125:125)-SUMIF(124:124,C42,125:125)+100</f>
        <v>100</v>
      </c>
      <c r="K42" s="561">
        <v>2</v>
      </c>
      <c r="L42" s="2718"/>
      <c r="M42" s="2712"/>
      <c r="N42" s="2712"/>
      <c r="O42" s="2770"/>
      <c r="P42" s="3670" t="s">
        <v>1696</v>
      </c>
      <c r="Q42" s="1350" t="str">
        <f t="shared" si="14"/>
        <v>工程地质条件</v>
      </c>
      <c r="R42" s="705" t="s">
        <v>14</v>
      </c>
      <c r="S42" s="706">
        <f t="shared" si="10"/>
        <v>100</v>
      </c>
      <c r="T42" s="705" t="s">
        <v>14</v>
      </c>
      <c r="U42" s="706">
        <f t="shared" si="11"/>
        <v>100</v>
      </c>
      <c r="V42" s="705" t="s">
        <v>14</v>
      </c>
      <c r="W42" s="706">
        <f t="shared" si="12"/>
        <v>100</v>
      </c>
      <c r="X42" s="1353"/>
      <c r="Y42" s="3670"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0"/>
      <c r="Q43" s="1350">
        <f t="shared" si="14"/>
        <v>111</v>
      </c>
      <c r="R43" s="705" t="s">
        <v>14</v>
      </c>
      <c r="S43" s="706">
        <f t="shared" si="10"/>
        <v>100</v>
      </c>
      <c r="T43" s="705" t="s">
        <v>14</v>
      </c>
      <c r="U43" s="706">
        <f t="shared" si="11"/>
        <v>100</v>
      </c>
      <c r="V43" s="705" t="s">
        <v>14</v>
      </c>
      <c r="W43" s="706">
        <f t="shared" si="12"/>
        <v>100</v>
      </c>
      <c r="X43" s="1353"/>
      <c r="Y43" s="3670"/>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0"/>
      <c r="Q44" s="1350">
        <f t="shared" si="14"/>
        <v>111</v>
      </c>
      <c r="R44" s="705" t="s">
        <v>14</v>
      </c>
      <c r="S44" s="706">
        <f t="shared" si="10"/>
        <v>100</v>
      </c>
      <c r="T44" s="705" t="s">
        <v>14</v>
      </c>
      <c r="U44" s="706">
        <f t="shared" si="11"/>
        <v>100</v>
      </c>
      <c r="V44" s="705" t="s">
        <v>14</v>
      </c>
      <c r="W44" s="706">
        <f t="shared" si="12"/>
        <v>100</v>
      </c>
      <c r="X44" s="1353"/>
      <c r="Y44" s="3670"/>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0"/>
      <c r="Q45" s="1350">
        <f t="shared" si="14"/>
        <v>111</v>
      </c>
      <c r="R45" s="708" t="s">
        <v>14</v>
      </c>
      <c r="S45" s="709">
        <f t="shared" si="10"/>
        <v>100</v>
      </c>
      <c r="T45" s="708" t="s">
        <v>14</v>
      </c>
      <c r="U45" s="709">
        <f t="shared" si="11"/>
        <v>100</v>
      </c>
      <c r="V45" s="708" t="s">
        <v>14</v>
      </c>
      <c r="W45" s="709">
        <f t="shared" si="12"/>
        <v>100</v>
      </c>
      <c r="X45" s="710"/>
      <c r="Y45" s="3670"/>
      <c r="Z45" s="711">
        <f t="shared" si="13"/>
        <v>111</v>
      </c>
      <c r="AA45" s="1351">
        <f t="shared" si="3"/>
        <v>1</v>
      </c>
      <c r="AB45" s="1351">
        <f t="shared" si="4"/>
        <v>1</v>
      </c>
      <c r="AC45" s="1351">
        <f t="shared" si="5"/>
        <v>1</v>
      </c>
    </row>
    <row r="46" spans="1:29" ht="15">
      <c r="A46" s="430" t="s">
        <v>1844</v>
      </c>
      <c r="B46" s="1979" t="s">
        <v>1879</v>
      </c>
      <c r="C46" s="630" t="s">
        <v>0</v>
      </c>
      <c r="D46" s="432"/>
      <c r="E46" s="433">
        <f>土地案例!U2</f>
        <v>20677</v>
      </c>
      <c r="F46" s="434"/>
      <c r="G46" s="435">
        <f>土地案例!U3</f>
        <v>20691</v>
      </c>
      <c r="H46" s="436"/>
      <c r="I46" s="433">
        <f>土地案例!U4</f>
        <v>20797</v>
      </c>
      <c r="J46" s="436"/>
      <c r="K46" s="714"/>
      <c r="L46" s="2720"/>
      <c r="M46" s="2721"/>
      <c r="N46" s="2712"/>
      <c r="O46" s="2721"/>
      <c r="P46" s="3658" t="str">
        <f>A46</f>
        <v>成交单价</v>
      </c>
      <c r="Q46" s="3658"/>
      <c r="R46" s="3672">
        <f>E46</f>
        <v>20677</v>
      </c>
      <c r="S46" s="3672"/>
      <c r="T46" s="3672">
        <f>G46</f>
        <v>20691</v>
      </c>
      <c r="U46" s="3672"/>
      <c r="V46" s="3672">
        <f>I46</f>
        <v>20797</v>
      </c>
      <c r="W46" s="3672"/>
      <c r="X46" s="690"/>
      <c r="Y46" s="712"/>
      <c r="Z46" s="690"/>
      <c r="AA46" s="690"/>
      <c r="AB46" s="690"/>
      <c r="AC46" s="690"/>
    </row>
    <row r="47" spans="1:29" ht="15.75" thickBot="1">
      <c r="A47" s="437" t="s">
        <v>1793</v>
      </c>
      <c r="B47" s="631"/>
      <c r="C47" s="440">
        <f>R48</f>
        <v>18172</v>
      </c>
      <c r="D47" s="2313" t="s">
        <v>2137</v>
      </c>
      <c r="E47" s="440">
        <f>R47</f>
        <v>17987</v>
      </c>
      <c r="F47" s="2314"/>
      <c r="G47" s="439">
        <f>T47</f>
        <v>18218</v>
      </c>
      <c r="H47" s="2314"/>
      <c r="I47" s="440">
        <f>V47</f>
        <v>18311</v>
      </c>
      <c r="J47" s="2314"/>
      <c r="K47" s="2316">
        <f>F47+H47+J47</f>
        <v>0</v>
      </c>
      <c r="L47" s="2720"/>
      <c r="M47" s="2721"/>
      <c r="N47" s="2721"/>
      <c r="O47" s="2721"/>
      <c r="P47" s="3658" t="str">
        <f>A47</f>
        <v>比较价值（元/平方米）</v>
      </c>
      <c r="Q47" s="3658"/>
      <c r="R47" s="3707">
        <f>ROUND(PRODUCT(R46,AA7:AA45),0)</f>
        <v>17987</v>
      </c>
      <c r="S47" s="3707"/>
      <c r="T47" s="3707">
        <f>ROUND(PRODUCT(T46,AB7:AB45),0)</f>
        <v>18218</v>
      </c>
      <c r="U47" s="3707"/>
      <c r="V47" s="3707">
        <f>ROUND(PRODUCT(V46,AC7:AC45),0)</f>
        <v>18311</v>
      </c>
      <c r="W47" s="3707"/>
      <c r="X47" s="690"/>
      <c r="Y47" s="690"/>
      <c r="Z47" s="690"/>
      <c r="AA47" s="690"/>
      <c r="AB47" s="690"/>
      <c r="AC47" s="690"/>
    </row>
    <row r="48" spans="1:29" ht="15.75" thickBot="1">
      <c r="A48" s="441" t="s">
        <v>1880</v>
      </c>
      <c r="B48" s="442"/>
      <c r="C48" s="443">
        <f>R48</f>
        <v>18172</v>
      </c>
      <c r="D48" s="443"/>
      <c r="E48" s="443"/>
      <c r="F48" s="443"/>
      <c r="G48" s="443"/>
      <c r="H48" s="443"/>
      <c r="I48" s="443"/>
      <c r="J48" s="443"/>
      <c r="K48" s="715"/>
      <c r="L48" s="2720"/>
      <c r="M48" s="2721"/>
      <c r="N48" s="2721"/>
      <c r="O48" s="2721"/>
      <c r="P48" s="3660" t="str">
        <f>A48</f>
        <v>估价对象XX用房的比较价值（楼面单价，元/平方米）</v>
      </c>
      <c r="Q48" s="3661"/>
      <c r="R48" s="3708">
        <f>ROUND(IF(D47="简单平均",AVERAGE(R47:W47),R47*F47+T47*H47+V47*J47),0)</f>
        <v>18172</v>
      </c>
      <c r="S48" s="3708"/>
      <c r="T48" s="3708"/>
      <c r="U48" s="3708"/>
      <c r="V48" s="3708"/>
      <c r="W48" s="370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0.1495524545505087</v>
      </c>
      <c r="F51" s="449" t="str">
        <f>IF(OR(E51&gt;=0.3,E51&lt;=-0.3),"超过30%","")</f>
        <v/>
      </c>
      <c r="G51" s="448">
        <f>IF(G46&lt;G47,G47/G46-1,G46/G47-1)</f>
        <v>0.13574486771325067</v>
      </c>
      <c r="H51" s="449" t="str">
        <f>IF(OR(G51&gt;=0.3,G51&lt;=-0.3),"超过30%","")</f>
        <v/>
      </c>
      <c r="I51" s="448">
        <f>IF(I46&lt;I47,I47/I46-1,I46/I47-1)</f>
        <v>0.13576538692589146</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1.2842608550619916E-2</v>
      </c>
      <c r="F52" s="449" t="str">
        <f>IF(OR(E52&gt;=0.2,E52&lt;=-0.2),"超过20%","")</f>
        <v/>
      </c>
      <c r="G52" s="448">
        <f>IF(G47&lt;I47,I47/G47-1,G47/I47-1)</f>
        <v>5.1048413656822333E-3</v>
      </c>
      <c r="H52" s="449" t="str">
        <f>IF(OR(G52&gt;=0.2,G52&lt;=-0.2),"超过20%","")</f>
        <v/>
      </c>
      <c r="I52" s="448">
        <f>IF(I47&lt;E47,E47/I47-1,I47/E47-1)</f>
        <v>1.8013009395674739E-2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6.7708081443140777E-4</v>
      </c>
      <c r="F53" s="449" t="str">
        <f>IF(OR(E53&gt;=0.3,E53&lt;=-0.3),"超过30%","")</f>
        <v/>
      </c>
      <c r="G53" s="448">
        <f>IF(G46&lt;I46,I46/G46-1,G46/I46-1)</f>
        <v>5.1230003383113676E-3</v>
      </c>
      <c r="H53" s="449" t="str">
        <f>IF(OR(G53&gt;=0.3,G53&lt;=-0.3),"超过30%","")</f>
        <v/>
      </c>
      <c r="I53" s="448">
        <f>IF(I46&lt;E46,E46/I46-1,I46/E46-1)</f>
        <v>5.8035498379842565E-3</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677" t="s">
        <v>1887</v>
      </c>
      <c r="H55" s="3709"/>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18172</v>
      </c>
      <c r="C56" s="638">
        <v>1</v>
      </c>
      <c r="D56" s="943">
        <v>1</v>
      </c>
      <c r="E56" s="638">
        <f>'数据-汇总表'!E8+'数据-汇总表'!E9</f>
        <v>51188.590000000004</v>
      </c>
      <c r="F56" s="885">
        <f t="shared" ref="F56:F64" si="15">ROUND(B56*E56/10000,0)</f>
        <v>93020</v>
      </c>
      <c r="G56" s="3673"/>
      <c r="H56" s="3658"/>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2272</v>
      </c>
      <c r="C57" s="171">
        <f t="shared" ref="C57:C64" si="16">IF($C$55="北京市系数",I57,J57)</f>
        <v>0.5</v>
      </c>
      <c r="D57" s="944">
        <v>0.25</v>
      </c>
      <c r="E57" s="642"/>
      <c r="F57" s="885">
        <f t="shared" si="15"/>
        <v>0</v>
      </c>
      <c r="G57" s="3002" t="s">
        <v>1892</v>
      </c>
      <c r="H57" s="886" t="str">
        <f>项目基本情况!B37</f>
        <v>八级</v>
      </c>
      <c r="I57" s="890">
        <f>SUMIF(修正!A57:A68,H57,修正!B57:B68)</f>
        <v>0.5</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909</v>
      </c>
      <c r="C58" s="171">
        <f t="shared" si="16"/>
        <v>0.2</v>
      </c>
      <c r="D58" s="944">
        <v>0.25</v>
      </c>
      <c r="E58" s="642"/>
      <c r="F58" s="885">
        <f t="shared" si="15"/>
        <v>0</v>
      </c>
      <c r="G58" s="3003"/>
      <c r="H58" s="886" t="str">
        <f>项目基本情况!B37</f>
        <v>八级</v>
      </c>
      <c r="I58" s="890">
        <f>SUMIF(修正!A57:A68,H58,修正!C57:C68)</f>
        <v>0.2</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909</v>
      </c>
      <c r="C59" s="171">
        <f t="shared" si="16"/>
        <v>0.2</v>
      </c>
      <c r="D59" s="944">
        <v>0.25</v>
      </c>
      <c r="E59" s="642"/>
      <c r="F59" s="885">
        <f t="shared" si="15"/>
        <v>0</v>
      </c>
      <c r="G59" s="3003"/>
      <c r="H59" s="886" t="str">
        <f>项目基本情况!B37</f>
        <v>八级</v>
      </c>
      <c r="I59" s="890">
        <f>SUMIF(修正!A57:A68,H59,修正!D57:D68)</f>
        <v>0.2</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909</v>
      </c>
      <c r="C60" s="171">
        <f t="shared" si="16"/>
        <v>0.2</v>
      </c>
      <c r="D60" s="944">
        <v>0.25</v>
      </c>
      <c r="E60" s="217">
        <f>'数据-汇总表'!E11</f>
        <v>0</v>
      </c>
      <c r="F60" s="885">
        <f t="shared" si="15"/>
        <v>0</v>
      </c>
      <c r="G60" s="1984" t="s">
        <v>1896</v>
      </c>
      <c r="H60" s="886" t="str">
        <f>项目基本情况!C37</f>
        <v>八级</v>
      </c>
      <c r="I60" s="890">
        <f>SUMIF(修正!A57:A68,H60,修正!E57:E68)</f>
        <v>0.2</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909</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4">
        <v>0.25</v>
      </c>
      <c r="E62" s="217">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454</v>
      </c>
      <c r="C63" s="171">
        <f t="shared" si="16"/>
        <v>0.1</v>
      </c>
      <c r="D63" s="944">
        <v>0.25</v>
      </c>
      <c r="E63" s="217">
        <f>'数据-汇总表'!E14</f>
        <v>20632.660000000003</v>
      </c>
      <c r="F63" s="885">
        <f t="shared" si="15"/>
        <v>937</v>
      </c>
      <c r="G63" s="1984" t="s">
        <v>1892</v>
      </c>
      <c r="H63" s="886" t="str">
        <f>项目基本情况!B37</f>
        <v>八级</v>
      </c>
      <c r="I63" s="890">
        <f>SUMIF(修正!A57:A68,H63,修正!G57:G68)</f>
        <v>0.1</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454</v>
      </c>
      <c r="C64" s="171">
        <f t="shared" si="16"/>
        <v>0.1</v>
      </c>
      <c r="D64" s="944">
        <v>0.25</v>
      </c>
      <c r="E64" s="217">
        <f>'数据-汇总表'!E15</f>
        <v>0</v>
      </c>
      <c r="F64" s="885">
        <f t="shared" si="15"/>
        <v>0</v>
      </c>
      <c r="G64" s="1985" t="s">
        <v>1896</v>
      </c>
      <c r="H64" s="896" t="str">
        <f>项目基本情况!C37</f>
        <v>八级</v>
      </c>
      <c r="I64" s="892">
        <f>SUMIF(修正!A57:A68,H64,修正!G57:G68)</f>
        <v>0.1</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71821.25</v>
      </c>
      <c r="F65" s="645">
        <f>IF(B46="楼面地价",SUM(F56:F64),ROUND(C48*E65/10000,0))</f>
        <v>93957</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0.4</v>
      </c>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471" t="s">
        <v>3408</v>
      </c>
      <c r="D74" s="3471" t="s">
        <v>3426</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98</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1912</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3470" t="s">
        <v>3483</v>
      </c>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3469" t="s">
        <v>3485</v>
      </c>
      <c r="D122" s="3469" t="s">
        <v>3486</v>
      </c>
      <c r="E122" s="3469" t="s">
        <v>3488</v>
      </c>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3469" t="s">
        <v>3484</v>
      </c>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
  <sheetViews>
    <sheetView topLeftCell="A22" workbookViewId="0">
      <selection activeCell="A169" sqref="A169"/>
    </sheetView>
  </sheetViews>
  <sheetFormatPr defaultRowHeight="14.25"/>
  <cols>
    <col min="1" max="1" width="26" style="3473" customWidth="1"/>
    <col min="2" max="2" width="7" style="3473" customWidth="1"/>
    <col min="3" max="3" width="20" style="3473" customWidth="1"/>
    <col min="4" max="4" width="13.25" style="3473" customWidth="1"/>
    <col min="5" max="5" width="9" style="3473" customWidth="1"/>
    <col min="6" max="6" width="8.875" style="3473" customWidth="1"/>
    <col min="7" max="7" width="7.375" style="3473" customWidth="1"/>
    <col min="8" max="8" width="7.875" style="3473" customWidth="1"/>
    <col min="9" max="9" width="20" style="3473" customWidth="1"/>
    <col min="10" max="10" width="7.625" style="3473" customWidth="1"/>
    <col min="11" max="11" width="8.875" style="3473" customWidth="1"/>
    <col min="12" max="12" width="9.625" style="3473" customWidth="1"/>
    <col min="13" max="13" width="9" style="3473" customWidth="1"/>
    <col min="14" max="14" width="7.625" style="3473" customWidth="1"/>
    <col min="15" max="15" width="14.5" style="3473" customWidth="1"/>
    <col min="16" max="16" width="7.375" style="3473" customWidth="1"/>
    <col min="17" max="17" width="9.375" style="3473" customWidth="1"/>
    <col min="18" max="18" width="14.25" style="3473" customWidth="1"/>
    <col min="19" max="19" width="7.625" style="3473" customWidth="1"/>
    <col min="20" max="20" width="9" style="3473" customWidth="1"/>
    <col min="21" max="21" width="6.375" style="3473" customWidth="1"/>
    <col min="22" max="22" width="6.625" style="3473" customWidth="1"/>
    <col min="23" max="23" width="20" style="3473" customWidth="1"/>
    <col min="24" max="16384" width="9" style="3473"/>
  </cols>
  <sheetData>
    <row r="1" spans="1:22">
      <c r="A1" s="3473" t="s">
        <v>3427</v>
      </c>
      <c r="B1" s="3473" t="s">
        <v>3428</v>
      </c>
      <c r="C1" s="3473" t="s">
        <v>3429</v>
      </c>
      <c r="D1" s="3473" t="s">
        <v>3430</v>
      </c>
      <c r="E1" s="3473" t="s">
        <v>3431</v>
      </c>
      <c r="F1" s="3473" t="s">
        <v>3432</v>
      </c>
      <c r="G1" s="3473" t="s">
        <v>3433</v>
      </c>
      <c r="H1" s="3473" t="s">
        <v>3434</v>
      </c>
      <c r="I1" s="3473" t="s">
        <v>3435</v>
      </c>
      <c r="J1" s="3473" t="s">
        <v>3436</v>
      </c>
      <c r="K1" s="3473" t="s">
        <v>3437</v>
      </c>
      <c r="L1" s="3473" t="s">
        <v>3438</v>
      </c>
      <c r="M1" s="3473" t="s">
        <v>3439</v>
      </c>
      <c r="N1" s="3473" t="s">
        <v>3440</v>
      </c>
      <c r="O1" s="3473" t="s">
        <v>3441</v>
      </c>
      <c r="P1" s="3473" t="s">
        <v>3442</v>
      </c>
      <c r="Q1" s="3473" t="s">
        <v>3443</v>
      </c>
      <c r="R1" s="3473" t="s">
        <v>3444</v>
      </c>
      <c r="S1" s="3473" t="s">
        <v>3445</v>
      </c>
      <c r="T1" s="3473" t="s">
        <v>3446</v>
      </c>
      <c r="U1" s="3473" t="s">
        <v>3447</v>
      </c>
      <c r="V1" s="3473" t="s">
        <v>3448</v>
      </c>
    </row>
    <row r="2" spans="1:22">
      <c r="A2" s="3473" t="s">
        <v>3449</v>
      </c>
      <c r="B2" s="3473" t="s">
        <v>3346</v>
      </c>
      <c r="C2" s="3473" t="s">
        <v>3450</v>
      </c>
      <c r="D2" s="3473" t="s">
        <v>3451</v>
      </c>
      <c r="E2" s="3473">
        <v>49900.54</v>
      </c>
      <c r="F2" s="3473">
        <v>109781.19</v>
      </c>
      <c r="G2" s="3473">
        <v>2.2000000000000002</v>
      </c>
      <c r="H2" s="3473" t="s">
        <v>3452</v>
      </c>
      <c r="I2" s="3473" t="s">
        <v>3453</v>
      </c>
      <c r="J2" s="3473" t="s">
        <v>3454</v>
      </c>
      <c r="K2" s="3473" t="s">
        <v>3455</v>
      </c>
      <c r="L2" s="3474">
        <v>45141</v>
      </c>
      <c r="M2" s="3474">
        <v>45141</v>
      </c>
      <c r="N2" s="3473" t="s">
        <v>3456</v>
      </c>
      <c r="O2" s="3473" t="s">
        <v>3457</v>
      </c>
      <c r="P2" s="3473">
        <v>227000</v>
      </c>
      <c r="Q2" s="3473">
        <v>46000</v>
      </c>
      <c r="R2" s="3473" t="s">
        <v>3458</v>
      </c>
      <c r="S2" s="3473">
        <v>227000</v>
      </c>
      <c r="T2" s="3473">
        <v>3032.7</v>
      </c>
      <c r="U2" s="3473">
        <v>20677</v>
      </c>
      <c r="V2" s="3473">
        <v>0</v>
      </c>
    </row>
    <row r="3" spans="1:22">
      <c r="A3" s="3473" t="s">
        <v>3459</v>
      </c>
      <c r="B3" s="3473" t="s">
        <v>3346</v>
      </c>
      <c r="C3" s="3473" t="s">
        <v>3460</v>
      </c>
      <c r="D3" s="3473" t="s">
        <v>3451</v>
      </c>
      <c r="E3" s="3473">
        <v>32733.22</v>
      </c>
      <c r="F3" s="3473">
        <v>72013.08</v>
      </c>
      <c r="G3" s="3473">
        <v>2.2000000000000002</v>
      </c>
      <c r="H3" s="3473" t="s">
        <v>3452</v>
      </c>
      <c r="I3" s="3473" t="s">
        <v>3453</v>
      </c>
      <c r="J3" s="3473" t="s">
        <v>3454</v>
      </c>
      <c r="K3" s="3473" t="s">
        <v>3455</v>
      </c>
      <c r="L3" s="3474">
        <v>44865</v>
      </c>
      <c r="M3" s="3474">
        <v>44865</v>
      </c>
      <c r="N3" s="3473" t="s">
        <v>3456</v>
      </c>
      <c r="O3" s="3473" t="s">
        <v>3461</v>
      </c>
      <c r="P3" s="3473">
        <v>149000</v>
      </c>
      <c r="Q3" s="3473">
        <v>30000</v>
      </c>
      <c r="R3" s="3473" t="s">
        <v>3462</v>
      </c>
      <c r="S3" s="3473">
        <v>149000</v>
      </c>
      <c r="T3" s="3473">
        <v>3034.63</v>
      </c>
      <c r="U3" s="3473">
        <v>20691</v>
      </c>
      <c r="V3" s="3473">
        <v>0</v>
      </c>
    </row>
    <row r="4" spans="1:22">
      <c r="A4" s="3473" t="s">
        <v>3463</v>
      </c>
      <c r="B4" s="3473" t="s">
        <v>3346</v>
      </c>
      <c r="C4" s="3473" t="s">
        <v>3464</v>
      </c>
      <c r="D4" s="3473" t="s">
        <v>3451</v>
      </c>
      <c r="E4" s="3473">
        <v>29506.55</v>
      </c>
      <c r="F4" s="3473">
        <v>64914.41</v>
      </c>
      <c r="G4" s="3473">
        <v>2.2000000000000002</v>
      </c>
      <c r="H4" s="3473" t="s">
        <v>3452</v>
      </c>
      <c r="I4" s="3473" t="s">
        <v>3453</v>
      </c>
      <c r="J4" s="3473" t="s">
        <v>3454</v>
      </c>
      <c r="K4" s="3473" t="s">
        <v>3455</v>
      </c>
      <c r="L4" s="3474">
        <v>44865</v>
      </c>
      <c r="M4" s="3474">
        <v>44865</v>
      </c>
      <c r="N4" s="3473" t="s">
        <v>3456</v>
      </c>
      <c r="O4" s="3473" t="s">
        <v>3465</v>
      </c>
      <c r="P4" s="3473">
        <v>135000</v>
      </c>
      <c r="Q4" s="3473">
        <v>27000</v>
      </c>
      <c r="R4" s="3473" t="s">
        <v>3462</v>
      </c>
      <c r="S4" s="3473">
        <v>135000</v>
      </c>
      <c r="T4" s="3473">
        <v>3050.17</v>
      </c>
      <c r="U4" s="3473">
        <v>20797</v>
      </c>
      <c r="V4" s="3473">
        <v>0</v>
      </c>
    </row>
    <row r="5" spans="1:22">
      <c r="A5" s="3473" t="s">
        <v>3466</v>
      </c>
      <c r="B5" s="3473" t="s">
        <v>3346</v>
      </c>
      <c r="C5" s="3473" t="s">
        <v>3467</v>
      </c>
      <c r="D5" s="3473" t="s">
        <v>3451</v>
      </c>
      <c r="E5" s="3473">
        <v>38252.550000000003</v>
      </c>
      <c r="F5" s="3473">
        <v>84155.61</v>
      </c>
      <c r="G5" s="3473">
        <v>2.2000000000000002</v>
      </c>
      <c r="H5" s="3473" t="s">
        <v>3452</v>
      </c>
      <c r="I5" s="3473" t="s">
        <v>3453</v>
      </c>
      <c r="J5" s="3473" t="s">
        <v>3454</v>
      </c>
      <c r="K5" s="3473" t="s">
        <v>3455</v>
      </c>
      <c r="L5" s="3474">
        <v>44495</v>
      </c>
      <c r="M5" s="3474">
        <v>44495</v>
      </c>
      <c r="N5" s="3473" t="s">
        <v>3456</v>
      </c>
      <c r="O5" s="3473" t="s">
        <v>3468</v>
      </c>
      <c r="P5" s="3473">
        <v>175000</v>
      </c>
      <c r="Q5" s="3473">
        <v>35000</v>
      </c>
      <c r="R5" s="3473" t="s">
        <v>3469</v>
      </c>
      <c r="S5" s="3473">
        <v>175000</v>
      </c>
      <c r="T5" s="3473">
        <v>3049.91</v>
      </c>
      <c r="U5" s="3473">
        <v>20795</v>
      </c>
      <c r="V5" s="3473">
        <v>0</v>
      </c>
    </row>
    <row r="6" spans="1:22">
      <c r="A6" s="3473" t="s">
        <v>3470</v>
      </c>
      <c r="B6" s="3473" t="s">
        <v>3346</v>
      </c>
      <c r="C6" s="3473" t="s">
        <v>3471</v>
      </c>
      <c r="D6" s="3473" t="s">
        <v>3451</v>
      </c>
      <c r="E6" s="3473">
        <v>30025.18</v>
      </c>
      <c r="F6" s="3473">
        <v>66055.39</v>
      </c>
      <c r="G6" s="3473">
        <v>2.2000000000000002</v>
      </c>
      <c r="H6" s="3473" t="s">
        <v>3452</v>
      </c>
      <c r="I6" s="3473" t="s">
        <v>3453</v>
      </c>
      <c r="J6" s="3473" t="s">
        <v>3454</v>
      </c>
      <c r="K6" s="3473" t="s">
        <v>3455</v>
      </c>
      <c r="L6" s="3474">
        <v>44495</v>
      </c>
      <c r="M6" s="3474">
        <v>44495</v>
      </c>
      <c r="N6" s="3473" t="s">
        <v>3456</v>
      </c>
      <c r="O6" s="3473" t="s">
        <v>3472</v>
      </c>
      <c r="P6" s="3473">
        <v>137000</v>
      </c>
      <c r="Q6" s="3473">
        <v>137000</v>
      </c>
      <c r="R6" s="3473" t="s">
        <v>3469</v>
      </c>
      <c r="S6" s="3473">
        <v>137000</v>
      </c>
      <c r="T6" s="3473">
        <v>3041.89</v>
      </c>
      <c r="U6" s="3473">
        <v>20740</v>
      </c>
      <c r="V6" s="3473">
        <v>0</v>
      </c>
    </row>
    <row r="7" spans="1:22">
      <c r="A7" s="3473" t="s">
        <v>3473</v>
      </c>
      <c r="B7" s="3473" t="s">
        <v>3346</v>
      </c>
      <c r="C7" s="3473" t="s">
        <v>3474</v>
      </c>
      <c r="D7" s="3473" t="s">
        <v>3451</v>
      </c>
      <c r="E7" s="3473">
        <v>25121.77</v>
      </c>
      <c r="F7" s="3473">
        <v>55267.89</v>
      </c>
      <c r="G7" s="3473">
        <v>2.2000000000000002</v>
      </c>
      <c r="H7" s="3473" t="s">
        <v>3452</v>
      </c>
      <c r="I7" s="3473" t="s">
        <v>3453</v>
      </c>
      <c r="J7" s="3473" t="s">
        <v>3454</v>
      </c>
      <c r="K7" s="3473" t="s">
        <v>3455</v>
      </c>
      <c r="L7" s="3474">
        <v>44495</v>
      </c>
      <c r="M7" s="3474">
        <v>44495</v>
      </c>
      <c r="N7" s="3473" t="s">
        <v>3456</v>
      </c>
      <c r="O7" s="3473" t="s">
        <v>3475</v>
      </c>
      <c r="P7" s="3473">
        <v>115000</v>
      </c>
      <c r="Q7" s="3473">
        <v>23000</v>
      </c>
      <c r="R7" s="3473" t="s">
        <v>3469</v>
      </c>
      <c r="S7" s="3473">
        <v>115000</v>
      </c>
      <c r="T7" s="3473">
        <v>3051.8</v>
      </c>
      <c r="U7" s="3473">
        <v>20808</v>
      </c>
      <c r="V7" s="3473">
        <v>0</v>
      </c>
    </row>
    <row r="8" spans="1:22">
      <c r="A8" s="3473" t="s">
        <v>3476</v>
      </c>
      <c r="B8" s="3473" t="s">
        <v>3346</v>
      </c>
      <c r="C8" s="3473" t="s">
        <v>3477</v>
      </c>
      <c r="D8" s="3473" t="s">
        <v>3451</v>
      </c>
      <c r="E8" s="3473">
        <v>51788.13</v>
      </c>
      <c r="F8" s="3473">
        <v>184800</v>
      </c>
      <c r="G8" s="3473" t="s">
        <v>3478</v>
      </c>
      <c r="H8" s="3473" t="s">
        <v>3452</v>
      </c>
      <c r="I8" s="3473" t="s">
        <v>3479</v>
      </c>
      <c r="J8" s="3473" t="s">
        <v>3454</v>
      </c>
      <c r="K8" s="3473" t="s">
        <v>3455</v>
      </c>
      <c r="L8" s="3474">
        <v>44167</v>
      </c>
      <c r="M8" s="3474">
        <v>44167</v>
      </c>
      <c r="N8" s="3473" t="s">
        <v>3456</v>
      </c>
      <c r="O8" s="3473" t="s">
        <v>3480</v>
      </c>
      <c r="P8" s="3473">
        <v>570500</v>
      </c>
      <c r="Q8" s="3473">
        <v>115000</v>
      </c>
      <c r="R8" s="3473" t="s">
        <v>3481</v>
      </c>
      <c r="S8" s="3473">
        <v>579500</v>
      </c>
      <c r="T8" s="3473">
        <v>7459.88</v>
      </c>
      <c r="U8" s="3473">
        <v>31358</v>
      </c>
      <c r="V8" s="3473">
        <v>1.58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9" customWidth="1"/>
    <col min="2" max="2" width="22.5" style="2140"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5" customWidth="1"/>
    <col min="12" max="12" width="19.5" style="1995" customWidth="1"/>
    <col min="13" max="13" width="8.5" style="1995" customWidth="1"/>
    <col min="14" max="14" width="9.75" style="1995" customWidth="1"/>
    <col min="15" max="25" width="12" style="1995"/>
    <col min="26" max="26" width="9.375" style="2049" customWidth="1"/>
    <col min="27" max="32" width="9.375" style="1120" customWidth="1"/>
    <col min="33" max="36" width="9.375" style="2049" customWidth="1"/>
    <col min="37" max="38" width="9.375" style="1995" customWidth="1"/>
    <col min="39" max="16384" width="12" style="1995"/>
  </cols>
  <sheetData>
    <row r="1" spans="1:36" ht="28.5">
      <c r="A1" s="196" t="s">
        <v>1925</v>
      </c>
      <c r="B1" s="197"/>
      <c r="C1" s="201" t="s">
        <v>1926</v>
      </c>
      <c r="D1" s="342">
        <f>SUM(D33:D34,D37:D42)</f>
        <v>32467.480000000003</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45326</v>
      </c>
      <c r="C2" s="1996" t="s">
        <v>1934</v>
      </c>
      <c r="D2" s="1997" t="s">
        <v>1935</v>
      </c>
      <c r="E2" s="3413"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Ⅷ-昌1</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1.5418000000000001</v>
      </c>
      <c r="T2" s="3355">
        <f t="shared" ref="T2:T16" si="0">ROUND($C$5*$C$22*$C$23*$C$24*S2*$C$28,0)</f>
        <v>10585</v>
      </c>
      <c r="U2" s="1211">
        <f>ROUND(面积!F22/4,2)</f>
        <v>12684.49</v>
      </c>
      <c r="V2" s="3355">
        <f>ROUND(T2*U2/10000,0)</f>
        <v>13427</v>
      </c>
      <c r="W2" s="1214"/>
      <c r="X2" s="1214"/>
      <c r="Y2" s="1214"/>
      <c r="Z2" s="1214"/>
      <c r="AA2" s="1214"/>
      <c r="AB2" s="1214"/>
      <c r="AC2" s="1215"/>
      <c r="AD2" s="1216"/>
      <c r="AE2" s="1216"/>
      <c r="AF2" s="1216"/>
      <c r="AG2" s="1216"/>
      <c r="AH2" s="1216"/>
      <c r="AI2" s="1216"/>
      <c r="AJ2" s="1217"/>
    </row>
    <row r="3" spans="1:36" ht="15.75">
      <c r="A3" s="203" t="s">
        <v>1939</v>
      </c>
      <c r="B3" s="204">
        <f>ROUND(B2*10000/D1,0)</f>
        <v>13960</v>
      </c>
      <c r="C3" s="1996" t="s">
        <v>1940</v>
      </c>
      <c r="D3" s="1997" t="s">
        <v>1941</v>
      </c>
      <c r="E3" s="3411" t="s">
        <v>2442</v>
      </c>
      <c r="F3" s="2001" t="s">
        <v>3383</v>
      </c>
      <c r="G3" s="752">
        <f>IF(F3="宗地容积率",'数据-汇总表'!I4,IF(F3="估价对象容积率",'数据-汇总表'!I6,'数据-汇总表'!I7))</f>
        <v>2</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1.1883999999999999</v>
      </c>
      <c r="T3" s="3355">
        <f t="shared" si="0"/>
        <v>8159</v>
      </c>
      <c r="U3" s="1211">
        <f>U2+面积!F21</f>
        <v>13135.13</v>
      </c>
      <c r="V3" s="3355">
        <f t="shared" ref="V3:V16" si="1">ROUND(T3*U3/10000,0)</f>
        <v>10717</v>
      </c>
      <c r="W3" s="1214"/>
      <c r="X3" s="1214"/>
      <c r="Y3" s="1214"/>
      <c r="Z3" s="1214"/>
      <c r="AA3" s="1214"/>
      <c r="AB3" s="1214"/>
      <c r="AC3" s="1215"/>
      <c r="AD3" s="1216"/>
      <c r="AE3" s="1216"/>
      <c r="AF3" s="1216"/>
      <c r="AG3" s="1216"/>
      <c r="AH3" s="1216"/>
      <c r="AI3" s="1216"/>
      <c r="AJ3" s="1217"/>
    </row>
    <row r="4" spans="1:36" ht="15.75">
      <c r="A4" s="3719"/>
      <c r="B4" s="3720"/>
      <c r="C4" s="3720"/>
      <c r="D4" s="3721"/>
      <c r="E4" s="3721"/>
      <c r="F4" s="3721"/>
      <c r="G4" s="3721"/>
      <c r="H4" s="3721"/>
      <c r="I4" s="3721"/>
      <c r="J4" s="3722"/>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0.96940000000000004</v>
      </c>
      <c r="T4" s="3355">
        <f t="shared" si="0"/>
        <v>6655</v>
      </c>
      <c r="U4" s="1211">
        <f>U2</f>
        <v>12684.49</v>
      </c>
      <c r="V4" s="3355">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3">
        <f>ROUND(IF(E2="商业",C6*C7*C17+C20,(IF(E2="住宅",C6*C13*C17+C20,IF(E2="办公",C6*C12*C17+C20,C6+C20)))),0)</f>
        <v>7240</v>
      </c>
      <c r="D5" s="1337">
        <f>ROUND(C6*C17+C20,0)</f>
        <v>7240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0.82299999999999995</v>
      </c>
      <c r="T5" s="3355">
        <f t="shared" si="0"/>
        <v>5650</v>
      </c>
      <c r="U5" s="1211">
        <f>'数据-基础表'!I13-基准地价修正商业!U4-基准地价修正商业!U3-基准地价修正商业!U2</f>
        <v>12684.480000000009</v>
      </c>
      <c r="V5" s="3355">
        <f t="shared" si="1"/>
        <v>7167</v>
      </c>
      <c r="W5" s="1214"/>
      <c r="X5" s="1214"/>
      <c r="Y5" s="1214"/>
      <c r="Z5" s="1214"/>
      <c r="AA5" s="1214"/>
      <c r="AB5" s="1214"/>
      <c r="AC5" s="2008"/>
      <c r="AD5" s="2009"/>
      <c r="AE5" s="2009"/>
      <c r="AF5" s="2009"/>
      <c r="AG5" s="2009"/>
      <c r="AH5" s="2009"/>
      <c r="AI5" s="2009"/>
      <c r="AJ5" s="2010"/>
    </row>
    <row r="6" spans="1:36" ht="15.75" thickBot="1">
      <c r="A6" s="2012" t="s">
        <v>1948</v>
      </c>
      <c r="B6" s="2013" t="s">
        <v>1949</v>
      </c>
      <c r="C6" s="754">
        <f>SUMIF(L1:L12,G2,M1:M12)</f>
        <v>7240</v>
      </c>
      <c r="D6" s="2014"/>
      <c r="E6" s="2015"/>
      <c r="F6" s="2015"/>
      <c r="G6" s="2016"/>
      <c r="H6" s="2016"/>
      <c r="I6" s="2016"/>
      <c r="J6" s="2017"/>
      <c r="K6" s="1381"/>
      <c r="L6" s="2000" t="s">
        <v>1950</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0.74980000000000002</v>
      </c>
      <c r="T6" s="3355">
        <f t="shared" si="0"/>
        <v>5148</v>
      </c>
      <c r="U6" s="1211"/>
      <c r="V6" s="3355">
        <f t="shared" si="1"/>
        <v>0</v>
      </c>
      <c r="W6" s="1214"/>
      <c r="X6" s="1214"/>
      <c r="Y6" s="1214"/>
      <c r="Z6" s="1214"/>
      <c r="AA6" s="1214"/>
      <c r="AB6" s="1214"/>
      <c r="AC6" s="2008"/>
      <c r="AD6" s="2009"/>
      <c r="AE6" s="2009"/>
      <c r="AF6" s="2009"/>
      <c r="AG6" s="2009"/>
      <c r="AH6" s="2009"/>
      <c r="AI6" s="2009"/>
      <c r="AJ6" s="2010"/>
    </row>
    <row r="7" spans="1:36" ht="24.75" thickBot="1">
      <c r="A7" s="3298" t="s">
        <v>3242</v>
      </c>
      <c r="B7" s="3446" t="s">
        <v>1951</v>
      </c>
      <c r="C7" s="755">
        <f>IF(C8="不临65条商业街",1,ROUND(1+(1.6*E8+1.2*E9+0.8*E10+0.4*E11)*C9,4))</f>
        <v>1</v>
      </c>
      <c r="D7" s="2019" t="s">
        <v>1952</v>
      </c>
      <c r="E7" s="775"/>
      <c r="F7" s="2020"/>
      <c r="G7" s="2021"/>
      <c r="H7" s="2021"/>
      <c r="I7" s="2021"/>
      <c r="J7" s="2022"/>
      <c r="K7" s="1381"/>
      <c r="L7" s="2000" t="s">
        <v>1953</v>
      </c>
      <c r="M7" s="863">
        <f>SUMPRODUCT((区片价!B190:B233=I2)*(区片价!C3:G3=E2)*(区片价!C190:G233))</f>
        <v>0</v>
      </c>
      <c r="N7" s="865">
        <f>SUMPRODUCT((因素修正幅度!B190:B233=I2)*(因素修正幅度!C3:G3=E2)*(因素修正幅度!C190:G233))</f>
        <v>0</v>
      </c>
      <c r="O7" s="1118"/>
      <c r="P7" s="1118"/>
      <c r="Q7" s="1118"/>
      <c r="R7" s="1210">
        <v>6</v>
      </c>
      <c r="S7" s="3410"/>
      <c r="T7" s="3355">
        <f t="shared" si="0"/>
        <v>0</v>
      </c>
      <c r="U7" s="1211"/>
      <c r="V7" s="3355">
        <f t="shared" si="1"/>
        <v>0</v>
      </c>
      <c r="W7" s="3459" t="s">
        <v>1954</v>
      </c>
      <c r="X7" s="1212" t="str">
        <f>G2</f>
        <v>八级</v>
      </c>
      <c r="Y7" s="1212" t="s">
        <v>1955</v>
      </c>
      <c r="Z7" s="1213">
        <f>G3</f>
        <v>2</v>
      </c>
      <c r="AA7" s="1214"/>
      <c r="AB7" s="1214"/>
      <c r="AC7" s="1215"/>
      <c r="AD7" s="1216"/>
      <c r="AE7" s="1216"/>
      <c r="AF7" s="1216"/>
      <c r="AG7" s="1216"/>
      <c r="AH7" s="1216"/>
      <c r="AI7" s="1216"/>
      <c r="AJ7" s="1217"/>
    </row>
    <row r="8" spans="1:36" ht="25.5">
      <c r="A8" s="3293"/>
      <c r="B8" s="170" t="s">
        <v>1956</v>
      </c>
      <c r="C8" s="2023" t="s">
        <v>3384</v>
      </c>
      <c r="D8" s="756" t="s">
        <v>112</v>
      </c>
      <c r="E8" s="757" t="e">
        <f>ROUND(C11/E7,4)</f>
        <v>#DIV/0!</v>
      </c>
      <c r="F8" s="2024" t="s">
        <v>1957</v>
      </c>
      <c r="G8" s="2025"/>
      <c r="H8" s="2025"/>
      <c r="I8" s="2025"/>
      <c r="J8" s="2026"/>
      <c r="K8" s="1118"/>
      <c r="L8" s="2000" t="s">
        <v>1958</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55">
        <f t="shared" si="0"/>
        <v>0</v>
      </c>
      <c r="U8" s="1211"/>
      <c r="V8" s="3355">
        <f t="shared" si="1"/>
        <v>0</v>
      </c>
      <c r="W8" s="3723" t="s">
        <v>1959</v>
      </c>
      <c r="X8" s="3724"/>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725"/>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72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5"/>
      <c r="AE11" s="2785"/>
      <c r="AF11" s="2785"/>
      <c r="AG11" s="2785"/>
      <c r="AH11" s="2785"/>
      <c r="AI11" s="2785"/>
      <c r="AJ11" s="2786"/>
    </row>
    <row r="12" spans="1:36" ht="25.5" thickBot="1">
      <c r="A12" s="3298" t="s">
        <v>3243</v>
      </c>
      <c r="B12" s="3299" t="s">
        <v>3244</v>
      </c>
      <c r="C12" s="3300"/>
      <c r="D12" s="3301" t="s">
        <v>3245</v>
      </c>
      <c r="E12" s="3302" t="s">
        <v>3246</v>
      </c>
      <c r="F12" s="3303"/>
      <c r="G12" s="3304"/>
      <c r="H12" s="3304"/>
      <c r="I12" s="3304"/>
      <c r="J12" s="3305"/>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5"/>
      <c r="AE12" s="2785"/>
      <c r="AF12" s="2785"/>
      <c r="AG12" s="2785"/>
      <c r="AH12" s="2785"/>
      <c r="AI12" s="2785"/>
      <c r="AJ12" s="2786"/>
    </row>
    <row r="13" spans="1:36" ht="15.75" thickBot="1">
      <c r="A13" s="3298" t="s">
        <v>3247</v>
      </c>
      <c r="B13" s="2031" t="s">
        <v>1981</v>
      </c>
      <c r="C13" s="755">
        <f>ROUND(C16*D16*E16*F16*G16*H16*I16*J16,4)</f>
        <v>0</v>
      </c>
      <c r="D13" s="2032" t="s">
        <v>1982</v>
      </c>
      <c r="E13" s="2033"/>
      <c r="F13" s="2033"/>
      <c r="G13" s="2034"/>
      <c r="H13" s="2034"/>
      <c r="I13" s="2034"/>
      <c r="J13" s="2035"/>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5"/>
      <c r="AE13" s="2785"/>
      <c r="AF13" s="2785"/>
      <c r="AG13" s="2785"/>
      <c r="AH13" s="2785"/>
      <c r="AI13" s="2785"/>
      <c r="AJ13" s="2786"/>
    </row>
    <row r="14" spans="1:36" ht="15">
      <c r="A14" s="3292"/>
      <c r="B14" s="3450" t="s">
        <v>1984</v>
      </c>
      <c r="C14" s="2038" t="s">
        <v>1985</v>
      </c>
      <c r="D14" s="1348" t="s">
        <v>1986</v>
      </c>
      <c r="E14" s="27" t="s">
        <v>1987</v>
      </c>
      <c r="F14" s="3306" t="s">
        <v>3248</v>
      </c>
      <c r="G14" s="3306" t="s">
        <v>3248</v>
      </c>
      <c r="H14" s="3306" t="s">
        <v>3248</v>
      </c>
      <c r="I14" s="3306" t="s">
        <v>3248</v>
      </c>
      <c r="J14" s="3306" t="s">
        <v>3248</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5"/>
      <c r="AE14" s="2785"/>
      <c r="AF14" s="2785"/>
      <c r="AG14" s="2785"/>
      <c r="AH14" s="2785"/>
      <c r="AI14" s="2785"/>
      <c r="AJ14" s="2786"/>
    </row>
    <row r="15" spans="1:36" ht="15">
      <c r="A15" s="3292"/>
      <c r="B15" s="3451"/>
      <c r="C15" s="2039"/>
      <c r="D15" s="2040"/>
      <c r="E15" s="2041"/>
      <c r="F15" s="3307" t="s">
        <v>3249</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8"/>
      <c r="L16" s="1994"/>
      <c r="M16" s="1994"/>
      <c r="N16" s="1994"/>
      <c r="O16" s="1994"/>
      <c r="P16" s="1994"/>
      <c r="Q16" s="1118"/>
      <c r="R16" s="1210">
        <v>15</v>
      </c>
      <c r="S16" s="1211"/>
      <c r="T16" s="3355">
        <f t="shared" si="0"/>
        <v>0</v>
      </c>
      <c r="U16" s="1211"/>
      <c r="V16" s="3355">
        <f t="shared" si="1"/>
        <v>0</v>
      </c>
      <c r="W16" s="1214"/>
      <c r="X16" s="1214"/>
      <c r="Y16" s="1214"/>
      <c r="Z16" s="1214"/>
      <c r="AA16" s="1214"/>
      <c r="AB16" s="1214"/>
      <c r="AC16" s="1215"/>
      <c r="AD16" s="2785"/>
      <c r="AE16" s="2785"/>
      <c r="AF16" s="2785"/>
      <c r="AG16" s="2785"/>
      <c r="AH16" s="2785"/>
      <c r="AI16" s="2785"/>
      <c r="AJ16" s="2786"/>
    </row>
    <row r="17" spans="1:37">
      <c r="A17" s="3324" t="s">
        <v>3250</v>
      </c>
      <c r="B17" s="3315" t="s">
        <v>3251</v>
      </c>
      <c r="C17" s="3325">
        <f>ROUND(IF(OR(E2="工业",E2="公共服务"),1,IF(AND(E18=0,E19=0),1,IF(AND(E18=J24,E19=G19),0.8,IF(E19=0,1+E17*(-0.2),1+E17*G17*(-0.2))))),4)</f>
        <v>1</v>
      </c>
      <c r="D17" s="3316" t="s">
        <v>3252</v>
      </c>
      <c r="E17" s="3325">
        <f>ROUND(G18/I18,2)</f>
        <v>0</v>
      </c>
      <c r="F17" s="3316" t="s">
        <v>3255</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449"/>
      <c r="C18" s="3322"/>
      <c r="D18" s="3317" t="s">
        <v>3253</v>
      </c>
      <c r="E18" s="3323"/>
      <c r="F18" s="3318" t="s">
        <v>3256</v>
      </c>
      <c r="G18" s="3322">
        <f>ROUND(1-(1/(POWER(1+G24,E18))),4)</f>
        <v>0</v>
      </c>
      <c r="H18" s="3318" t="s">
        <v>3258</v>
      </c>
      <c r="I18" s="3322">
        <f>ROUND(1-(1/(POWER(1+G24,J24))),4)</f>
        <v>0.88249999999999995</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7"/>
      <c r="AH18" s="2137"/>
      <c r="AI18" s="2137"/>
      <c r="AJ18" s="2784"/>
    </row>
    <row r="19" spans="1:37" s="2011" customFormat="1" ht="15" thickBot="1">
      <c r="A19" s="3329"/>
      <c r="B19" s="3330"/>
      <c r="C19" s="3331"/>
      <c r="D19" s="3331" t="s">
        <v>3254</v>
      </c>
      <c r="E19" s="3332"/>
      <c r="F19" s="3333" t="s">
        <v>3257</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7"/>
      <c r="AI19" s="2788"/>
      <c r="AJ19" s="2788"/>
      <c r="AK19" s="2053"/>
    </row>
    <row r="20" spans="1:37" s="2011" customFormat="1" ht="14.25">
      <c r="A20" s="3726" t="s">
        <v>3259</v>
      </c>
      <c r="B20" s="167" t="s">
        <v>1993</v>
      </c>
      <c r="C20" s="3319">
        <f>ROUND(IF(F21="与级别开发程度一致",0,(G21-E21)/C21),0)</f>
        <v>0</v>
      </c>
      <c r="D20" s="3335" t="s">
        <v>1997</v>
      </c>
      <c r="E20" s="3336"/>
      <c r="F20" s="3728" t="s">
        <v>1994</v>
      </c>
      <c r="G20" s="3729"/>
      <c r="H20" s="3320"/>
      <c r="I20" s="3320"/>
      <c r="J20" s="3321"/>
      <c r="K20" s="2043"/>
      <c r="L20" s="2043"/>
      <c r="M20" s="2043"/>
      <c r="N20" s="2043"/>
      <c r="O20" s="2044"/>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27"/>
      <c r="B21" s="2160" t="s">
        <v>1996</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3385</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6" t="s">
        <v>364</v>
      </c>
      <c r="B23" s="2047"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2001</v>
      </c>
      <c r="E23" s="761">
        <v>44197</v>
      </c>
      <c r="F23" s="2050" t="s">
        <v>2002</v>
      </c>
      <c r="G23" s="762">
        <f>'数据-取费表'!B2</f>
        <v>45159</v>
      </c>
      <c r="H23" s="3337" t="s">
        <v>3260</v>
      </c>
      <c r="I23" s="3338" t="str">
        <f>IF(H23="季度增幅（自定义）",SUMIF(N25:N28,E2,O25:O28),"")</f>
        <v/>
      </c>
      <c r="J23" s="3437" t="s">
        <v>3386</v>
      </c>
      <c r="K23" s="1124"/>
      <c r="L23" s="2051" t="s">
        <v>2003</v>
      </c>
      <c r="M23" s="1326">
        <f>ROUND(SUMIF(地价!B2:G2,E2,地价!B16:G16),0)</f>
        <v>350</v>
      </c>
      <c r="N23" s="2052" t="s">
        <v>2004</v>
      </c>
      <c r="O23" s="763">
        <f>ROUNDDOWN(DATEDIF(E23,G23,"M")/3,0)</f>
        <v>10</v>
      </c>
      <c r="P23" s="1121"/>
      <c r="Q23" s="2784"/>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1" customFormat="1" ht="24.75" thickBot="1">
      <c r="A24" s="2054" t="s">
        <v>365</v>
      </c>
      <c r="B24" s="2055" t="s">
        <v>2005</v>
      </c>
      <c r="C24" s="764">
        <f>ROUND(POWER(1+G24,J24-I24)*(POWER(1+G24,I24)-1)/(POWER(1+G24,J24)-1),4)</f>
        <v>0.87150000000000005</v>
      </c>
      <c r="D24" s="2056" t="s">
        <v>2006</v>
      </c>
      <c r="E24" s="1333">
        <f>存贷款利率!E24/100</f>
        <v>4.3499999999999997E-2</v>
      </c>
      <c r="F24" s="2056" t="s">
        <v>1998</v>
      </c>
      <c r="G24" s="768">
        <f>SUMIF(M30:Q30,E2,M33:Q33)</f>
        <v>5.5E-2</v>
      </c>
      <c r="H24" s="2056" t="s">
        <v>2007</v>
      </c>
      <c r="I24" s="769">
        <f>SUMIF('数据-取费表'!C6:C15,E2,'数据-取费表'!F6:F15)/COUNTIF('数据-取费表'!C6:C15,E2)</f>
        <v>27.38</v>
      </c>
      <c r="J24" s="770">
        <f>IF(E2="住宅",70,IF(E2="商业",40,50))</f>
        <v>40</v>
      </c>
      <c r="K24" s="1124"/>
      <c r="L24" s="2057" t="s">
        <v>2008</v>
      </c>
      <c r="M24" s="1327">
        <f>ROUND(SUMPRODUCT((地价!A4:A16=YEAR(G23)&amp;"-"&amp;ROUNDUP(MONTH(G23)/3,0))*(地价!B2:G2=E2)*(地价!B4:G16)),0)</f>
        <v>0</v>
      </c>
      <c r="N24" s="2058" t="s">
        <v>2009</v>
      </c>
      <c r="O24" s="2059" t="s">
        <v>2010</v>
      </c>
      <c r="P24" s="2060"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1" t="s">
        <v>366</v>
      </c>
      <c r="B25" s="2062" t="s">
        <v>3390</v>
      </c>
      <c r="C25" s="3455">
        <f>IF(B25="容积率修正",IF(G3&lt;10,D26,J26),C27)</f>
        <v>0</v>
      </c>
      <c r="D25" s="2063"/>
      <c r="E25" s="2063"/>
      <c r="F25" s="2063"/>
      <c r="G25" s="2063"/>
      <c r="H25" s="2063"/>
      <c r="I25" s="2063"/>
      <c r="J25" s="2064"/>
      <c r="K25" s="1124"/>
      <c r="L25" s="2784"/>
      <c r="M25" s="2784"/>
      <c r="N25" s="2065"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2" t="s">
        <v>2013</v>
      </c>
      <c r="B26" s="2066" t="s">
        <v>2014</v>
      </c>
      <c r="C26" s="3339" t="s">
        <v>3261</v>
      </c>
      <c r="D26" s="3454">
        <f>IF(E26=G26,F26,IF(G3&lt;10,ROUND(F26+(H26-F26)*(G3-E26)/(G26-E26),4),"——"))</f>
        <v>1</v>
      </c>
      <c r="E26" s="752">
        <f>ROUNDDOWN(G3,1)</f>
        <v>2</v>
      </c>
      <c r="F26" s="3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3262</v>
      </c>
      <c r="J26" s="771" t="str">
        <f>IF(G3&gt;=10,D115,"——")</f>
        <v>——</v>
      </c>
      <c r="K26" s="1124"/>
      <c r="L26" s="2784"/>
      <c r="M26" s="2784"/>
      <c r="N26" s="2065"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2" t="s">
        <v>2016</v>
      </c>
      <c r="B27" s="2067" t="s">
        <v>2017</v>
      </c>
      <c r="C27" s="840">
        <f>ROUND(IF(I3&lt;6,SUMPRODUCT((B106:B110=I3)*(C105:N105=G2)*(C106:N110)),SUMIF(C105:N105,G2,C112:N112)),4)</f>
        <v>0</v>
      </c>
      <c r="D27" s="2042"/>
      <c r="E27" s="2042"/>
      <c r="F27" s="2068"/>
      <c r="G27" s="2069"/>
      <c r="H27" s="2070"/>
      <c r="I27" s="2071"/>
      <c r="J27" s="2072"/>
      <c r="K27" s="1118"/>
      <c r="L27" s="1994"/>
      <c r="M27" s="1994"/>
      <c r="N27" s="2065"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60">
        <f>SUMIF(A47:A101,E2,B47:B101)</f>
        <v>1.0466</v>
      </c>
      <c r="D28" s="2048"/>
      <c r="E28" s="2073"/>
      <c r="F28" s="2073"/>
      <c r="G28" s="2073"/>
      <c r="H28" s="2073"/>
      <c r="I28" s="2073"/>
      <c r="J28" s="2074"/>
      <c r="K28" s="1124"/>
      <c r="L28" s="2784"/>
      <c r="M28" s="2784"/>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5"/>
      <c r="D29" s="2021"/>
      <c r="E29" s="2021"/>
      <c r="F29" s="2077"/>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8"/>
      <c r="B30" s="2066" t="s">
        <v>2023</v>
      </c>
      <c r="C30" s="2317">
        <f>IF(B25="容积率修正",E33+SUM(E37:E42),SUM(V2:V16)+SUM(E37:E42))</f>
        <v>45326</v>
      </c>
      <c r="D30" s="2079"/>
      <c r="E30" s="2042"/>
      <c r="F30" s="2080"/>
      <c r="G30" s="2042"/>
      <c r="H30" s="2042"/>
      <c r="I30" s="2042"/>
      <c r="J30" s="2081"/>
      <c r="K30" s="1118"/>
      <c r="L30" s="3345" t="s">
        <v>1935</v>
      </c>
      <c r="M30" s="3346" t="s">
        <v>1989</v>
      </c>
      <c r="N30" s="3346" t="s">
        <v>1990</v>
      </c>
      <c r="O30" s="3346" t="s">
        <v>1991</v>
      </c>
      <c r="P30" s="3346" t="s">
        <v>1992</v>
      </c>
      <c r="Q30" s="3349" t="s">
        <v>3266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8"/>
      <c r="B31" s="2082" t="s">
        <v>2024</v>
      </c>
      <c r="C31" s="766">
        <f>E34+SUM(I37:I42)</f>
        <v>1393</v>
      </c>
      <c r="D31" s="2083"/>
      <c r="E31" s="2084"/>
      <c r="F31" s="2085"/>
      <c r="G31" s="2084"/>
      <c r="H31" s="2084"/>
      <c r="I31" s="2084"/>
      <c r="J31" s="2086"/>
      <c r="K31" s="1118"/>
      <c r="L31" s="3347" t="s">
        <v>1995</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7"/>
      <c r="B32" s="2088" t="s">
        <v>2025</v>
      </c>
      <c r="C32" s="2089" t="s">
        <v>2026</v>
      </c>
      <c r="D32" s="2089" t="s">
        <v>2027</v>
      </c>
      <c r="E32" s="2090" t="s">
        <v>2028</v>
      </c>
      <c r="F32" s="2091"/>
      <c r="G32" s="2034"/>
      <c r="H32" s="2034"/>
      <c r="I32" s="2034"/>
      <c r="J32" s="2035"/>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2"/>
      <c r="B33" s="2093" t="s">
        <v>2029</v>
      </c>
      <c r="C33" s="175">
        <f>ROUND(C5*C22*C23*C24*C25*C28,0)</f>
        <v>0</v>
      </c>
      <c r="D33" s="2094"/>
      <c r="E33" s="772">
        <f>ROUND(C33*D33/10000,0)</f>
        <v>0</v>
      </c>
      <c r="F33" s="3340" t="s">
        <v>3264</v>
      </c>
      <c r="G33" s="2095"/>
      <c r="H33" s="2095"/>
      <c r="I33" s="2095"/>
      <c r="J33" s="2096"/>
      <c r="K33" s="1118"/>
      <c r="L33" s="3343" t="s">
        <v>3267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f>ROUND(IF(B25="楼层修正",SUM(V2:V16)*M40,C34*D34/10000),0)</f>
        <v>0</v>
      </c>
      <c r="F34" s="2100" t="s">
        <v>2031</v>
      </c>
      <c r="G34" s="2101"/>
      <c r="H34" s="2101"/>
      <c r="I34" s="2101"/>
      <c r="J34" s="2102"/>
      <c r="K34" s="1118"/>
      <c r="L34" s="3343" t="s">
        <v>3268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3265</v>
      </c>
      <c r="D35" s="2034"/>
      <c r="E35" s="2105"/>
      <c r="F35" s="2105"/>
      <c r="G35" s="2032" t="s">
        <v>2033</v>
      </c>
      <c r="H35" s="2034"/>
      <c r="I35" s="2106"/>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3269</v>
      </c>
      <c r="L36" s="3438">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17"/>
      <c r="B37" s="2109" t="s">
        <v>2035</v>
      </c>
      <c r="C37" s="175">
        <f>ROUND(D5*C22*C23*C24*C28*F37,0)</f>
        <v>3433</v>
      </c>
      <c r="D37" s="2094">
        <f>面积!F23</f>
        <v>11834.82</v>
      </c>
      <c r="E37" s="171">
        <f>ROUND(C37*D37/10000,0)</f>
        <v>4063</v>
      </c>
      <c r="F37" s="171">
        <f>SUMIF(修正!A57:A68,G2,修正!B57:B68)</f>
        <v>0.5</v>
      </c>
      <c r="G37" s="171">
        <f>ROUND(IF(E2="工业",C37*$M$42,C37*$M$41),0)</f>
        <v>858</v>
      </c>
      <c r="H37" s="171">
        <f>D37</f>
        <v>11834.82</v>
      </c>
      <c r="I37" s="171">
        <f>ROUND(G37*H37/10000,0)</f>
        <v>1015</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18"/>
      <c r="B38" s="2038" t="s">
        <v>2036</v>
      </c>
      <c r="C38" s="175">
        <f>ROUND(D5*C22*C23*C24*C28*F38,0)</f>
        <v>1373</v>
      </c>
      <c r="D38" s="2094"/>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62"/>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18"/>
      <c r="B39" s="2038" t="s">
        <v>3263</v>
      </c>
      <c r="C39" s="175">
        <f>ROUND(D5*C22*C23*C24*C28*F39,0)</f>
        <v>1373</v>
      </c>
      <c r="D39" s="2094"/>
      <c r="E39" s="171">
        <f t="shared" si="4"/>
        <v>0</v>
      </c>
      <c r="F39" s="171">
        <f>SUMIF(修正!A57:A68,G2,修正!D57:D68)</f>
        <v>0.2</v>
      </c>
      <c r="G39" s="171">
        <f>ROUND(IF(E2="工业",C39*$M$42,C39*$M$41),0)</f>
        <v>343</v>
      </c>
      <c r="H39" s="171">
        <f t="shared" si="5"/>
        <v>0</v>
      </c>
      <c r="I39" s="171">
        <f t="shared" si="6"/>
        <v>0</v>
      </c>
      <c r="J39" s="3462"/>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8" t="s">
        <v>2037</v>
      </c>
      <c r="C40" s="171">
        <f>ROUND(D5*C22*C23*C24*C28*F40,0)</f>
        <v>1373</v>
      </c>
      <c r="D40" s="2094"/>
      <c r="E40" s="171">
        <f t="shared" si="4"/>
        <v>0</v>
      </c>
      <c r="F40" s="175">
        <f>SUMIF(修正!A57:A68,G2,修正!E57:E68)</f>
        <v>0.2</v>
      </c>
      <c r="G40" s="171">
        <f>ROUND(IF(E2="工业",C40*$M$42,C40*$M$41),0)</f>
        <v>343</v>
      </c>
      <c r="H40" s="171">
        <f t="shared" si="5"/>
        <v>0</v>
      </c>
      <c r="I40" s="171">
        <f t="shared" si="6"/>
        <v>0</v>
      </c>
      <c r="J40" s="2110"/>
      <c r="L40" s="2112" t="s">
        <v>2038</v>
      </c>
      <c r="M40" s="2113"/>
      <c r="Z40" s="1119"/>
      <c r="AA40" s="1119"/>
      <c r="AB40" s="1119"/>
      <c r="AC40" s="1119"/>
      <c r="AD40" s="1119"/>
      <c r="AE40" s="1119"/>
      <c r="AF40" s="1119"/>
      <c r="AG40" s="1119"/>
      <c r="AH40" s="1119"/>
      <c r="AI40" s="1119"/>
      <c r="AJ40" s="1119"/>
    </row>
    <row r="41" spans="1:37" s="1118" customFormat="1">
      <c r="A41" s="2111"/>
      <c r="B41" s="2038" t="s">
        <v>2039</v>
      </c>
      <c r="C41" s="171">
        <f>ROUND(D5*C22*C23*C44*C28*F41,0)</f>
        <v>1463</v>
      </c>
      <c r="D41" s="2094"/>
      <c r="E41" s="171">
        <f t="shared" si="4"/>
        <v>0</v>
      </c>
      <c r="F41" s="175">
        <f>SUMIF(修正!A57:A68,G2,修正!F57:F68)</f>
        <v>0.2</v>
      </c>
      <c r="G41" s="171">
        <f>ROUND(IF(E2="工业",C41*$M$42,C41*$M$41),0)</f>
        <v>366</v>
      </c>
      <c r="H41" s="171">
        <f t="shared" si="5"/>
        <v>0</v>
      </c>
      <c r="I41" s="171">
        <f t="shared" si="6"/>
        <v>0</v>
      </c>
      <c r="J41" s="2110"/>
      <c r="L41" s="3354" t="s">
        <v>3271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732</v>
      </c>
      <c r="D42" s="2099">
        <f>'数据-基础表'!O13</f>
        <v>20632.660000000003</v>
      </c>
      <c r="E42" s="187">
        <f t="shared" si="4"/>
        <v>1510</v>
      </c>
      <c r="F42" s="767">
        <f>SUMIF(修正!A57:A68,G2,修正!G57:G68)</f>
        <v>0.1</v>
      </c>
      <c r="G42" s="187">
        <f>ROUND(IF(E2="工业",C42*$M$42,C42*$M$41),0)</f>
        <v>183</v>
      </c>
      <c r="H42" s="187">
        <f t="shared" si="5"/>
        <v>20632.660000000003</v>
      </c>
      <c r="I42" s="187">
        <f t="shared" si="6"/>
        <v>378</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0.92879999999999996</v>
      </c>
      <c r="D44" s="171" t="s">
        <v>1998</v>
      </c>
      <c r="E44" s="2149">
        <f>G24</f>
        <v>5.5E-2</v>
      </c>
      <c r="F44" s="171" t="s">
        <v>2007</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2" t="s">
        <v>2042</v>
      </c>
      <c r="B48" s="2123">
        <f>1+E50</f>
        <v>1.0466</v>
      </c>
      <c r="C48" s="2124"/>
      <c r="D48" s="741"/>
      <c r="E48" s="742"/>
      <c r="F48" s="2125"/>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3" t="s">
        <v>2047</v>
      </c>
      <c r="F49" s="2127" t="s">
        <v>2048</v>
      </c>
      <c r="G49" s="1349" t="s">
        <v>310</v>
      </c>
      <c r="H49" s="2128"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6" t="s">
        <v>2051</v>
      </c>
      <c r="B50" s="2129" t="str">
        <f>估价对象房地状况!C4</f>
        <v>估价对象位于XX商圈，周边商业氛围成熟，人流量大，商业繁华度好</v>
      </c>
      <c r="C50" s="2040" t="s">
        <v>3387</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61">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6" t="s">
        <v>2052</v>
      </c>
      <c r="B51" s="2130" t="str">
        <f>估价对象房地状况!C18</f>
        <v>估价对象周边道路状况、公共交通通达情况、停车便捷程度，综合评价交通便捷度较好</v>
      </c>
      <c r="C51" s="2040" t="s">
        <v>3388</v>
      </c>
      <c r="D51" s="1064">
        <f t="shared" si="7"/>
        <v>1.5800000000000002E-2</v>
      </c>
      <c r="E51" s="745"/>
      <c r="F51" s="1811"/>
      <c r="G51" s="1062">
        <f t="shared" ref="G51:G58" si="12">H51</f>
        <v>1.5800000000000002E-2</v>
      </c>
      <c r="H51" s="1065">
        <f t="shared" si="8"/>
        <v>1.5800000000000002E-2</v>
      </c>
      <c r="I51" s="3361">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3" t="s">
        <v>3273</v>
      </c>
      <c r="B52" s="2130">
        <f>估价对象房地状况!C19</f>
        <v>0</v>
      </c>
      <c r="C52" s="2040" t="s">
        <v>3388</v>
      </c>
      <c r="D52" s="1064">
        <f t="shared" si="7"/>
        <v>8.6E-3</v>
      </c>
      <c r="E52" s="745"/>
      <c r="F52" s="1811"/>
      <c r="G52" s="1062">
        <f t="shared" si="12"/>
        <v>8.6E-3</v>
      </c>
      <c r="H52" s="1065">
        <f t="shared" si="8"/>
        <v>8.6E-3</v>
      </c>
      <c r="I52" s="3361">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6" t="s">
        <v>2053</v>
      </c>
      <c r="B53" s="2131" t="s">
        <v>2054</v>
      </c>
      <c r="C53" s="2040" t="s">
        <v>3388</v>
      </c>
      <c r="D53" s="1064">
        <f t="shared" si="7"/>
        <v>3.5999999999999999E-3</v>
      </c>
      <c r="E53" s="745"/>
      <c r="F53" s="1811"/>
      <c r="G53" s="1062">
        <f t="shared" si="12"/>
        <v>3.5999999999999999E-3</v>
      </c>
      <c r="H53" s="1065">
        <f t="shared" si="8"/>
        <v>3.5999999999999999E-3</v>
      </c>
      <c r="I53" s="3361">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3387</v>
      </c>
      <c r="D54" s="1064">
        <f t="shared" si="7"/>
        <v>0</v>
      </c>
      <c r="E54" s="745"/>
      <c r="F54" s="1811"/>
      <c r="G54" s="1062">
        <f t="shared" si="12"/>
        <v>5.7000000000000002E-3</v>
      </c>
      <c r="H54" s="1065">
        <f t="shared" si="8"/>
        <v>5.7000000000000002E-3</v>
      </c>
      <c r="I54" s="3361">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6" t="s">
        <v>2056</v>
      </c>
      <c r="B55" s="2132" t="s">
        <v>2057</v>
      </c>
      <c r="C55" s="2040" t="s">
        <v>3388</v>
      </c>
      <c r="D55" s="1064">
        <f t="shared" si="7"/>
        <v>3.5999999999999999E-3</v>
      </c>
      <c r="E55" s="745"/>
      <c r="F55" s="1811"/>
      <c r="G55" s="1062">
        <f t="shared" si="12"/>
        <v>3.5999999999999999E-3</v>
      </c>
      <c r="H55" s="1065">
        <f t="shared" si="8"/>
        <v>3.5999999999999999E-3</v>
      </c>
      <c r="I55" s="3361">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3" t="s">
        <v>2058</v>
      </c>
      <c r="B56" s="1324" t="str">
        <f>估价对象房地状况!C21</f>
        <v>估价对象所在区域公共配套设施齐备情况</v>
      </c>
      <c r="C56" s="2040" t="s">
        <v>3388</v>
      </c>
      <c r="D56" s="1064">
        <f t="shared" si="7"/>
        <v>3.5999999999999999E-3</v>
      </c>
      <c r="E56" s="745"/>
      <c r="F56" s="1811"/>
      <c r="G56" s="1062">
        <f t="shared" si="12"/>
        <v>3.5999999999999999E-3</v>
      </c>
      <c r="H56" s="1065">
        <f t="shared" si="8"/>
        <v>3.5999999999999999E-3</v>
      </c>
      <c r="I56" s="3361">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3" t="s">
        <v>2059</v>
      </c>
      <c r="B57" s="2130" t="str">
        <f>估价对象房地状况!C22</f>
        <v>估价对象所在区域基础设施水平</v>
      </c>
      <c r="C57" s="2040" t="s">
        <v>3389</v>
      </c>
      <c r="D57" s="1064">
        <f t="shared" si="7"/>
        <v>1.14E-2</v>
      </c>
      <c r="E57" s="745"/>
      <c r="F57" s="1811"/>
      <c r="G57" s="1062">
        <f t="shared" si="12"/>
        <v>5.7000000000000002E-3</v>
      </c>
      <c r="H57" s="1065">
        <f t="shared" si="8"/>
        <v>5.7000000000000002E-3</v>
      </c>
      <c r="I57" s="3361">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4" t="s">
        <v>2060</v>
      </c>
      <c r="B58" s="2135" t="str">
        <f>估价对象房地状况!C20</f>
        <v>区域自然环境：；人文环境；综合评价环境状况一般</v>
      </c>
      <c r="C58" s="2040" t="s">
        <v>3387</v>
      </c>
      <c r="D58" s="1064">
        <f t="shared" si="7"/>
        <v>0</v>
      </c>
      <c r="E58" s="746"/>
      <c r="F58" s="1811"/>
      <c r="G58" s="1062">
        <f t="shared" si="12"/>
        <v>3.5999999999999999E-3</v>
      </c>
      <c r="H58" s="1065">
        <f t="shared" si="8"/>
        <v>3.5999999999999999E-3</v>
      </c>
      <c r="I58" s="3362">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2" t="s">
        <v>2061</v>
      </c>
      <c r="B59" s="2123">
        <f>1+E61</f>
        <v>1</v>
      </c>
      <c r="C59" s="741"/>
      <c r="D59" s="741"/>
      <c r="E59" s="742"/>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3" t="s">
        <v>2047</v>
      </c>
      <c r="F60" s="2127" t="s">
        <v>2062</v>
      </c>
      <c r="G60" s="1349" t="s">
        <v>310</v>
      </c>
      <c r="H60" s="2128"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6" t="s">
        <v>2063</v>
      </c>
      <c r="B61" s="2129" t="str">
        <f>估价对象房地状况!C17</f>
        <v>估价对象位于XX商圈，周边办公楼项目较多，入驻率高，办公集聚程度较好</v>
      </c>
      <c r="C61" s="2040"/>
      <c r="D61" s="1064">
        <f t="shared" ref="D61:D69" si="13">SUMIF($J$60:$N$60,C61,J61:N61)</f>
        <v>0</v>
      </c>
      <c r="E61" s="744">
        <f>ROUND(SUM(D61:D69),4)</f>
        <v>0</v>
      </c>
      <c r="F61" s="1811" t="str">
        <f>IF(E2="办公",SUMIF(L1:L12,G2,N1:N12),"——")</f>
        <v>——</v>
      </c>
      <c r="G61" s="1062"/>
      <c r="H61" s="1065" t="str">
        <f t="shared" ref="H61:H69" si="14">IFERROR(ROUNDDOWN($F$61*I61/2,4),"——")</f>
        <v>——</v>
      </c>
      <c r="I61" s="3361">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6" t="s">
        <v>2052</v>
      </c>
      <c r="B62" s="2130" t="str">
        <f>估价对象房地状况!C18</f>
        <v>估价对象周边道路状况、公共交通通达情况、停车便捷程度，综合评价交通便捷度较好</v>
      </c>
      <c r="C62" s="2040"/>
      <c r="D62" s="1064">
        <f t="shared" si="13"/>
        <v>0</v>
      </c>
      <c r="E62" s="745"/>
      <c r="F62" s="1811"/>
      <c r="G62" s="1062"/>
      <c r="H62" s="1065" t="str">
        <f t="shared" si="14"/>
        <v>——</v>
      </c>
      <c r="I62" s="3361">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3" t="s">
        <v>3273</v>
      </c>
      <c r="B63" s="2130">
        <f>估价对象房地状况!C19</f>
        <v>0</v>
      </c>
      <c r="C63" s="2040"/>
      <c r="D63" s="1064">
        <f t="shared" si="13"/>
        <v>0</v>
      </c>
      <c r="E63" s="745"/>
      <c r="F63" s="1811"/>
      <c r="G63" s="1062"/>
      <c r="H63" s="1065" t="str">
        <f t="shared" si="14"/>
        <v>——</v>
      </c>
      <c r="I63" s="3361">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6" t="s">
        <v>2053</v>
      </c>
      <c r="B64" s="2131" t="s">
        <v>2054</v>
      </c>
      <c r="C64" s="2040"/>
      <c r="D64" s="1064">
        <f t="shared" si="13"/>
        <v>0</v>
      </c>
      <c r="E64" s="745"/>
      <c r="F64" s="1811"/>
      <c r="G64" s="1062"/>
      <c r="H64" s="1065" t="str">
        <f t="shared" si="14"/>
        <v>——</v>
      </c>
      <c r="I64" s="3361">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c r="D65" s="1064">
        <f t="shared" si="13"/>
        <v>0</v>
      </c>
      <c r="E65" s="745"/>
      <c r="F65" s="1811"/>
      <c r="G65" s="1062"/>
      <c r="H65" s="1065" t="str">
        <f t="shared" si="14"/>
        <v>——</v>
      </c>
      <c r="I65" s="3361">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6" t="s">
        <v>2056</v>
      </c>
      <c r="B66" s="2132" t="s">
        <v>2057</v>
      </c>
      <c r="C66" s="2040"/>
      <c r="D66" s="1064">
        <f t="shared" si="13"/>
        <v>0</v>
      </c>
      <c r="E66" s="745"/>
      <c r="F66" s="1811"/>
      <c r="G66" s="1062"/>
      <c r="H66" s="1065" t="str">
        <f t="shared" si="14"/>
        <v>——</v>
      </c>
      <c r="I66" s="3361">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6" t="s">
        <v>2058</v>
      </c>
      <c r="B67" s="1324" t="str">
        <f>估价对象房地状况!C21</f>
        <v>估价对象所在区域公共配套设施齐备情况</v>
      </c>
      <c r="C67" s="2040"/>
      <c r="D67" s="1064">
        <f t="shared" si="13"/>
        <v>0</v>
      </c>
      <c r="E67" s="745"/>
      <c r="F67" s="1811"/>
      <c r="G67" s="1062"/>
      <c r="H67" s="1065" t="str">
        <f t="shared" si="14"/>
        <v>——</v>
      </c>
      <c r="I67" s="3361">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6" t="s">
        <v>2059</v>
      </c>
      <c r="B68" s="1324" t="str">
        <f>估价对象房地状况!C22</f>
        <v>估价对象所在区域基础设施水平</v>
      </c>
      <c r="C68" s="2040"/>
      <c r="D68" s="1064">
        <f t="shared" si="13"/>
        <v>0</v>
      </c>
      <c r="E68" s="745"/>
      <c r="F68" s="1811"/>
      <c r="G68" s="1062"/>
      <c r="H68" s="1065" t="str">
        <f t="shared" si="14"/>
        <v>——</v>
      </c>
      <c r="I68" s="3361">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4" t="s">
        <v>2060</v>
      </c>
      <c r="B69" s="2136" t="str">
        <f>估价对象房地状况!C20</f>
        <v>区域自然环境：；人文环境；综合评价环境状况一般</v>
      </c>
      <c r="C69" s="2040"/>
      <c r="D69" s="1064">
        <f t="shared" si="13"/>
        <v>0</v>
      </c>
      <c r="E69" s="746"/>
      <c r="F69" s="1811"/>
      <c r="G69" s="1062"/>
      <c r="H69" s="1065" t="str">
        <f t="shared" si="14"/>
        <v>——</v>
      </c>
      <c r="I69" s="3362">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2" t="s">
        <v>2064</v>
      </c>
      <c r="B70" s="2123">
        <f>1+E72</f>
        <v>1</v>
      </c>
      <c r="C70" s="741"/>
      <c r="D70" s="741"/>
      <c r="E70" s="742"/>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3" t="s">
        <v>2047</v>
      </c>
      <c r="F71" s="2127" t="s">
        <v>2062</v>
      </c>
      <c r="G71" s="1349" t="s">
        <v>310</v>
      </c>
      <c r="H71" s="2128"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6" t="s">
        <v>2065</v>
      </c>
      <c r="B72" s="2129" t="str">
        <f>估价对象房地状况!C15</f>
        <v>估价对象周边居住用地比例、居住小区规模和社区发展完善程度，综合评价居住社区成熟度一般</v>
      </c>
      <c r="C72" s="2040"/>
      <c r="D72" s="1064">
        <f t="shared" ref="D72:D80" si="18">SUMIF($J$71:$N$71,C72,J72:N72)</f>
        <v>0</v>
      </c>
      <c r="E72" s="744">
        <f>ROUND(SUM(D72:D80),4)</f>
        <v>0</v>
      </c>
      <c r="F72" s="1811" t="str">
        <f>IF(E2="住宅",SUMIF(L1:L12,G2,N1:N12),"——")</f>
        <v>——</v>
      </c>
      <c r="G72" s="1062"/>
      <c r="H72" s="1065" t="str">
        <f t="shared" ref="H72:H80" si="19">IFERROR(ROUNDDOWN($F$72*I72/2,4),"——")</f>
        <v>——</v>
      </c>
      <c r="I72" s="3361">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6" t="s">
        <v>2052</v>
      </c>
      <c r="B73" s="2130" t="str">
        <f>估价对象房地状况!C18</f>
        <v>估价对象周边道路状况、公共交通通达情况、停车便捷程度，综合评价交通便捷度较好</v>
      </c>
      <c r="C73" s="2040"/>
      <c r="D73" s="1064">
        <f t="shared" si="18"/>
        <v>0</v>
      </c>
      <c r="E73" s="747"/>
      <c r="F73" s="1811"/>
      <c r="G73" s="1062"/>
      <c r="H73" s="1065" t="str">
        <f t="shared" si="19"/>
        <v>——</v>
      </c>
      <c r="I73" s="3361">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3" t="s">
        <v>3273</v>
      </c>
      <c r="B74" s="2130">
        <f>估价对象房地状况!C19</f>
        <v>0</v>
      </c>
      <c r="C74" s="2040"/>
      <c r="D74" s="1064">
        <f t="shared" si="18"/>
        <v>0</v>
      </c>
      <c r="E74" s="747"/>
      <c r="F74" s="1811"/>
      <c r="G74" s="1062"/>
      <c r="H74" s="1065" t="str">
        <f t="shared" si="19"/>
        <v>——</v>
      </c>
      <c r="I74" s="3361">
        <v>0.1</v>
      </c>
      <c r="J74" s="1063">
        <f t="shared" si="20"/>
        <v>0</v>
      </c>
      <c r="K74" s="1063">
        <f t="shared" si="21"/>
        <v>0</v>
      </c>
      <c r="L74" s="1063">
        <v>0</v>
      </c>
      <c r="M74" s="1063">
        <f t="shared" si="22"/>
        <v>0</v>
      </c>
      <c r="N74" s="1063">
        <f t="shared" si="22"/>
        <v>0</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c r="D75" s="1064">
        <f t="shared" si="18"/>
        <v>0</v>
      </c>
      <c r="E75" s="747"/>
      <c r="F75" s="1811"/>
      <c r="G75" s="1062"/>
      <c r="H75" s="1065" t="str">
        <f t="shared" si="19"/>
        <v>——</v>
      </c>
      <c r="I75" s="3361">
        <v>0.05</v>
      </c>
      <c r="J75" s="1063">
        <f t="shared" si="20"/>
        <v>0</v>
      </c>
      <c r="K75" s="1063">
        <f t="shared" si="21"/>
        <v>0</v>
      </c>
      <c r="L75" s="1063">
        <v>0</v>
      </c>
      <c r="M75" s="1063">
        <f t="shared" si="22"/>
        <v>0</v>
      </c>
      <c r="N75" s="1063">
        <f t="shared" si="22"/>
        <v>0</v>
      </c>
      <c r="O75" s="1118"/>
      <c r="P75" s="1118"/>
      <c r="Q75" s="1994"/>
      <c r="Z75" s="1995"/>
      <c r="AA75" s="2049"/>
      <c r="AG75" s="1120"/>
      <c r="AK75" s="2049"/>
    </row>
    <row r="76" spans="1:37" ht="25.5">
      <c r="A76" s="2126" t="s">
        <v>2058</v>
      </c>
      <c r="B76" s="1324" t="str">
        <f>估价对象房地状况!C21</f>
        <v>估价对象所在区域公共配套设施齐备情况</v>
      </c>
      <c r="C76" s="2040"/>
      <c r="D76" s="1064">
        <f t="shared" si="18"/>
        <v>0</v>
      </c>
      <c r="E76" s="747"/>
      <c r="F76" s="1811"/>
      <c r="G76" s="1062"/>
      <c r="H76" s="1065" t="str">
        <f t="shared" si="19"/>
        <v>——</v>
      </c>
      <c r="I76" s="3361">
        <v>0.08</v>
      </c>
      <c r="J76" s="1063">
        <f t="shared" si="20"/>
        <v>0</v>
      </c>
      <c r="K76" s="1063">
        <f t="shared" si="21"/>
        <v>0</v>
      </c>
      <c r="L76" s="1063">
        <v>0</v>
      </c>
      <c r="M76" s="1063">
        <f t="shared" si="22"/>
        <v>0</v>
      </c>
      <c r="N76" s="1063">
        <f t="shared" si="22"/>
        <v>0</v>
      </c>
      <c r="O76" s="1118"/>
      <c r="P76" s="1118"/>
      <c r="Z76" s="1995"/>
      <c r="AA76" s="2049"/>
      <c r="AG76" s="1120"/>
      <c r="AK76" s="2049"/>
    </row>
    <row r="77" spans="1:37" ht="25.5">
      <c r="A77" s="2126" t="s">
        <v>2059</v>
      </c>
      <c r="B77" s="1324" t="str">
        <f>估价对象房地状况!C22</f>
        <v>估价对象所在区域基础设施水平</v>
      </c>
      <c r="C77" s="2040"/>
      <c r="D77" s="1064">
        <f t="shared" si="18"/>
        <v>0</v>
      </c>
      <c r="E77" s="747"/>
      <c r="F77" s="1811"/>
      <c r="G77" s="1062"/>
      <c r="H77" s="1065" t="str">
        <f t="shared" si="19"/>
        <v>——</v>
      </c>
      <c r="I77" s="3361">
        <v>0.09</v>
      </c>
      <c r="J77" s="1063">
        <f t="shared" si="20"/>
        <v>0</v>
      </c>
      <c r="K77" s="1063">
        <f t="shared" si="21"/>
        <v>0</v>
      </c>
      <c r="L77" s="1063">
        <v>0</v>
      </c>
      <c r="M77" s="1063">
        <f t="shared" si="22"/>
        <v>0</v>
      </c>
      <c r="N77" s="1063">
        <f t="shared" si="22"/>
        <v>0</v>
      </c>
      <c r="O77" s="1118"/>
      <c r="P77" s="1118"/>
      <c r="Z77" s="1995"/>
      <c r="AA77" s="2049"/>
      <c r="AG77" s="1120"/>
      <c r="AK77" s="2049"/>
    </row>
    <row r="78" spans="1:37" ht="24">
      <c r="A78" s="2126" t="s">
        <v>2056</v>
      </c>
      <c r="B78" s="2132" t="s">
        <v>2057</v>
      </c>
      <c r="C78" s="2040"/>
      <c r="D78" s="1064">
        <f t="shared" si="18"/>
        <v>0</v>
      </c>
      <c r="E78" s="747"/>
      <c r="F78" s="1811"/>
      <c r="G78" s="1062"/>
      <c r="H78" s="1065" t="str">
        <f t="shared" si="19"/>
        <v>——</v>
      </c>
      <c r="I78" s="3361">
        <v>0.05</v>
      </c>
      <c r="J78" s="1063">
        <f t="shared" si="20"/>
        <v>0</v>
      </c>
      <c r="K78" s="1063">
        <f t="shared" si="21"/>
        <v>0</v>
      </c>
      <c r="L78" s="1063">
        <v>0</v>
      </c>
      <c r="M78" s="1063">
        <f t="shared" si="22"/>
        <v>0</v>
      </c>
      <c r="N78" s="1063">
        <f t="shared" si="22"/>
        <v>0</v>
      </c>
      <c r="O78" s="1994"/>
      <c r="P78" s="1994"/>
      <c r="Z78" s="1995"/>
      <c r="AA78" s="2049"/>
      <c r="AG78" s="1120"/>
      <c r="AK78" s="2049"/>
    </row>
    <row r="79" spans="1:37" ht="25.5">
      <c r="A79" s="2126" t="s">
        <v>2060</v>
      </c>
      <c r="B79" s="2129" t="str">
        <f>估价对象房地状况!C20</f>
        <v>区域自然环境：；人文环境；综合评价环境状况一般</v>
      </c>
      <c r="C79" s="2040"/>
      <c r="D79" s="1064">
        <f t="shared" si="18"/>
        <v>0</v>
      </c>
      <c r="E79" s="747"/>
      <c r="F79" s="1811"/>
      <c r="G79" s="1062"/>
      <c r="H79" s="1065" t="str">
        <f t="shared" si="19"/>
        <v>——</v>
      </c>
      <c r="I79" s="3361">
        <v>0.12</v>
      </c>
      <c r="J79" s="1063">
        <f t="shared" si="20"/>
        <v>0</v>
      </c>
      <c r="K79" s="1063">
        <f t="shared" si="21"/>
        <v>0</v>
      </c>
      <c r="L79" s="1063">
        <v>0</v>
      </c>
      <c r="M79" s="1063">
        <f t="shared" si="22"/>
        <v>0</v>
      </c>
      <c r="N79" s="1063">
        <f t="shared" si="22"/>
        <v>0</v>
      </c>
      <c r="Z79" s="1995"/>
      <c r="AA79" s="2049"/>
      <c r="AG79" s="1120"/>
      <c r="AK79" s="2049"/>
    </row>
    <row r="80" spans="1:37" ht="24.75" thickBot="1">
      <c r="A80" s="2134" t="s">
        <v>2067</v>
      </c>
      <c r="B80" s="2138"/>
      <c r="C80" s="2040"/>
      <c r="D80" s="1064">
        <f t="shared" si="18"/>
        <v>0</v>
      </c>
      <c r="E80" s="748"/>
      <c r="F80" s="1811"/>
      <c r="G80" s="1062"/>
      <c r="H80" s="1065" t="str">
        <f t="shared" si="19"/>
        <v>——</v>
      </c>
      <c r="I80" s="3362">
        <v>0.05</v>
      </c>
      <c r="J80" s="1063">
        <f t="shared" si="20"/>
        <v>0</v>
      </c>
      <c r="K80" s="1063">
        <f t="shared" si="21"/>
        <v>0</v>
      </c>
      <c r="L80" s="1063">
        <v>0</v>
      </c>
      <c r="M80" s="1063">
        <f t="shared" si="22"/>
        <v>0</v>
      </c>
      <c r="N80" s="1063">
        <f t="shared" si="22"/>
        <v>0</v>
      </c>
      <c r="Z80" s="1995"/>
      <c r="AA80" s="2049"/>
      <c r="AG80" s="1120"/>
      <c r="AK80" s="2049"/>
    </row>
    <row r="81" spans="1:37" ht="15">
      <c r="A81" s="2122" t="s">
        <v>2068</v>
      </c>
      <c r="B81" s="2123">
        <f>1+E83</f>
        <v>1</v>
      </c>
      <c r="C81" s="741"/>
      <c r="D81" s="741"/>
      <c r="E81" s="742"/>
      <c r="F81" s="2125"/>
      <c r="G81" s="3"/>
      <c r="H81" s="3"/>
      <c r="I81" s="3"/>
      <c r="J81" s="4"/>
      <c r="K81" s="4"/>
      <c r="L81" s="4"/>
      <c r="M81" s="4"/>
      <c r="N81" s="4"/>
      <c r="Z81" s="1995"/>
      <c r="AA81" s="2049"/>
      <c r="AG81" s="1120"/>
      <c r="AK81" s="2049"/>
    </row>
    <row r="82" spans="1:37" ht="24.75">
      <c r="A82" s="2126" t="s">
        <v>2043</v>
      </c>
      <c r="B82" s="1349"/>
      <c r="C82" s="1349" t="s">
        <v>2045</v>
      </c>
      <c r="D82" s="1349" t="s">
        <v>2046</v>
      </c>
      <c r="E82" s="743" t="s">
        <v>2047</v>
      </c>
      <c r="F82" s="2127" t="s">
        <v>2062</v>
      </c>
      <c r="G82" s="1349" t="s">
        <v>310</v>
      </c>
      <c r="H82" s="2128" t="s">
        <v>2049</v>
      </c>
      <c r="I82" s="1349" t="s">
        <v>2050</v>
      </c>
      <c r="J82" s="552" t="s">
        <v>1721</v>
      </c>
      <c r="K82" s="552" t="s">
        <v>1722</v>
      </c>
      <c r="L82" s="552" t="s">
        <v>1723</v>
      </c>
      <c r="M82" s="552" t="s">
        <v>1724</v>
      </c>
      <c r="N82" s="552" t="s">
        <v>1725</v>
      </c>
      <c r="Z82" s="1995"/>
      <c r="AA82" s="2049"/>
      <c r="AG82" s="1120"/>
      <c r="AK82" s="2049"/>
    </row>
    <row r="83" spans="1:37" ht="38.25">
      <c r="A83" s="2126" t="s">
        <v>2069</v>
      </c>
      <c r="B83" s="2130" t="str">
        <f>估价对象房地状况!G15</f>
        <v>估价对象位于XX开发区，园区建设成熟度XX，产业集聚程度XX</v>
      </c>
      <c r="C83" s="2040"/>
      <c r="D83" s="1064">
        <f t="shared" ref="D83:D90" si="23">SUMIF($J$82:$N$82,C83,J83:N83)</f>
        <v>0</v>
      </c>
      <c r="E83" s="744">
        <f>ROUND(SUM(D83:D90),4)</f>
        <v>0</v>
      </c>
      <c r="F83" s="1811" t="str">
        <f>IF(E2="工业",SUMIF(L1:L12,G2,N1:N12),"——")</f>
        <v>——</v>
      </c>
      <c r="G83" s="1062"/>
      <c r="H83" s="1065" t="str">
        <f t="shared" ref="H83:H90" si="24">IFERROR(ROUNDDOWN($F$83*I83/2,4),"——")</f>
        <v>——</v>
      </c>
      <c r="I83" s="3361">
        <v>0.26</v>
      </c>
      <c r="J83" s="1063">
        <f t="shared" ref="J83:J90" si="25">K83+$G83</f>
        <v>0</v>
      </c>
      <c r="K83" s="1063">
        <f t="shared" ref="K83:K90" si="26">$L83+$G83</f>
        <v>0</v>
      </c>
      <c r="L83" s="1063">
        <v>0</v>
      </c>
      <c r="M83" s="1063">
        <f t="shared" ref="M83:N90" si="27">L83-$G83</f>
        <v>0</v>
      </c>
      <c r="N83" s="1063">
        <f t="shared" si="27"/>
        <v>0</v>
      </c>
      <c r="Z83" s="1995"/>
      <c r="AA83" s="2049"/>
      <c r="AG83" s="1120"/>
      <c r="AK83" s="2049"/>
    </row>
    <row r="84" spans="1:37" ht="38.25">
      <c r="A84" s="2126" t="s">
        <v>2052</v>
      </c>
      <c r="B84" s="2130" t="str">
        <f>估价对象房地状况!G16</f>
        <v>估价对象周边道路状况、公共交通通达情况、停车便捷程度，综合评价交通便捷度较好</v>
      </c>
      <c r="C84" s="2040"/>
      <c r="D84" s="1064">
        <f t="shared" si="23"/>
        <v>0</v>
      </c>
      <c r="E84" s="747"/>
      <c r="F84" s="1811"/>
      <c r="G84" s="1062"/>
      <c r="H84" s="1065" t="str">
        <f t="shared" si="24"/>
        <v>——</v>
      </c>
      <c r="I84" s="3361">
        <v>0.3</v>
      </c>
      <c r="J84" s="1063">
        <f t="shared" si="25"/>
        <v>0</v>
      </c>
      <c r="K84" s="1063">
        <f t="shared" si="26"/>
        <v>0</v>
      </c>
      <c r="L84" s="1063">
        <v>0</v>
      </c>
      <c r="M84" s="1063">
        <f t="shared" si="27"/>
        <v>0</v>
      </c>
      <c r="N84" s="1063">
        <f t="shared" si="27"/>
        <v>0</v>
      </c>
      <c r="Z84" s="1995"/>
      <c r="AA84" s="2049"/>
      <c r="AG84" s="1120"/>
      <c r="AK84" s="2049"/>
    </row>
    <row r="85" spans="1:37" ht="36">
      <c r="A85" s="3363" t="s">
        <v>3273</v>
      </c>
      <c r="B85" s="2130">
        <f>估价对象房地状况!G17</f>
        <v>0</v>
      </c>
      <c r="C85" s="2040"/>
      <c r="D85" s="1064">
        <f t="shared" si="23"/>
        <v>0</v>
      </c>
      <c r="E85" s="747"/>
      <c r="F85" s="1811"/>
      <c r="G85" s="1062"/>
      <c r="H85" s="1065" t="str">
        <f t="shared" si="24"/>
        <v>——</v>
      </c>
      <c r="I85" s="3361">
        <v>0.1</v>
      </c>
      <c r="J85" s="1063">
        <f t="shared" si="25"/>
        <v>0</v>
      </c>
      <c r="K85" s="1063">
        <f t="shared" si="26"/>
        <v>0</v>
      </c>
      <c r="L85" s="1063">
        <v>0</v>
      </c>
      <c r="M85" s="1063">
        <f t="shared" si="27"/>
        <v>0</v>
      </c>
      <c r="N85" s="1063">
        <f t="shared" si="27"/>
        <v>0</v>
      </c>
      <c r="Z85" s="1995"/>
      <c r="AA85" s="2049"/>
      <c r="AG85" s="1120"/>
      <c r="AK85" s="2049"/>
    </row>
    <row r="86" spans="1:37" ht="14.25">
      <c r="A86" s="2126" t="s">
        <v>2066</v>
      </c>
      <c r="B86" s="2130">
        <f>估价对象房地状况!G22</f>
        <v>0</v>
      </c>
      <c r="C86" s="2040"/>
      <c r="D86" s="1064">
        <f t="shared" si="23"/>
        <v>0</v>
      </c>
      <c r="E86" s="747"/>
      <c r="F86" s="1811"/>
      <c r="G86" s="1062"/>
      <c r="H86" s="1065" t="str">
        <f t="shared" si="24"/>
        <v>——</v>
      </c>
      <c r="I86" s="3361">
        <v>0.05</v>
      </c>
      <c r="J86" s="1063">
        <f t="shared" si="25"/>
        <v>0</v>
      </c>
      <c r="K86" s="1063">
        <f t="shared" si="26"/>
        <v>0</v>
      </c>
      <c r="L86" s="1063">
        <v>0</v>
      </c>
      <c r="M86" s="1063">
        <f t="shared" si="27"/>
        <v>0</v>
      </c>
      <c r="N86" s="1063">
        <f t="shared" si="27"/>
        <v>0</v>
      </c>
      <c r="Z86" s="1995"/>
      <c r="AA86" s="2049"/>
      <c r="AG86" s="1120"/>
      <c r="AK86" s="2049"/>
    </row>
    <row r="87" spans="1:37" ht="25.5">
      <c r="A87" s="2126" t="s">
        <v>2058</v>
      </c>
      <c r="B87" s="1324" t="str">
        <f>估价对象房地状况!G19</f>
        <v>估价对象所在区域公共配套设施齐备情况</v>
      </c>
      <c r="C87" s="2040"/>
      <c r="D87" s="1064">
        <f t="shared" si="23"/>
        <v>0</v>
      </c>
      <c r="E87" s="747"/>
      <c r="F87" s="1811"/>
      <c r="G87" s="1062"/>
      <c r="H87" s="1065" t="str">
        <f t="shared" si="24"/>
        <v>——</v>
      </c>
      <c r="I87" s="3361">
        <v>0.06</v>
      </c>
      <c r="J87" s="1063">
        <f t="shared" si="25"/>
        <v>0</v>
      </c>
      <c r="K87" s="1063">
        <f t="shared" si="26"/>
        <v>0</v>
      </c>
      <c r="L87" s="1063">
        <v>0</v>
      </c>
      <c r="M87" s="1063">
        <f t="shared" si="27"/>
        <v>0</v>
      </c>
      <c r="N87" s="1063">
        <f t="shared" si="27"/>
        <v>0</v>
      </c>
    </row>
    <row r="88" spans="1:37" ht="25.5">
      <c r="A88" s="2126" t="s">
        <v>2059</v>
      </c>
      <c r="B88" s="1324" t="str">
        <f>估价对象房地状况!G20</f>
        <v>估价对象所在区域基础设施水平</v>
      </c>
      <c r="C88" s="2040"/>
      <c r="D88" s="1064">
        <f t="shared" si="23"/>
        <v>0</v>
      </c>
      <c r="E88" s="747"/>
      <c r="F88" s="1811"/>
      <c r="G88" s="1062"/>
      <c r="H88" s="1065" t="str">
        <f t="shared" si="24"/>
        <v>——</v>
      </c>
      <c r="I88" s="3361">
        <v>0.12</v>
      </c>
      <c r="J88" s="1063">
        <f t="shared" si="25"/>
        <v>0</v>
      </c>
      <c r="K88" s="1063">
        <f t="shared" si="26"/>
        <v>0</v>
      </c>
      <c r="L88" s="1063">
        <v>0</v>
      </c>
      <c r="M88" s="1063">
        <f t="shared" si="27"/>
        <v>0</v>
      </c>
      <c r="N88" s="1063">
        <f t="shared" si="27"/>
        <v>0</v>
      </c>
    </row>
    <row r="89" spans="1:37" ht="24">
      <c r="A89" s="2126" t="s">
        <v>2056</v>
      </c>
      <c r="B89" s="2132" t="s">
        <v>2070</v>
      </c>
      <c r="C89" s="2040"/>
      <c r="D89" s="1064">
        <f t="shared" si="23"/>
        <v>0</v>
      </c>
      <c r="E89" s="747"/>
      <c r="F89" s="1811"/>
      <c r="G89" s="1062"/>
      <c r="H89" s="1065" t="str">
        <f t="shared" si="24"/>
        <v>——</v>
      </c>
      <c r="I89" s="3361">
        <v>0.06</v>
      </c>
      <c r="J89" s="1063">
        <f t="shared" si="25"/>
        <v>0</v>
      </c>
      <c r="K89" s="1063">
        <f t="shared" si="26"/>
        <v>0</v>
      </c>
      <c r="L89" s="1063">
        <v>0</v>
      </c>
      <c r="M89" s="1063">
        <f t="shared" si="27"/>
        <v>0</v>
      </c>
      <c r="N89" s="1063">
        <f t="shared" si="27"/>
        <v>0</v>
      </c>
    </row>
    <row r="90" spans="1:37" ht="39" thickBot="1">
      <c r="A90" s="2134" t="s">
        <v>2071</v>
      </c>
      <c r="B90" s="2139" t="str">
        <f>估价对象房地状况!G18</f>
        <v>该园区内是否有污染型企业，绿化情况，卫生条件，整体环境状况判断</v>
      </c>
      <c r="C90" s="2040"/>
      <c r="D90" s="1064">
        <f t="shared" si="23"/>
        <v>0</v>
      </c>
      <c r="E90" s="748"/>
      <c r="F90" s="1811"/>
      <c r="G90" s="1062"/>
      <c r="H90" s="1065" t="str">
        <f t="shared" si="24"/>
        <v>——</v>
      </c>
      <c r="I90" s="3362">
        <v>0.05</v>
      </c>
      <c r="J90" s="1063">
        <f t="shared" si="25"/>
        <v>0</v>
      </c>
      <c r="K90" s="1063">
        <f t="shared" si="26"/>
        <v>0</v>
      </c>
      <c r="L90" s="1063">
        <v>0</v>
      </c>
      <c r="M90" s="1063">
        <f t="shared" si="27"/>
        <v>0</v>
      </c>
      <c r="N90" s="1063">
        <f t="shared" si="27"/>
        <v>0</v>
      </c>
    </row>
    <row r="91" spans="1:37" ht="15">
      <c r="A91" s="3371" t="s">
        <v>2615</v>
      </c>
      <c r="B91" s="3372">
        <f>1+E93</f>
        <v>1</v>
      </c>
      <c r="C91" s="3365"/>
      <c r="D91" s="3366"/>
      <c r="E91" s="1811"/>
      <c r="F91" s="1811"/>
      <c r="G91" s="3367"/>
      <c r="H91" s="3368"/>
      <c r="I91" s="3369"/>
      <c r="J91" s="3370"/>
      <c r="K91" s="3370"/>
      <c r="L91" s="3370"/>
      <c r="M91" s="3370"/>
      <c r="N91" s="3370"/>
    </row>
    <row r="92" spans="1:37" ht="24.75">
      <c r="A92" s="3373" t="s">
        <v>2043</v>
      </c>
      <c r="B92" s="3360"/>
      <c r="C92" s="3360" t="s">
        <v>2045</v>
      </c>
      <c r="D92" s="3360" t="s">
        <v>2046</v>
      </c>
      <c r="E92" s="3342" t="s">
        <v>2047</v>
      </c>
      <c r="F92" s="3375" t="s">
        <v>3275</v>
      </c>
      <c r="G92" s="3360" t="s">
        <v>1988</v>
      </c>
      <c r="H92" s="3382" t="s">
        <v>3278</v>
      </c>
      <c r="I92" s="3360" t="s">
        <v>2050</v>
      </c>
      <c r="J92" s="3383" t="s">
        <v>1721</v>
      </c>
      <c r="K92" s="3383" t="s">
        <v>1722</v>
      </c>
      <c r="L92" s="3383" t="s">
        <v>1723</v>
      </c>
      <c r="M92" s="3383" t="s">
        <v>1724</v>
      </c>
      <c r="N92" s="3383" t="s">
        <v>1725</v>
      </c>
    </row>
    <row r="93" spans="1:37" ht="24">
      <c r="A93" s="3363" t="s">
        <v>3274</v>
      </c>
      <c r="B93" s="1304"/>
      <c r="C93" s="2040"/>
      <c r="D93" s="3360">
        <f>SUMIF($J$92:$N$92,C93,J93:N93)</f>
        <v>0</v>
      </c>
      <c r="E93" s="3376">
        <f>ROUND(SUM(D93:D101),4)</f>
        <v>0</v>
      </c>
      <c r="F93" s="1811" t="str">
        <f>IF(E2="公共服务",SUMIF(L1:L12,G2,N1:N12),"——")</f>
        <v>——</v>
      </c>
      <c r="G93" s="3367"/>
      <c r="H93" s="3412"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2052</v>
      </c>
      <c r="B94" s="3364" t="str">
        <f>估价对象房地状况!C18</f>
        <v>估价对象周边道路状况、公共交通通达情况、停车便捷程度，综合评价交通便捷度较好</v>
      </c>
      <c r="C94" s="2040"/>
      <c r="D94" s="3360">
        <f t="shared" ref="D94:D101" si="31">SUMIF($J$60:$N$60,C94,J94:N94)</f>
        <v>0</v>
      </c>
      <c r="E94" s="3377"/>
      <c r="F94" s="1811"/>
      <c r="G94" s="3367"/>
      <c r="H94" s="3412" t="str">
        <f>IFERROR(ROUNDDOWN($F$93*I94/2,4),"——")</f>
        <v>——</v>
      </c>
      <c r="I94" s="3361">
        <v>0.26</v>
      </c>
      <c r="J94" s="3339">
        <f t="shared" si="28"/>
        <v>0</v>
      </c>
      <c r="K94" s="3339">
        <f t="shared" si="29"/>
        <v>0</v>
      </c>
      <c r="L94" s="3339">
        <v>0</v>
      </c>
      <c r="M94" s="3339">
        <f t="shared" si="30"/>
        <v>0</v>
      </c>
      <c r="N94" s="3339">
        <f t="shared" si="30"/>
        <v>0</v>
      </c>
    </row>
    <row r="95" spans="1:37" ht="36">
      <c r="A95" s="3363" t="s">
        <v>3273</v>
      </c>
      <c r="B95" s="3364">
        <f>估价对象房地状况!C19</f>
        <v>0</v>
      </c>
      <c r="C95" s="2040"/>
      <c r="D95" s="3360">
        <f t="shared" si="31"/>
        <v>0</v>
      </c>
      <c r="E95" s="3377"/>
      <c r="F95" s="1811"/>
      <c r="G95" s="3367"/>
      <c r="H95" s="3412"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2053</v>
      </c>
      <c r="B96" s="3379" t="s">
        <v>3276</v>
      </c>
      <c r="C96" s="2040"/>
      <c r="D96" s="3360">
        <f t="shared" si="31"/>
        <v>0</v>
      </c>
      <c r="E96" s="3377"/>
      <c r="F96" s="1811"/>
      <c r="G96" s="3367"/>
      <c r="H96" s="3412" t="str">
        <f t="shared" si="32"/>
        <v>——</v>
      </c>
      <c r="I96" s="3361">
        <v>0.05</v>
      </c>
      <c r="J96" s="3339">
        <f t="shared" si="28"/>
        <v>0</v>
      </c>
      <c r="K96" s="3339">
        <f t="shared" si="29"/>
        <v>0</v>
      </c>
      <c r="L96" s="3339">
        <v>0</v>
      </c>
      <c r="M96" s="3339">
        <f t="shared" si="30"/>
        <v>0</v>
      </c>
      <c r="N96" s="3339">
        <f t="shared" si="30"/>
        <v>0</v>
      </c>
    </row>
    <row r="97" spans="1:14" ht="24">
      <c r="A97" s="3373" t="s">
        <v>2055</v>
      </c>
      <c r="B97" s="3364">
        <f>估价对象房地状况!C24</f>
        <v>0</v>
      </c>
      <c r="C97" s="2040"/>
      <c r="D97" s="3360">
        <f t="shared" si="31"/>
        <v>0</v>
      </c>
      <c r="E97" s="3377"/>
      <c r="F97" s="1811"/>
      <c r="G97" s="3367"/>
      <c r="H97" s="3412" t="str">
        <f t="shared" si="32"/>
        <v>——</v>
      </c>
      <c r="I97" s="3361">
        <v>0.05</v>
      </c>
      <c r="J97" s="3339">
        <f t="shared" si="28"/>
        <v>0</v>
      </c>
      <c r="K97" s="3339">
        <f t="shared" si="29"/>
        <v>0</v>
      </c>
      <c r="L97" s="3339">
        <v>0</v>
      </c>
      <c r="M97" s="3339">
        <f t="shared" si="30"/>
        <v>0</v>
      </c>
      <c r="N97" s="3339">
        <f t="shared" si="30"/>
        <v>0</v>
      </c>
    </row>
    <row r="98" spans="1:14" ht="24">
      <c r="A98" s="3373" t="s">
        <v>2056</v>
      </c>
      <c r="B98" s="3380" t="s">
        <v>3277</v>
      </c>
      <c r="C98" s="2040"/>
      <c r="D98" s="3360">
        <f t="shared" si="31"/>
        <v>0</v>
      </c>
      <c r="E98" s="3377"/>
      <c r="F98" s="1811"/>
      <c r="G98" s="3367"/>
      <c r="H98" s="3412" t="str">
        <f t="shared" si="32"/>
        <v>——</v>
      </c>
      <c r="I98" s="3361">
        <v>0.06</v>
      </c>
      <c r="J98" s="3339">
        <f t="shared" si="28"/>
        <v>0</v>
      </c>
      <c r="K98" s="3339">
        <f t="shared" si="29"/>
        <v>0</v>
      </c>
      <c r="L98" s="3339">
        <v>0</v>
      </c>
      <c r="M98" s="3339">
        <f t="shared" si="30"/>
        <v>0</v>
      </c>
      <c r="N98" s="3339">
        <f t="shared" si="30"/>
        <v>0</v>
      </c>
    </row>
    <row r="99" spans="1:14" ht="25.5">
      <c r="A99" s="3373" t="s">
        <v>2058</v>
      </c>
      <c r="B99" s="3364" t="str">
        <f>估价对象房地状况!C21</f>
        <v>估价对象所在区域公共配套设施齐备情况</v>
      </c>
      <c r="C99" s="2040"/>
      <c r="D99" s="3360">
        <f t="shared" si="31"/>
        <v>0</v>
      </c>
      <c r="E99" s="3377"/>
      <c r="F99" s="1811"/>
      <c r="G99" s="3367"/>
      <c r="H99" s="3412" t="str">
        <f t="shared" si="32"/>
        <v>——</v>
      </c>
      <c r="I99" s="3361">
        <v>0.06</v>
      </c>
      <c r="J99" s="3339">
        <f t="shared" si="28"/>
        <v>0</v>
      </c>
      <c r="K99" s="3339">
        <f t="shared" si="29"/>
        <v>0</v>
      </c>
      <c r="L99" s="3339">
        <v>0</v>
      </c>
      <c r="M99" s="3339">
        <f t="shared" si="30"/>
        <v>0</v>
      </c>
      <c r="N99" s="3339">
        <f t="shared" si="30"/>
        <v>0</v>
      </c>
    </row>
    <row r="100" spans="1:14" ht="25.5">
      <c r="A100" s="3373" t="s">
        <v>2059</v>
      </c>
      <c r="B100" s="3364" t="str">
        <f>估价对象房地状况!C22</f>
        <v>估价对象所在区域基础设施水平</v>
      </c>
      <c r="C100" s="2040"/>
      <c r="D100" s="3360">
        <f t="shared" si="31"/>
        <v>0</v>
      </c>
      <c r="E100" s="3377"/>
      <c r="F100" s="1811"/>
      <c r="G100" s="3367"/>
      <c r="H100" s="3412" t="str">
        <f t="shared" si="32"/>
        <v>——</v>
      </c>
      <c r="I100" s="3361">
        <v>0.09</v>
      </c>
      <c r="J100" s="3339">
        <f t="shared" si="28"/>
        <v>0</v>
      </c>
      <c r="K100" s="3339">
        <f t="shared" si="29"/>
        <v>0</v>
      </c>
      <c r="L100" s="3339">
        <v>0</v>
      </c>
      <c r="M100" s="3339">
        <f t="shared" si="30"/>
        <v>0</v>
      </c>
      <c r="N100" s="3339">
        <f t="shared" si="30"/>
        <v>0</v>
      </c>
    </row>
    <row r="101" spans="1:14" ht="26.25" thickBot="1">
      <c r="A101" s="3374" t="s">
        <v>2060</v>
      </c>
      <c r="B101" s="3381" t="str">
        <f>估价对象房地状况!C20</f>
        <v>区域自然环境：；人文环境；综合评价环境状况一般</v>
      </c>
      <c r="C101" s="2040"/>
      <c r="D101" s="3360">
        <f t="shared" si="31"/>
        <v>0</v>
      </c>
      <c r="E101" s="3378"/>
      <c r="F101" s="1811"/>
      <c r="G101" s="3367"/>
      <c r="H101" s="3412" t="str">
        <f t="shared" si="32"/>
        <v>——</v>
      </c>
      <c r="I101" s="3362">
        <v>7.0000000000000007E-2</v>
      </c>
      <c r="J101" s="3339">
        <f t="shared" si="28"/>
        <v>0</v>
      </c>
      <c r="K101" s="3339">
        <f t="shared" si="29"/>
        <v>0</v>
      </c>
      <c r="L101" s="3339">
        <v>0</v>
      </c>
      <c r="M101" s="3339">
        <f t="shared" si="30"/>
        <v>0</v>
      </c>
      <c r="N101" s="3339">
        <f t="shared" si="30"/>
        <v>0</v>
      </c>
    </row>
    <row r="103" spans="1:14">
      <c r="A103" s="3711" t="s">
        <v>3279</v>
      </c>
      <c r="B103" s="3711"/>
      <c r="C103" s="3711"/>
      <c r="D103" s="3711"/>
      <c r="E103" s="3711"/>
      <c r="F103" s="3711"/>
      <c r="G103" s="3711"/>
      <c r="H103" s="3711"/>
      <c r="I103" s="3711"/>
      <c r="J103" s="3711"/>
      <c r="K103" s="3460"/>
      <c r="L103" s="3460"/>
      <c r="M103" s="3460"/>
      <c r="N103" s="3460"/>
    </row>
    <row r="104" spans="1:14">
      <c r="A104" s="3712" t="s">
        <v>3280</v>
      </c>
      <c r="B104" s="3712" t="s">
        <v>3281</v>
      </c>
      <c r="C104" s="3384" t="s">
        <v>3282</v>
      </c>
      <c r="D104" s="3385"/>
      <c r="E104" s="3385"/>
      <c r="F104" s="3385"/>
      <c r="G104" s="3385"/>
      <c r="H104" s="3385"/>
      <c r="I104" s="3385"/>
      <c r="J104" s="3386"/>
      <c r="K104" s="3387"/>
      <c r="L104" s="3387"/>
      <c r="M104" s="3387"/>
      <c r="N104" s="3387"/>
    </row>
    <row r="105" spans="1:14">
      <c r="A105" s="3712"/>
      <c r="B105" s="3712"/>
      <c r="C105" s="3461" t="s">
        <v>1960</v>
      </c>
      <c r="D105" s="3461" t="s">
        <v>1961</v>
      </c>
      <c r="E105" s="3461" t="s">
        <v>1962</v>
      </c>
      <c r="F105" s="3461" t="s">
        <v>1963</v>
      </c>
      <c r="G105" s="3461" t="s">
        <v>1964</v>
      </c>
      <c r="H105" s="3461" t="s">
        <v>1965</v>
      </c>
      <c r="I105" s="3461" t="s">
        <v>1966</v>
      </c>
      <c r="J105" s="3461" t="s">
        <v>1967</v>
      </c>
      <c r="K105" s="3461" t="s">
        <v>1968</v>
      </c>
      <c r="L105" s="3461" t="s">
        <v>1969</v>
      </c>
      <c r="M105" s="3461" t="s">
        <v>1970</v>
      </c>
      <c r="N105" s="3461" t="s">
        <v>1971</v>
      </c>
    </row>
    <row r="106" spans="1:14">
      <c r="A106" s="3713" t="s">
        <v>3283</v>
      </c>
      <c r="B106" s="3461">
        <v>1</v>
      </c>
      <c r="C106" s="3461">
        <v>1.5206</v>
      </c>
      <c r="D106" s="3461">
        <v>1.5206</v>
      </c>
      <c r="E106" s="3461">
        <v>1.5019</v>
      </c>
      <c r="F106" s="3461">
        <v>1.5019</v>
      </c>
      <c r="G106" s="3461">
        <v>1.5019</v>
      </c>
      <c r="H106" s="3461">
        <v>1.5019</v>
      </c>
      <c r="I106" s="3461">
        <v>1.5019</v>
      </c>
      <c r="J106" s="3461">
        <v>1.5418000000000001</v>
      </c>
      <c r="K106" s="3461">
        <v>1.5418000000000001</v>
      </c>
      <c r="L106" s="3461">
        <v>1.5418000000000001</v>
      </c>
      <c r="M106" s="3461">
        <v>1.5418000000000001</v>
      </c>
      <c r="N106" s="3461">
        <v>1.5418000000000001</v>
      </c>
    </row>
    <row r="107" spans="1:14">
      <c r="A107" s="3714"/>
      <c r="B107" s="3461">
        <v>2</v>
      </c>
      <c r="C107" s="3461">
        <v>1.2072000000000001</v>
      </c>
      <c r="D107" s="3461">
        <v>1.2072000000000001</v>
      </c>
      <c r="E107" s="3461">
        <v>1.1838</v>
      </c>
      <c r="F107" s="3461">
        <v>1.1838</v>
      </c>
      <c r="G107" s="3461">
        <v>1.1838</v>
      </c>
      <c r="H107" s="3461">
        <v>1.1838</v>
      </c>
      <c r="I107" s="3461">
        <v>1.1838</v>
      </c>
      <c r="J107" s="3461">
        <v>1.1883999999999999</v>
      </c>
      <c r="K107" s="3461">
        <v>1.1883999999999999</v>
      </c>
      <c r="L107" s="3461">
        <v>1.1883999999999999</v>
      </c>
      <c r="M107" s="3461">
        <v>1.1883999999999999</v>
      </c>
      <c r="N107" s="3461">
        <v>1.1883999999999999</v>
      </c>
    </row>
    <row r="108" spans="1:14">
      <c r="A108" s="3714"/>
      <c r="B108" s="3461">
        <v>3</v>
      </c>
      <c r="C108" s="3461">
        <v>1.0430999999999999</v>
      </c>
      <c r="D108" s="3461">
        <v>1.0430999999999999</v>
      </c>
      <c r="E108" s="3461">
        <v>1.0004999999999999</v>
      </c>
      <c r="F108" s="3461">
        <v>1.0004999999999999</v>
      </c>
      <c r="G108" s="3461">
        <v>1.0004999999999999</v>
      </c>
      <c r="H108" s="3461">
        <v>1.0004999999999999</v>
      </c>
      <c r="I108" s="3461">
        <v>1.0004999999999999</v>
      </c>
      <c r="J108" s="3461">
        <v>0.96940000000000004</v>
      </c>
      <c r="K108" s="3461">
        <v>0.96940000000000004</v>
      </c>
      <c r="L108" s="3461">
        <v>0.96940000000000004</v>
      </c>
      <c r="M108" s="3461">
        <v>0.96940000000000004</v>
      </c>
      <c r="N108" s="3461">
        <v>0.96940000000000004</v>
      </c>
    </row>
    <row r="109" spans="1:14">
      <c r="A109" s="3714"/>
      <c r="B109" s="3461">
        <v>4</v>
      </c>
      <c r="C109" s="3461">
        <v>0.94389999999999996</v>
      </c>
      <c r="D109" s="3461">
        <v>0.94389999999999996</v>
      </c>
      <c r="E109" s="3461">
        <v>0.88239999999999996</v>
      </c>
      <c r="F109" s="3461">
        <v>0.88239999999999996</v>
      </c>
      <c r="G109" s="3461">
        <v>0.88239999999999996</v>
      </c>
      <c r="H109" s="3461">
        <v>0.88239999999999996</v>
      </c>
      <c r="I109" s="3461">
        <v>0.88239999999999996</v>
      </c>
      <c r="J109" s="3461">
        <v>0.82299999999999995</v>
      </c>
      <c r="K109" s="3461">
        <v>0.82299999999999995</v>
      </c>
      <c r="L109" s="3461">
        <v>0.82299999999999995</v>
      </c>
      <c r="M109" s="3461">
        <v>0.82299999999999995</v>
      </c>
      <c r="N109" s="3461">
        <v>0.82299999999999995</v>
      </c>
    </row>
    <row r="110" spans="1:14">
      <c r="A110" s="3714"/>
      <c r="B110" s="3461">
        <v>5</v>
      </c>
      <c r="C110" s="3461">
        <v>0.89959999999999996</v>
      </c>
      <c r="D110" s="3461">
        <v>0.89959999999999996</v>
      </c>
      <c r="E110" s="3461">
        <v>0.84799999999999998</v>
      </c>
      <c r="F110" s="3461">
        <v>0.84799999999999998</v>
      </c>
      <c r="G110" s="3461">
        <v>0.84799999999999998</v>
      </c>
      <c r="H110" s="3461">
        <v>0.84799999999999998</v>
      </c>
      <c r="I110" s="3461">
        <v>0.84799999999999998</v>
      </c>
      <c r="J110" s="3461">
        <v>0.74980000000000002</v>
      </c>
      <c r="K110" s="3461">
        <v>0.74980000000000002</v>
      </c>
      <c r="L110" s="3461">
        <v>0.74980000000000002</v>
      </c>
      <c r="M110" s="3461">
        <v>0.74980000000000002</v>
      </c>
      <c r="N110" s="3461">
        <v>0.74980000000000002</v>
      </c>
    </row>
    <row r="111" spans="1:14">
      <c r="A111" s="3714"/>
      <c r="B111" s="3461" t="s">
        <v>3272</v>
      </c>
      <c r="C111" s="3388">
        <f>$I$3</f>
        <v>0</v>
      </c>
      <c r="D111" s="3388">
        <f t="shared" ref="D111:M111" si="33">$I$3</f>
        <v>0</v>
      </c>
      <c r="E111" s="3388">
        <f t="shared" si="33"/>
        <v>0</v>
      </c>
      <c r="F111" s="3388">
        <f t="shared" si="33"/>
        <v>0</v>
      </c>
      <c r="G111" s="3388">
        <f t="shared" si="33"/>
        <v>0</v>
      </c>
      <c r="H111" s="3388">
        <f t="shared" si="33"/>
        <v>0</v>
      </c>
      <c r="I111" s="3388">
        <f t="shared" si="33"/>
        <v>0</v>
      </c>
      <c r="J111" s="3388">
        <f t="shared" si="33"/>
        <v>0</v>
      </c>
      <c r="K111" s="3388">
        <f t="shared" si="33"/>
        <v>0</v>
      </c>
      <c r="L111" s="3388">
        <f t="shared" si="33"/>
        <v>0</v>
      </c>
      <c r="M111" s="3388">
        <f t="shared" si="33"/>
        <v>0</v>
      </c>
      <c r="N111" s="3388">
        <f>$I$3</f>
        <v>0</v>
      </c>
    </row>
    <row r="112" spans="1:14">
      <c r="A112" s="3715"/>
      <c r="B112" s="3461">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16" t="s">
        <v>3284</v>
      </c>
      <c r="B113" s="3716"/>
      <c r="C113" s="3716"/>
      <c r="D113" s="3716"/>
      <c r="E113" s="3716"/>
      <c r="F113" s="3716"/>
      <c r="G113" s="3716"/>
      <c r="H113" s="3716"/>
      <c r="I113" s="3716"/>
      <c r="J113" s="3716"/>
      <c r="K113" s="3458"/>
      <c r="L113" s="3458"/>
      <c r="M113" s="3458"/>
      <c r="N113" s="3458"/>
    </row>
    <row r="114" spans="1:14">
      <c r="A114" s="3389"/>
      <c r="B114" s="3389"/>
      <c r="C114" s="3389"/>
      <c r="D114" s="3389"/>
      <c r="E114" s="3389"/>
      <c r="F114" s="3389"/>
      <c r="G114" s="3389"/>
      <c r="H114" s="3389"/>
      <c r="I114" s="3389"/>
      <c r="J114" s="3389"/>
      <c r="K114" s="3351"/>
      <c r="L114" s="3389"/>
      <c r="M114" s="3389"/>
      <c r="N114" s="3389"/>
    </row>
    <row r="115" spans="1:14" ht="13.5" thickBot="1">
      <c r="A115" s="3389"/>
      <c r="B115" s="3389"/>
      <c r="C115" s="3389"/>
      <c r="D115" s="3389"/>
      <c r="E115" s="3389"/>
      <c r="F115" s="3389"/>
      <c r="G115" s="3389"/>
      <c r="H115" s="3389"/>
      <c r="I115" s="3389"/>
      <c r="J115" s="3389"/>
      <c r="K115" s="3351"/>
      <c r="L115" s="3389"/>
      <c r="M115" s="3389"/>
      <c r="N115" s="3389"/>
    </row>
    <row r="116" spans="1:14" ht="25.5" thickBot="1">
      <c r="A116" s="3390" t="s">
        <v>3285</v>
      </c>
      <c r="B116" s="3407">
        <f>G3</f>
        <v>2</v>
      </c>
      <c r="C116" s="3391" t="s">
        <v>3286</v>
      </c>
      <c r="D116" s="3392">
        <f>SUMPRODUCT((A118:A122=F116)*(B117:M117=H116)*B118:M122)</f>
        <v>0.81259999999999999</v>
      </c>
      <c r="E116" s="1997" t="s">
        <v>1935</v>
      </c>
      <c r="F116" s="3393" t="str">
        <f>E2</f>
        <v>商业</v>
      </c>
      <c r="G116" s="1997" t="s">
        <v>1936</v>
      </c>
      <c r="H116" s="3393" t="str">
        <f>G2</f>
        <v>八级</v>
      </c>
      <c r="I116" s="1997"/>
      <c r="J116" s="3394"/>
      <c r="K116" s="3394"/>
      <c r="L116" s="3394"/>
      <c r="M116" s="3394"/>
      <c r="N116" s="3389"/>
    </row>
    <row r="117" spans="1:14">
      <c r="A117" s="3395"/>
      <c r="B117" s="3396" t="s">
        <v>3287</v>
      </c>
      <c r="C117" s="3396" t="s">
        <v>3288</v>
      </c>
      <c r="D117" s="3396" t="s">
        <v>3289</v>
      </c>
      <c r="E117" s="3397" t="s">
        <v>3290</v>
      </c>
      <c r="F117" s="3397" t="s">
        <v>3291</v>
      </c>
      <c r="G117" s="3397" t="s">
        <v>3292</v>
      </c>
      <c r="H117" s="3398" t="s">
        <v>3293</v>
      </c>
      <c r="I117" s="3398" t="s">
        <v>3294</v>
      </c>
      <c r="J117" s="3399" t="s">
        <v>3295</v>
      </c>
      <c r="K117" s="3399" t="s">
        <v>3296</v>
      </c>
      <c r="L117" s="3399" t="s">
        <v>3297</v>
      </c>
      <c r="M117" s="3400" t="s">
        <v>3298</v>
      </c>
      <c r="N117" s="3389"/>
    </row>
    <row r="118" spans="1:14">
      <c r="A118" s="3401" t="s">
        <v>1989</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6">I118</f>
        <v>0.81259999999999999</v>
      </c>
      <c r="K118" s="3382">
        <f t="shared" si="36"/>
        <v>0.81259999999999999</v>
      </c>
      <c r="L118" s="3382">
        <f t="shared" si="36"/>
        <v>0.81259999999999999</v>
      </c>
      <c r="M118" s="3402">
        <f t="shared" si="36"/>
        <v>0.81259999999999999</v>
      </c>
      <c r="N118" s="3389"/>
    </row>
    <row r="119" spans="1:14">
      <c r="A119" s="3401" t="s">
        <v>1990</v>
      </c>
      <c r="B119" s="3382">
        <f>ROUND(0.993-0.0112*B116,4)</f>
        <v>0.97060000000000002</v>
      </c>
      <c r="C119" s="3382">
        <f>B119</f>
        <v>0.97060000000000002</v>
      </c>
      <c r="D119" s="3382">
        <f>ROUND(0.9415-0.0142*B116,4)</f>
        <v>0.91310000000000002</v>
      </c>
      <c r="E119" s="3382">
        <f t="shared" ref="E119:H120" si="37">D119</f>
        <v>0.91310000000000002</v>
      </c>
      <c r="F119" s="3382">
        <f t="shared" si="37"/>
        <v>0.91310000000000002</v>
      </c>
      <c r="G119" s="3382">
        <f t="shared" si="37"/>
        <v>0.91310000000000002</v>
      </c>
      <c r="H119" s="3382">
        <f t="shared" si="37"/>
        <v>0.91310000000000002</v>
      </c>
      <c r="I119" s="3382">
        <f>ROUND(0.838-0.0182*B116,4)</f>
        <v>0.80159999999999998</v>
      </c>
      <c r="J119" s="3382">
        <f t="shared" si="36"/>
        <v>0.80159999999999998</v>
      </c>
      <c r="K119" s="3382">
        <f t="shared" si="36"/>
        <v>0.80159999999999998</v>
      </c>
      <c r="L119" s="3382">
        <f t="shared" si="36"/>
        <v>0.80159999999999998</v>
      </c>
      <c r="M119" s="3402">
        <f t="shared" si="36"/>
        <v>0.80159999999999998</v>
      </c>
      <c r="N119" s="3389"/>
    </row>
    <row r="120" spans="1:14">
      <c r="A120" s="3401" t="s">
        <v>1991</v>
      </c>
      <c r="B120" s="3382">
        <f>ROUND(0.9448-0.0115*B116,4)</f>
        <v>0.92179999999999995</v>
      </c>
      <c r="C120" s="3382">
        <f>B120</f>
        <v>0.92179999999999995</v>
      </c>
      <c r="D120" s="3382">
        <f>ROUND(0.937-0.0145*B116,4)</f>
        <v>0.90800000000000003</v>
      </c>
      <c r="E120" s="3382">
        <f t="shared" si="37"/>
        <v>0.90800000000000003</v>
      </c>
      <c r="F120" s="3382">
        <f t="shared" si="37"/>
        <v>0.90800000000000003</v>
      </c>
      <c r="G120" s="3382">
        <f t="shared" si="37"/>
        <v>0.90800000000000003</v>
      </c>
      <c r="H120" s="3382">
        <f t="shared" si="37"/>
        <v>0.90800000000000003</v>
      </c>
      <c r="I120" s="3382">
        <f>ROUND(0.7965-0.0185*B116,4)</f>
        <v>0.75949999999999995</v>
      </c>
      <c r="J120" s="3382">
        <f t="shared" si="36"/>
        <v>0.75949999999999995</v>
      </c>
      <c r="K120" s="3382">
        <f t="shared" si="36"/>
        <v>0.75949999999999995</v>
      </c>
      <c r="L120" s="3382">
        <f t="shared" si="36"/>
        <v>0.75949999999999995</v>
      </c>
      <c r="M120" s="3402">
        <f t="shared" si="36"/>
        <v>0.75949999999999995</v>
      </c>
      <c r="N120" s="3389"/>
    </row>
    <row r="121" spans="1:14" ht="13.5" thickBot="1">
      <c r="A121" s="3403" t="s">
        <v>1992</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6"/>
        <v>0.55249999999999999</v>
      </c>
      <c r="K121" s="3404">
        <f t="shared" si="36"/>
        <v>0.55249999999999999</v>
      </c>
      <c r="L121" s="3404">
        <f t="shared" si="36"/>
        <v>0.55249999999999999</v>
      </c>
      <c r="M121" s="3405">
        <f t="shared" si="36"/>
        <v>0.55249999999999999</v>
      </c>
      <c r="N121" s="3389"/>
    </row>
    <row r="122" spans="1:14">
      <c r="A122" s="3406" t="s">
        <v>2615</v>
      </c>
      <c r="B122" s="3382">
        <f>ROUND(0.9404-0.0106*B116,4)</f>
        <v>0.91920000000000002</v>
      </c>
      <c r="C122" s="3382">
        <f>B122</f>
        <v>0.91920000000000002</v>
      </c>
      <c r="D122" s="3382">
        <f>ROUND(0.8955-0.0135*B116,4)</f>
        <v>0.86850000000000005</v>
      </c>
      <c r="E122" s="3382">
        <f t="shared" ref="E122:H122" si="38">D122</f>
        <v>0.86850000000000005</v>
      </c>
      <c r="F122" s="3382">
        <f t="shared" si="38"/>
        <v>0.86850000000000005</v>
      </c>
      <c r="G122" s="3382">
        <f t="shared" si="38"/>
        <v>0.86850000000000005</v>
      </c>
      <c r="H122" s="3382">
        <f t="shared" si="38"/>
        <v>0.86850000000000005</v>
      </c>
      <c r="I122" s="3382">
        <f>ROUND(0.7632-0.0166*B116,4)</f>
        <v>0.73</v>
      </c>
      <c r="J122" s="3382">
        <f t="shared" si="36"/>
        <v>0.73</v>
      </c>
      <c r="K122" s="3382">
        <f t="shared" si="36"/>
        <v>0.73</v>
      </c>
      <c r="L122" s="3382">
        <f t="shared" si="36"/>
        <v>0.73</v>
      </c>
      <c r="M122" s="3402">
        <f t="shared" si="36"/>
        <v>0.73</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9"/>
      <c r="G1" s="2789"/>
      <c r="H1" s="2789"/>
      <c r="I1" s="2789"/>
      <c r="J1" s="2789"/>
      <c r="K1" s="2789"/>
      <c r="L1" s="2789"/>
      <c r="M1" s="2789"/>
      <c r="N1" s="2789"/>
      <c r="O1" s="2789"/>
      <c r="P1" s="2789"/>
    </row>
    <row r="2" spans="1:16" ht="15.75">
      <c r="A2" s="2141" t="s">
        <v>2072</v>
      </c>
      <c r="B2" s="2598">
        <f ca="1">SUMIF(B6:B13,"&lt;&gt;#ref!",B6:B13)</f>
        <v>45326</v>
      </c>
      <c r="C2" s="2141" t="s">
        <v>2073</v>
      </c>
      <c r="D2" s="2141" t="s">
        <v>2074</v>
      </c>
      <c r="E2" s="2608">
        <f ca="1">SUMIF(E6:E13,"&lt;&gt;#ref!",E6:E13)</f>
        <v>32467.480000000003</v>
      </c>
      <c r="F2" s="2789"/>
      <c r="G2" s="2789"/>
      <c r="H2" s="2789"/>
      <c r="I2" s="2789"/>
      <c r="J2" s="2789"/>
      <c r="K2" s="2789"/>
      <c r="L2" s="2789"/>
      <c r="M2" s="2789"/>
      <c r="N2" s="2789"/>
      <c r="O2" s="2789"/>
      <c r="P2" s="2789"/>
    </row>
    <row r="3" spans="1:16" ht="15.75">
      <c r="A3" s="2141" t="s">
        <v>2075</v>
      </c>
      <c r="B3" s="2598">
        <f ca="1">ROUND(B2*10000/E2,0)</f>
        <v>13960</v>
      </c>
      <c r="C3" s="2141"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2"/>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#REF!</v>
      </c>
      <c r="C6" s="2141" t="s">
        <v>2073</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3391</v>
      </c>
      <c r="B7" s="2598">
        <f ca="1">SUMIF(INDIRECT("'"&amp;A7&amp;"'"&amp;"!A:A"),"总价",INDIRECT("'"&amp;A7&amp;"'"&amp;"!B:B"))</f>
        <v>45326</v>
      </c>
      <c r="C7" s="2141" t="s">
        <v>2073</v>
      </c>
      <c r="D7" s="2789"/>
      <c r="E7" s="2608">
        <f t="shared" ref="E7:E13" ca="1" si="0">SUMIF(INDIRECT("'"&amp;A7&amp;"'"&amp;"!C:C"),"建筑面积",INDIRECT("'"&amp;A7&amp;"'"&amp;"!D:D"))</f>
        <v>32467.480000000003</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8</v>
      </c>
      <c r="H1" s="1060" t="str">
        <f>IF(ISERROR(FIND("住宅",B1)),"非住宅","住宅")</f>
        <v>非住宅</v>
      </c>
    </row>
    <row r="2" spans="1:8" s="200" customFormat="1" ht="18" customHeight="1">
      <c r="A2" s="201" t="s">
        <v>1462</v>
      </c>
      <c r="B2" s="3415">
        <f ca="1">ROUND(IF(D2="——",C52/10000,C52/10000-E2),4)</f>
        <v>46969.239200000004</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15894653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15894653</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16731214</v>
      </c>
      <c r="D19" s="848">
        <f ca="1">D9+D10</f>
        <v>83656.070000000007</v>
      </c>
      <c r="E19" s="211">
        <f>'数据-取费表'!B31</f>
        <v>200</v>
      </c>
      <c r="F19" s="231"/>
      <c r="G19" s="1853"/>
    </row>
    <row r="20" spans="1:7" s="214" customFormat="1" ht="13.5" customHeight="1">
      <c r="A20" s="255" t="s">
        <v>1574</v>
      </c>
      <c r="B20" s="210" t="s">
        <v>1575</v>
      </c>
      <c r="C20" s="232">
        <f ca="1">ROUND((C5+C19)*F20,0)</f>
        <v>652517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2312530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1115650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1174368</v>
      </c>
      <c r="D24" s="238"/>
      <c r="E24" s="238"/>
      <c r="F24" s="239"/>
      <c r="G24" s="240" t="s">
        <v>1586</v>
      </c>
    </row>
    <row r="25" spans="1:7" s="214" customFormat="1" ht="24">
      <c r="A25" s="779" t="s">
        <v>1476</v>
      </c>
      <c r="B25" s="215" t="s">
        <v>1587</v>
      </c>
      <c r="C25" s="1127">
        <f ca="1">ROUND(IF('数据-取费表'!B22&lt;=1,C20*F22*'数据-取费表'!B22/2,C20*(POWER((1+F22),'数据-取费表'!B22/2)-1)),0)</f>
        <v>22512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5324541</v>
      </c>
      <c r="D27" s="235">
        <f ca="1">C29</f>
        <v>3.2000000000000002E-3</v>
      </c>
      <c r="E27" s="236" t="s">
        <v>1514</v>
      </c>
      <c r="F27" s="246">
        <f ca="1">IF(B1="",'数据-取费表'!Q16,INDIRECT("'数据-取费表'!q"&amp;$G$1))</f>
        <v>0.16</v>
      </c>
      <c r="G27" s="247" t="s">
        <v>1515</v>
      </c>
    </row>
    <row r="28" spans="1:7" s="214" customFormat="1" ht="13.5" customHeight="1">
      <c r="A28" s="779" t="s">
        <v>346</v>
      </c>
      <c r="B28" s="248" t="s">
        <v>1516</v>
      </c>
      <c r="C28" s="249">
        <f ca="1">ROUND((C5+C19+C20)*F27,0)</f>
        <v>5324541</v>
      </c>
      <c r="D28" s="235"/>
      <c r="E28" s="236"/>
      <c r="F28" s="246"/>
      <c r="G28" s="247"/>
    </row>
    <row r="29" spans="1:7" s="214" customFormat="1" ht="13.5" customHeight="1">
      <c r="A29" s="779"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44295177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388562754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355819655</v>
      </c>
      <c r="D34" s="217"/>
      <c r="E34" s="220"/>
      <c r="F34" s="257"/>
      <c r="G34" s="219"/>
    </row>
    <row r="35" spans="1:7" ht="13.5" customHeight="1">
      <c r="A35" s="779" t="s">
        <v>351</v>
      </c>
      <c r="B35" s="215" t="s">
        <v>1527</v>
      </c>
      <c r="C35" s="220">
        <f ca="1">ROUND(C34*F35,0)</f>
        <v>10674590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16731214</v>
      </c>
      <c r="D37" s="217">
        <f ca="1">D19</f>
        <v>83656.070000000007</v>
      </c>
      <c r="E37" s="249">
        <f>'数据-取费表'!B35</f>
        <v>200</v>
      </c>
      <c r="F37" s="259"/>
      <c r="G37" s="261"/>
    </row>
    <row r="38" spans="1:7" ht="13.5" customHeight="1">
      <c r="A38" s="779" t="s">
        <v>354</v>
      </c>
      <c r="B38" s="215" t="s">
        <v>1533</v>
      </c>
      <c r="C38" s="220">
        <f ca="1">ROUND(C34*F38,0)</f>
        <v>5337295</v>
      </c>
      <c r="D38" s="220"/>
      <c r="E38" s="220"/>
      <c r="F38" s="259">
        <f>'数据-取费表'!B36</f>
        <v>1.4999999999999999E-2</v>
      </c>
      <c r="G38" s="219" t="s">
        <v>1528</v>
      </c>
    </row>
    <row r="39" spans="1:7" s="214" customFormat="1" ht="13.5" customHeight="1">
      <c r="A39" s="255" t="s">
        <v>1534</v>
      </c>
      <c r="B39" s="210" t="s">
        <v>1535</v>
      </c>
      <c r="C39" s="232">
        <f ca="1">ROUND(C33*F20,0)</f>
        <v>7771255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13673523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13405415</v>
      </c>
      <c r="D42" s="238"/>
      <c r="E42" s="238"/>
      <c r="F42" s="239"/>
      <c r="G42" s="3704" t="s">
        <v>1591</v>
      </c>
    </row>
    <row r="43" spans="1:7" ht="13.5" customHeight="1">
      <c r="A43" s="779" t="s">
        <v>347</v>
      </c>
      <c r="B43" s="215" t="s">
        <v>1545</v>
      </c>
      <c r="C43" s="238">
        <f ca="1">ROUND(IF('数据-取费表'!B22&lt;=1,C39*F22*'数据-取费表'!B20/2,C39*(POWER((1+F22),'数据-取费表'!B20/2)-1)),0)</f>
        <v>268108</v>
      </c>
      <c r="D43" s="238"/>
      <c r="E43" s="238"/>
      <c r="F43" s="239"/>
      <c r="G43" s="3705"/>
    </row>
    <row r="44" spans="1:7" ht="13.5" customHeight="1">
      <c r="A44" s="779" t="s">
        <v>348</v>
      </c>
      <c r="B44" s="215" t="s">
        <v>1546</v>
      </c>
      <c r="C44" s="238">
        <f ca="1">ROUND(IF('数据-取费表'!B22&lt;=1,C40*F22*'数据-取费表'!B20/2,C40*(POWER((1+F22),'数据-取费表'!B20/2)-1)),4)</f>
        <v>6.9999999999999999E-4</v>
      </c>
      <c r="D44" s="238"/>
      <c r="E44" s="238"/>
      <c r="F44" s="239"/>
      <c r="G44" s="3706"/>
    </row>
    <row r="45" spans="1:7" s="214" customFormat="1" ht="13.5" customHeight="1">
      <c r="A45" s="255" t="s">
        <v>1547</v>
      </c>
      <c r="B45" s="244" t="s">
        <v>1513</v>
      </c>
      <c r="C45" s="245">
        <f ca="1">C46</f>
        <v>63413441</v>
      </c>
      <c r="D45" s="235">
        <f ca="1">C47</f>
        <v>3.2000000000000002E-3</v>
      </c>
      <c r="E45" s="236" t="s">
        <v>1539</v>
      </c>
      <c r="F45" s="246">
        <f ca="1">F27</f>
        <v>0.16</v>
      </c>
      <c r="G45" s="247" t="s">
        <v>1548</v>
      </c>
    </row>
    <row r="46" spans="1:7" s="214" customFormat="1" ht="13.5" customHeight="1">
      <c r="A46" s="779" t="s">
        <v>346</v>
      </c>
      <c r="B46" s="248" t="s">
        <v>1549</v>
      </c>
      <c r="C46" s="249">
        <f ca="1">ROUND((C33+C39)*F27,0)</f>
        <v>63413441</v>
      </c>
      <c r="D46" s="263"/>
      <c r="E46" s="236"/>
      <c r="F46" s="246"/>
      <c r="G46" s="247"/>
    </row>
    <row r="47" spans="1:7" s="214" customFormat="1" ht="13.5" customHeight="1">
      <c r="A47" s="779"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512526765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425397215</v>
      </c>
      <c r="D51" s="232"/>
      <c r="E51" s="232"/>
      <c r="F51" s="264"/>
      <c r="G51" s="234" t="s">
        <v>1560</v>
      </c>
    </row>
    <row r="52" spans="1:7" s="208" customFormat="1" ht="16.5" thickBot="1">
      <c r="A52" s="265" t="s">
        <v>1561</v>
      </c>
      <c r="B52" s="266"/>
      <c r="C52" s="267">
        <f ca="1">C31+C51</f>
        <v>469692392</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83656.070000000007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83656.070000000007</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0.16</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103458</v>
      </c>
      <c r="C2" s="1869" t="s">
        <v>1651</v>
      </c>
      <c r="D2" s="1870" t="s">
        <v>1652</v>
      </c>
      <c r="E2" s="2603">
        <f>SUM(E6:E13)</f>
        <v>83656.070000000007</v>
      </c>
      <c r="F2" s="2703"/>
      <c r="G2" s="1486"/>
      <c r="H2" s="1486"/>
      <c r="I2" s="1486"/>
      <c r="J2" s="1486"/>
      <c r="K2" s="1486"/>
      <c r="L2" s="1486"/>
      <c r="M2" s="1486"/>
      <c r="N2" s="1486"/>
      <c r="O2" s="1486"/>
      <c r="P2" s="1486"/>
      <c r="Q2" s="1486"/>
      <c r="R2" s="1486"/>
      <c r="S2" s="1486"/>
    </row>
    <row r="3" spans="1:22" ht="15.75">
      <c r="A3" s="1867" t="s">
        <v>686</v>
      </c>
      <c r="B3" s="2597">
        <f ca="1">ROUND(B2*10000/E2,0)</f>
        <v>12367</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0" t="s">
        <v>1654</v>
      </c>
      <c r="C5" s="3731"/>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收益法商业</v>
      </c>
      <c r="B6" s="2598">
        <f ca="1">IF(F6="是",'数据-取费表'!AO6,0)</f>
        <v>96688</v>
      </c>
      <c r="C6" s="1869" t="s">
        <v>1651</v>
      </c>
      <c r="D6" s="2705"/>
      <c r="E6" s="2602">
        <f>IF(OR(A6=0,F6="否"),0,'数据-取费表'!K6+'数据-取费表'!S6)</f>
        <v>63023.41</v>
      </c>
      <c r="F6" s="1873" t="s">
        <v>1657</v>
      </c>
      <c r="G6" s="1486"/>
      <c r="H6" s="1486"/>
      <c r="I6" s="1486"/>
      <c r="J6" s="1486"/>
      <c r="K6" s="1486"/>
      <c r="L6" s="1486"/>
      <c r="M6" s="1486"/>
      <c r="N6" s="1486"/>
      <c r="O6" s="1486"/>
      <c r="P6" s="1486"/>
      <c r="Q6" s="1486"/>
      <c r="R6" s="1486"/>
      <c r="S6" s="1486"/>
    </row>
    <row r="7" spans="1:22">
      <c r="A7" s="2600" t="str">
        <f>'数据-取费表'!AN7</f>
        <v>收益法车库</v>
      </c>
      <c r="B7" s="2598">
        <f ca="1">IF(F7="是",'数据-取费表'!AO7,0)</f>
        <v>6770</v>
      </c>
      <c r="C7" s="1869" t="s">
        <v>1651</v>
      </c>
      <c r="D7" s="2705"/>
      <c r="E7" s="2602">
        <f>IF(OR(A7=0,F7="否"),0,'数据-取费表'!K7+'数据-取费表'!S7)</f>
        <v>20632.660000000003</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96688</v>
      </c>
      <c r="C2" s="1384" t="s">
        <v>805</v>
      </c>
      <c r="D2" s="1384"/>
      <c r="E2" s="1385"/>
      <c r="F2" s="1386"/>
      <c r="G2" s="2702"/>
      <c r="H2" s="2691"/>
      <c r="I2" s="2691"/>
      <c r="J2" s="2691"/>
      <c r="K2" s="2692"/>
      <c r="L2" s="2691"/>
      <c r="M2" s="2691"/>
    </row>
    <row r="3" spans="1:37" ht="18" customHeight="1" thickBot="1">
      <c r="A3" s="1387" t="s">
        <v>806</v>
      </c>
      <c r="B3" s="1388">
        <f ca="1">IF(ISERROR(B2*10000/F43),0,ROUND(B2*10000/F43,0))</f>
        <v>15342</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6633</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6625</v>
      </c>
      <c r="D6" s="155" t="s">
        <v>2108</v>
      </c>
      <c r="E6" s="302" t="s">
        <v>696</v>
      </c>
      <c r="F6" s="303">
        <f ca="1">INDIRECT("'数据-取费表'!u"&amp;$G$1)</f>
        <v>3.2</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63023.41</v>
      </c>
      <c r="G7" s="1381"/>
      <c r="H7" s="304"/>
      <c r="I7" s="3735"/>
      <c r="J7" s="306"/>
      <c r="K7" s="307"/>
      <c r="L7" s="302" t="s">
        <v>697</v>
      </c>
      <c r="M7" s="303">
        <f ca="1">F7</f>
        <v>63023.41</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8</v>
      </c>
      <c r="D10" s="1363" t="s">
        <v>2116</v>
      </c>
      <c r="E10" s="313" t="s">
        <v>701</v>
      </c>
      <c r="F10" s="1115" t="s">
        <v>3395</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34989</v>
      </c>
      <c r="D13" s="1080" t="s">
        <v>705</v>
      </c>
      <c r="E13" s="1080"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28361</v>
      </c>
      <c r="D14" s="1343" t="s">
        <v>708</v>
      </c>
      <c r="E14" s="1340"/>
      <c r="F14" s="319"/>
      <c r="G14" s="1381"/>
      <c r="H14" s="981" t="s">
        <v>398</v>
      </c>
      <c r="I14" s="302" t="s">
        <v>709</v>
      </c>
      <c r="J14" s="21">
        <f ca="1">C29</f>
        <v>42155</v>
      </c>
      <c r="K14" s="12"/>
      <c r="L14" s="806"/>
      <c r="M14" s="807"/>
    </row>
    <row r="15" spans="1:37" s="1394" customFormat="1" ht="18" customHeight="1" thickBot="1">
      <c r="A15" s="981" t="s">
        <v>399</v>
      </c>
      <c r="B15" s="302" t="s">
        <v>710</v>
      </c>
      <c r="C15" s="21">
        <f ca="1">ROUND(C14*F15,0)</f>
        <v>851</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211</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425</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30897</v>
      </c>
      <c r="D19" s="131" t="s">
        <v>726</v>
      </c>
      <c r="E19" s="13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618</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210.78</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1087</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2"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-211</v>
      </c>
      <c r="K25" s="1094" t="s">
        <v>753</v>
      </c>
      <c r="L25" s="1095"/>
      <c r="M25" s="1096"/>
    </row>
    <row r="26" spans="1:37">
      <c r="A26" s="981" t="s">
        <v>397</v>
      </c>
      <c r="B26" s="302" t="s">
        <v>754</v>
      </c>
      <c r="C26" s="21">
        <f ca="1">ROUND((C19+C20)*F26,0)</f>
        <v>6303</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42155</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1434</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1104.1600000000001</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347.02</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757.14</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210.78</v>
      </c>
      <c r="D36" s="1342"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52.48</v>
      </c>
      <c r="D37" s="1342" t="s">
        <v>743</v>
      </c>
      <c r="E37" s="302" t="s">
        <v>744</v>
      </c>
      <c r="F37" s="330">
        <f ca="1">INDIRECT("'数据-取费表'!Al"&amp;$G$1)</f>
        <v>1.5E-3</v>
      </c>
      <c r="G37" s="1381"/>
      <c r="H37" s="2696"/>
      <c r="I37" s="1395"/>
      <c r="J37" s="1396"/>
      <c r="K37" s="2540"/>
      <c r="L37" s="2696"/>
      <c r="M37" s="2696"/>
    </row>
    <row r="38" spans="1:18" ht="18" customHeight="1" thickBot="1">
      <c r="A38" s="1088" t="s">
        <v>684</v>
      </c>
      <c r="B38" s="1089" t="s">
        <v>728</v>
      </c>
      <c r="C38" s="1090">
        <f ca="1">ROUND(C5*F38,2)</f>
        <v>66.33</v>
      </c>
      <c r="D38" s="1091" t="s">
        <v>748</v>
      </c>
      <c r="E38" s="1089" t="s">
        <v>744</v>
      </c>
      <c r="F38" s="1085">
        <f ca="1">INDIRECT("'数据-取费表'!Am"&amp;$G$1)</f>
        <v>0.01</v>
      </c>
      <c r="G38" s="1381"/>
      <c r="H38" s="2696"/>
      <c r="I38" s="1395"/>
      <c r="J38" s="1396"/>
      <c r="K38" s="2700"/>
      <c r="L38" s="2696"/>
      <c r="M38" s="2696"/>
    </row>
    <row r="39" spans="1:18" ht="24.6" customHeight="1" thickTop="1">
      <c r="A39" s="1078" t="s">
        <v>394</v>
      </c>
      <c r="B39" s="1093" t="s">
        <v>772</v>
      </c>
      <c r="C39" s="310">
        <f ca="1">C5-C30</f>
        <v>5199</v>
      </c>
      <c r="D39" s="1094" t="s">
        <v>773</v>
      </c>
      <c r="E39" s="1095"/>
      <c r="F39" s="1096"/>
      <c r="G39" s="1381"/>
      <c r="H39" s="2696"/>
      <c r="I39" s="1395"/>
      <c r="J39" s="1396"/>
      <c r="K39" s="2700"/>
      <c r="L39" s="2696"/>
      <c r="M39" s="2696"/>
    </row>
    <row r="40" spans="1:18" ht="18" customHeight="1">
      <c r="A40" s="299" t="s">
        <v>395</v>
      </c>
      <c r="B40" s="300" t="s">
        <v>774</v>
      </c>
      <c r="C40" s="301">
        <f ca="1">ROUND(C39*(1-((1+F42)/(1+F40))^F41)/(F40-F42),0)</f>
        <v>94638</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15016</v>
      </c>
      <c r="D43" s="337" t="s">
        <v>777</v>
      </c>
      <c r="E43" s="338" t="s">
        <v>778</v>
      </c>
      <c r="F43" s="339">
        <f ca="1">INDIRECT("'数据-取费表'!k"&amp;$G$1)</f>
        <v>63023.41</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-98316</v>
      </c>
      <c r="D46" s="1403" t="str">
        <f>C2</f>
        <v>万元</v>
      </c>
      <c r="E46" s="1397"/>
      <c r="F46" s="1397"/>
      <c r="I46" s="1404" t="s">
        <v>810</v>
      </c>
      <c r="J46" s="1405"/>
      <c r="K46" s="1406"/>
      <c r="L46" s="1407">
        <f ca="1">IF(M47="住宅",0,IF(L48&gt;J51,L60,J60))</f>
        <v>2050</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40</v>
      </c>
      <c r="M47" s="1377" t="str">
        <f>IF(ISNUMBER(FIND("住宅",C1)),"住宅","非住宅")</f>
        <v>非住宅</v>
      </c>
      <c r="O47" s="1415" t="s">
        <v>403</v>
      </c>
      <c r="P47" s="1416" t="s">
        <v>817</v>
      </c>
      <c r="Q47" s="1417">
        <f ca="1">C40+J29</f>
        <v>94638</v>
      </c>
      <c r="R47" s="1417" t="s">
        <v>818</v>
      </c>
    </row>
    <row r="48" spans="1:18" s="1381" customFormat="1" ht="28.5" thickBot="1">
      <c r="A48" s="1109" t="s">
        <v>438</v>
      </c>
      <c r="B48" s="300" t="s">
        <v>692</v>
      </c>
      <c r="C48" s="1356">
        <f ca="1">C49+C53+C55</f>
        <v>0</v>
      </c>
      <c r="D48" s="1111"/>
      <c r="E48" s="1112"/>
      <c r="F48" s="961"/>
      <c r="G48" s="722"/>
      <c r="H48" s="723"/>
      <c r="I48" s="1418" t="s">
        <v>819</v>
      </c>
      <c r="J48" s="1419" t="s">
        <v>3397</v>
      </c>
      <c r="K48" s="1420" t="s">
        <v>820</v>
      </c>
      <c r="L48" s="1421">
        <f ca="1">INDIRECT("'数据-取费表'!f"&amp;$G$1)</f>
        <v>27.38</v>
      </c>
      <c r="O48" s="1415" t="s">
        <v>404</v>
      </c>
      <c r="P48" s="1416" t="s">
        <v>821</v>
      </c>
      <c r="Q48" s="1417">
        <f ca="1">J60</f>
        <v>2050</v>
      </c>
      <c r="R48" s="1417" t="s">
        <v>822</v>
      </c>
    </row>
    <row r="49" spans="1:18" s="1381" customFormat="1" ht="13.5" thickBot="1">
      <c r="A49" s="974" t="s">
        <v>439</v>
      </c>
      <c r="B49" s="1368" t="s">
        <v>779</v>
      </c>
      <c r="C49" s="1113">
        <f ca="1">ROUND(F49*F51*F50*(1-F52)/10000,0)</f>
        <v>0</v>
      </c>
      <c r="D49" s="1054" t="s">
        <v>2109</v>
      </c>
      <c r="E49" s="1369" t="s">
        <v>780</v>
      </c>
      <c r="F49" s="1059"/>
      <c r="G49" s="1422"/>
      <c r="H49" s="723"/>
      <c r="I49" s="1418" t="s">
        <v>823</v>
      </c>
      <c r="J49" s="1423">
        <v>2013</v>
      </c>
      <c r="K49" s="1420" t="s">
        <v>824</v>
      </c>
      <c r="L49" s="1424"/>
      <c r="O49" s="1425" t="s">
        <v>405</v>
      </c>
      <c r="P49" s="1416" t="s">
        <v>825</v>
      </c>
      <c r="Q49" s="1417">
        <f ca="1">C29</f>
        <v>42155</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47006</v>
      </c>
      <c r="M51" s="1433"/>
      <c r="O51" s="1425" t="s">
        <v>407</v>
      </c>
      <c r="P51" s="1416" t="s">
        <v>831</v>
      </c>
      <c r="Q51" s="1428">
        <f>J52</f>
        <v>0.08</v>
      </c>
      <c r="R51" s="1417"/>
    </row>
    <row r="52" spans="1:18" s="1381" customFormat="1" ht="13.5" thickBot="1">
      <c r="A52" s="976"/>
      <c r="B52" s="978"/>
      <c r="C52" s="979"/>
      <c r="D52" s="952"/>
      <c r="E52" s="980" t="s">
        <v>699</v>
      </c>
      <c r="F52" s="1053"/>
      <c r="I52" s="1434" t="s">
        <v>832</v>
      </c>
      <c r="J52" s="1435">
        <v>0.08</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27.38</v>
      </c>
      <c r="K53" s="3732" t="s">
        <v>837</v>
      </c>
      <c r="L53" s="3733"/>
      <c r="O53" s="1415" t="s">
        <v>409</v>
      </c>
      <c r="P53" s="1416" t="s">
        <v>838</v>
      </c>
      <c r="Q53" s="1417">
        <f ca="1">Q47+Q48</f>
        <v>96688</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34989</v>
      </c>
      <c r="D56" s="1444"/>
      <c r="E56" s="1445"/>
      <c r="F56" s="1437"/>
      <c r="I56" s="1446" t="s">
        <v>842</v>
      </c>
      <c r="J56" s="1447" t="s">
        <v>3398</v>
      </c>
      <c r="K56" s="1418" t="s">
        <v>843</v>
      </c>
      <c r="L56" s="1421" t="str">
        <f ca="1">IF(L48&lt;J51,"——",L48-J53)</f>
        <v>——</v>
      </c>
      <c r="O56" s="1415" t="s">
        <v>403</v>
      </c>
      <c r="P56" s="1416" t="s">
        <v>817</v>
      </c>
      <c r="Q56" s="1417">
        <f ca="1">C40+J29</f>
        <v>94638</v>
      </c>
      <c r="R56" s="1417" t="s">
        <v>818</v>
      </c>
    </row>
    <row r="57" spans="1:18" s="1381" customFormat="1" ht="24.75" thickBot="1">
      <c r="A57" s="1448"/>
      <c r="B57" s="949" t="s">
        <v>767</v>
      </c>
      <c r="C57" s="238">
        <f ca="1">C29</f>
        <v>42155</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263</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16862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2050</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94638</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210.78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52.48</v>
      </c>
      <c r="D65" s="963" t="s">
        <v>743</v>
      </c>
      <c r="E65" s="949" t="s">
        <v>744</v>
      </c>
      <c r="F65" s="330">
        <f t="shared" ca="1" si="0"/>
        <v>1.5E-3</v>
      </c>
      <c r="I65" s="1459" t="s">
        <v>867</v>
      </c>
      <c r="J65" s="1460">
        <v>40</v>
      </c>
      <c r="K65" s="1460">
        <v>30</v>
      </c>
      <c r="L65" s="1460">
        <v>50</v>
      </c>
      <c r="M65" s="1462">
        <v>0.02</v>
      </c>
      <c r="O65" s="1415" t="s">
        <v>403</v>
      </c>
      <c r="P65" s="1416" t="s">
        <v>868</v>
      </c>
      <c r="Q65" s="1417">
        <f ca="1">C40+J29</f>
        <v>94638</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-263</v>
      </c>
      <c r="D67" s="962" t="s">
        <v>753</v>
      </c>
      <c r="E67" s="967"/>
      <c r="F67" s="968"/>
      <c r="O67" s="1425" t="s">
        <v>405</v>
      </c>
      <c r="P67" s="1416" t="s">
        <v>850</v>
      </c>
      <c r="Q67" s="1463">
        <f ca="1">L51</f>
        <v>47006</v>
      </c>
      <c r="R67" s="1417" t="s">
        <v>870</v>
      </c>
    </row>
    <row r="68" spans="1:18" s="1381" customFormat="1" ht="16.5" thickBot="1">
      <c r="A68" s="946" t="s">
        <v>395</v>
      </c>
      <c r="B68" s="947" t="s">
        <v>774</v>
      </c>
      <c r="C68" s="301">
        <f ca="1">ROUND(C67*(1-((1+F70)/(1+F68))^F69)/(F68-F70),0)</f>
        <v>-3678</v>
      </c>
      <c r="D68" s="964" t="s">
        <v>758</v>
      </c>
      <c r="E68" s="949" t="s">
        <v>759</v>
      </c>
      <c r="F68" s="312">
        <f ca="1">F40</f>
        <v>5.5E-2</v>
      </c>
      <c r="O68" s="1425" t="s">
        <v>406</v>
      </c>
      <c r="P68" s="1464" t="s">
        <v>871</v>
      </c>
      <c r="Q68" s="1417">
        <f ca="1">ROUND(Q69-Q70*Q71,0)</f>
        <v>2575</v>
      </c>
      <c r="R68" s="1417" t="s">
        <v>414</v>
      </c>
    </row>
    <row r="69" spans="1:18" s="1381" customFormat="1" ht="13.5" thickBot="1">
      <c r="A69" s="950"/>
      <c r="B69" s="951"/>
      <c r="C69" s="306"/>
      <c r="D69" s="969" t="s">
        <v>762</v>
      </c>
      <c r="E69" s="949" t="s">
        <v>763</v>
      </c>
      <c r="F69" s="333">
        <f ca="1">F41</f>
        <v>27.38</v>
      </c>
      <c r="O69" s="1425" t="s">
        <v>411</v>
      </c>
      <c r="P69" s="1464" t="s">
        <v>872</v>
      </c>
      <c r="Q69" s="1417">
        <f ca="1">C39</f>
        <v>5199</v>
      </c>
      <c r="R69" s="1417" t="s">
        <v>818</v>
      </c>
    </row>
    <row r="70" spans="1:18" s="1381" customFormat="1" ht="13.5" thickBot="1">
      <c r="A70" s="953"/>
      <c r="B70" s="954"/>
      <c r="C70" s="310"/>
      <c r="D70" s="965"/>
      <c r="E70" s="949" t="s">
        <v>766</v>
      </c>
      <c r="F70" s="1053"/>
      <c r="O70" s="1425" t="s">
        <v>412</v>
      </c>
      <c r="P70" s="1464" t="s">
        <v>873</v>
      </c>
      <c r="Q70" s="1417">
        <f ca="1">C13</f>
        <v>34989</v>
      </c>
      <c r="R70" s="1417" t="s">
        <v>818</v>
      </c>
    </row>
    <row r="71" spans="1:18" s="1381" customFormat="1" ht="13.5" thickBot="1">
      <c r="A71" s="970" t="s">
        <v>396</v>
      </c>
      <c r="B71" s="971" t="s">
        <v>776</v>
      </c>
      <c r="C71" s="336">
        <f ca="1">ROUND(C68*10000/F71,0)</f>
        <v>-584</v>
      </c>
      <c r="D71" s="972" t="s">
        <v>777</v>
      </c>
      <c r="E71" s="973" t="s">
        <v>778</v>
      </c>
      <c r="F71" s="339">
        <f ca="1">F43</f>
        <v>63023.41</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2624</v>
      </c>
      <c r="D75" s="1381"/>
      <c r="E75" s="1381"/>
      <c r="F75" s="1381"/>
      <c r="K75" s="1399"/>
      <c r="L75" s="1381"/>
      <c r="O75" s="1415" t="s">
        <v>409</v>
      </c>
      <c r="P75" s="1416" t="s">
        <v>838</v>
      </c>
      <c r="Q75" s="1417">
        <f ca="1">Q65+Q66</f>
        <v>94638</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0.495</v>
      </c>
    </row>
    <row r="80" spans="1:18">
      <c r="B80" s="340" t="s">
        <v>800</v>
      </c>
      <c r="C80" s="274">
        <f ca="1">ROUND(C75/C39,3)</f>
        <v>0.505</v>
      </c>
    </row>
    <row r="81" spans="2:3">
      <c r="B81" s="270" t="s">
        <v>801</v>
      </c>
      <c r="C81" s="238"/>
    </row>
    <row r="82" spans="2:3">
      <c r="B82" s="273" t="s">
        <v>802</v>
      </c>
      <c r="C82" s="275">
        <f ca="1">1-C83</f>
        <v>0.63</v>
      </c>
    </row>
    <row r="83" spans="2:3">
      <c r="B83" s="273" t="s">
        <v>803</v>
      </c>
      <c r="C83" s="274">
        <f ca="1">ROUND(C13/C40,3)</f>
        <v>0.37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2023年8月21日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34" t="s">
        <v>694</v>
      </c>
      <c r="C6" s="1073">
        <f ca="1">ROUND(F6*F8*F7*(1-F9),0)</f>
        <v>0</v>
      </c>
      <c r="D6" s="155" t="s">
        <v>2105</v>
      </c>
      <c r="E6" s="302" t="s">
        <v>696</v>
      </c>
      <c r="F6" s="303">
        <f ca="1">INDIRECT("'数据-取费表'!u"&amp;$G$1)</f>
        <v>0</v>
      </c>
      <c r="G6" s="1381"/>
      <c r="H6" s="1068" t="s">
        <v>398</v>
      </c>
      <c r="I6" s="3734" t="s">
        <v>694</v>
      </c>
      <c r="J6" s="301">
        <f ca="1">ROUND(M6*M8*M7*(1-M9),0)</f>
        <v>0</v>
      </c>
      <c r="K6" s="1373" t="s">
        <v>2106</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0</v>
      </c>
      <c r="G7" s="1381"/>
      <c r="H7" s="304"/>
      <c r="I7" s="3735"/>
      <c r="J7" s="306"/>
      <c r="K7" s="307"/>
      <c r="L7" s="302" t="s">
        <v>697</v>
      </c>
      <c r="M7" s="303">
        <f ca="1">F7</f>
        <v>0</v>
      </c>
    </row>
    <row r="8" spans="1:37" ht="18" customHeight="1">
      <c r="A8" s="304"/>
      <c r="B8" s="3735"/>
      <c r="C8" s="306"/>
      <c r="D8" s="307"/>
      <c r="E8" s="302" t="s">
        <v>698</v>
      </c>
      <c r="F8" s="303">
        <f ca="1">INDIRECT("'数据-取费表'!ai"&amp;$G$1)</f>
        <v>0</v>
      </c>
      <c r="G8" s="1381"/>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c r="G10" s="1381"/>
      <c r="H10" s="1068" t="s">
        <v>402</v>
      </c>
      <c r="I10" s="1362" t="s">
        <v>700</v>
      </c>
      <c r="J10" s="301">
        <f ca="1">ROUND(IF(M10="押一",J6/12*M11,IF(M10="押二",J6/12*2*M11,IF(M10="押三",J6/12*3*M11,J11*M11))),0)</f>
        <v>0</v>
      </c>
      <c r="K10" s="1374" t="s">
        <v>2117</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3302</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IF(项目基本情况!B11="自然人","——",ROUND(F34*F35,0))</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2" t="s">
        <v>771</v>
      </c>
      <c r="E36" s="302" t="s">
        <v>712</v>
      </c>
      <c r="F36" s="328">
        <f ca="1">INDIRECT("'数据-取费表'!Ak"&amp;$G$1)</f>
        <v>0</v>
      </c>
      <c r="G36" s="1381"/>
      <c r="H36" s="2696"/>
      <c r="I36" s="1395"/>
      <c r="J36" s="1396"/>
      <c r="K36" s="2540"/>
      <c r="L36" s="2696"/>
      <c r="M36" s="2696"/>
    </row>
    <row r="37" spans="1:18" ht="18" customHeight="1">
      <c r="A37" s="981" t="s">
        <v>437</v>
      </c>
      <c r="B37" s="302" t="s">
        <v>742</v>
      </c>
      <c r="C37" s="21">
        <f ca="1">ROUND(C13*F37,0)</f>
        <v>0</v>
      </c>
      <c r="D37" s="1342"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40"/>
      <c r="L41" s="1189"/>
      <c r="M41" s="1189"/>
    </row>
    <row r="42" spans="1:18" ht="18" customHeight="1">
      <c r="A42" s="308"/>
      <c r="B42" s="309"/>
      <c r="C42" s="310"/>
      <c r="D42" s="327"/>
      <c r="E42" s="302" t="s">
        <v>766</v>
      </c>
      <c r="F42" s="312">
        <f ca="1">INDIRECT("'数据-取费表'!v"&amp;$G$1)</f>
        <v>0</v>
      </c>
      <c r="G42" s="1381"/>
      <c r="H42" s="1189"/>
      <c r="I42" s="1395"/>
      <c r="J42" s="1396"/>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2" t="s">
        <v>3318</v>
      </c>
      <c r="B45" s="1397"/>
      <c r="C45" s="1469" t="e">
        <f ca="1">ROUND((C68-C40)/10000,4)</f>
        <v>#DIV/0!</v>
      </c>
      <c r="D45" s="3423" t="s">
        <v>3319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732" t="s">
        <v>837</v>
      </c>
      <c r="L53" s="3733"/>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4" t="s">
        <v>3325</v>
      </c>
      <c r="E2" s="3435"/>
      <c r="F2" s="2842"/>
      <c r="G2" s="2843"/>
      <c r="H2" s="2844"/>
      <c r="I2" s="2845"/>
      <c r="J2" s="3743" t="s">
        <v>2320</v>
      </c>
      <c r="K2" s="3744"/>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5" t="s">
        <v>2330</v>
      </c>
      <c r="K3" s="3746"/>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5" t="s">
        <v>2332</v>
      </c>
      <c r="K4" s="3746"/>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51" t="s">
        <v>2336</v>
      </c>
      <c r="B6" s="3752"/>
      <c r="C6" s="3753"/>
      <c r="D6" s="2866"/>
      <c r="E6" s="2867"/>
      <c r="F6" s="2868"/>
      <c r="G6" s="2869"/>
      <c r="H6" s="2844"/>
      <c r="I6" s="2845"/>
      <c r="J6" s="3737">
        <v>1</v>
      </c>
      <c r="K6" s="373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37"/>
      <c r="K7" s="373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54" t="s">
        <v>2350</v>
      </c>
      <c r="C8" s="3755"/>
      <c r="D8" s="2885" t="s">
        <v>2351</v>
      </c>
      <c r="E8" s="2886" t="s">
        <v>2352</v>
      </c>
      <c r="F8" s="2887" t="s">
        <v>2353</v>
      </c>
      <c r="G8" s="2888"/>
      <c r="H8" s="2844"/>
      <c r="I8" s="2845"/>
      <c r="J8" s="3737"/>
      <c r="K8" s="373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54" t="s">
        <v>2356</v>
      </c>
      <c r="C9" s="3755"/>
      <c r="D9" s="2885">
        <f>ROUND(D6*E9,0)</f>
        <v>0</v>
      </c>
      <c r="E9" s="2889"/>
      <c r="F9" s="2890" t="s">
        <v>2357</v>
      </c>
      <c r="G9" s="2869"/>
      <c r="H9" s="2844"/>
      <c r="I9" s="2845"/>
      <c r="J9" s="3737"/>
      <c r="K9" s="3739"/>
      <c r="L9" s="2879" t="s">
        <v>2358</v>
      </c>
      <c r="M9" s="2880"/>
      <c r="N9" s="2856"/>
      <c r="O9" s="2881"/>
      <c r="P9" s="2881"/>
      <c r="Q9" s="2882">
        <v>365</v>
      </c>
      <c r="R9" s="2883">
        <f t="shared" si="0"/>
        <v>0</v>
      </c>
      <c r="S9" s="2837"/>
      <c r="T9" s="2837"/>
      <c r="U9" s="2837"/>
      <c r="V9" s="2845"/>
    </row>
    <row r="10" spans="1:22" s="2849" customFormat="1" ht="13.15" customHeight="1">
      <c r="A10" s="2884">
        <v>2</v>
      </c>
      <c r="B10" s="3754" t="s">
        <v>2359</v>
      </c>
      <c r="C10" s="3755"/>
      <c r="D10" s="2885">
        <f>ROUND(D6*E10,0)</f>
        <v>0</v>
      </c>
      <c r="E10" s="2889"/>
      <c r="F10" s="2890" t="s">
        <v>2360</v>
      </c>
      <c r="G10" s="2869"/>
      <c r="H10" s="2844"/>
      <c r="I10" s="2845"/>
      <c r="J10" s="3737"/>
      <c r="K10" s="3739"/>
      <c r="L10" s="2879" t="s">
        <v>2361</v>
      </c>
      <c r="M10" s="2880"/>
      <c r="N10" s="2856"/>
      <c r="O10" s="2881"/>
      <c r="P10" s="2881"/>
      <c r="Q10" s="2882">
        <v>365</v>
      </c>
      <c r="R10" s="2883">
        <f t="shared" si="0"/>
        <v>0</v>
      </c>
      <c r="S10" s="2837"/>
      <c r="T10" s="2837"/>
      <c r="U10" s="2837"/>
      <c r="V10" s="2845"/>
    </row>
    <row r="11" spans="1:22" s="2849" customFormat="1" ht="13.15" customHeight="1">
      <c r="A11" s="2884">
        <v>3</v>
      </c>
      <c r="B11" s="3754" t="s">
        <v>2362</v>
      </c>
      <c r="C11" s="3755"/>
      <c r="D11" s="2885">
        <f>D12+D14+D15+D16</f>
        <v>0</v>
      </c>
      <c r="E11" s="2891" t="e">
        <f>D11/D6</f>
        <v>#DIV/0!</v>
      </c>
      <c r="F11" s="2887"/>
      <c r="G11" s="2888"/>
      <c r="H11" s="2844"/>
      <c r="I11" s="2845"/>
      <c r="J11" s="3737"/>
      <c r="K11" s="373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47" t="s">
        <v>2365</v>
      </c>
      <c r="C12" s="3748"/>
      <c r="D12" s="2893">
        <f>ROUND(D13*1.2%*(1-30%),0)</f>
        <v>0</v>
      </c>
      <c r="E12" s="2894">
        <v>1.2E-2</v>
      </c>
      <c r="F12" s="2887" t="s">
        <v>2366</v>
      </c>
      <c r="G12" s="2888"/>
      <c r="H12" s="2844"/>
      <c r="I12" s="2845"/>
      <c r="J12" s="3737"/>
      <c r="K12" s="373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37"/>
      <c r="K13" s="373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47" t="s">
        <v>2371</v>
      </c>
      <c r="C14" s="3748"/>
      <c r="D14" s="2893">
        <f>ROUND(E14*B5/10000,0)</f>
        <v>0</v>
      </c>
      <c r="E14" s="2882"/>
      <c r="F14" s="2887" t="s">
        <v>2372</v>
      </c>
      <c r="G14" s="2888"/>
      <c r="H14" s="2844"/>
      <c r="I14" s="2845"/>
      <c r="J14" s="3737"/>
      <c r="K14" s="374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47" t="s">
        <v>2375</v>
      </c>
      <c r="C15" s="3748"/>
      <c r="D15" s="2893">
        <f>ROUND(D6*E15,0)</f>
        <v>0</v>
      </c>
      <c r="E15" s="2894">
        <v>5.5E-2</v>
      </c>
      <c r="F15" s="2887" t="s">
        <v>2376</v>
      </c>
      <c r="G15" s="2869"/>
      <c r="H15" s="2844"/>
      <c r="I15" s="2845"/>
      <c r="J15" s="3737">
        <v>2</v>
      </c>
      <c r="K15" s="373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47" t="s">
        <v>2384</v>
      </c>
      <c r="C16" s="3748"/>
      <c r="D16" s="2904">
        <f>D6*E16</f>
        <v>0</v>
      </c>
      <c r="E16" s="2905"/>
      <c r="F16" s="2890" t="s">
        <v>2385</v>
      </c>
      <c r="G16" s="2869"/>
      <c r="H16" s="2844"/>
      <c r="I16" s="2845"/>
      <c r="J16" s="3737"/>
      <c r="K16" s="373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49" t="s">
        <v>2387</v>
      </c>
      <c r="C17" s="3750"/>
      <c r="D17" s="2907">
        <f>ROUND(D6*E17,0)</f>
        <v>0</v>
      </c>
      <c r="E17" s="2908"/>
      <c r="F17" s="2909" t="s">
        <v>2388</v>
      </c>
      <c r="G17" s="2869"/>
      <c r="H17" s="2844"/>
      <c r="I17" s="2845"/>
      <c r="J17" s="3737"/>
      <c r="K17" s="373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37"/>
      <c r="K18" s="373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37"/>
      <c r="K19" s="374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7">
        <v>3</v>
      </c>
      <c r="K20" s="373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37"/>
      <c r="K21" s="373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37"/>
      <c r="K22" s="373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37"/>
      <c r="K23" s="373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37"/>
      <c r="K24" s="374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41">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4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43" t="s">
        <v>2320</v>
      </c>
      <c r="K32" s="3744"/>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5" t="s">
        <v>2330</v>
      </c>
      <c r="K33" s="3746"/>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5" t="s">
        <v>2332</v>
      </c>
      <c r="K34" s="374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37">
        <v>1</v>
      </c>
      <c r="K36" s="373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37"/>
      <c r="K37" s="373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7"/>
      <c r="K38" s="373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37"/>
      <c r="K39" s="373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37"/>
      <c r="K40" s="374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1">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4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3300</v>
      </c>
      <c r="D1" s="1359" t="s">
        <v>43</v>
      </c>
      <c r="E1" s="1360" t="s">
        <v>678</v>
      </c>
      <c r="F1" s="1061">
        <f ca="1">J53</f>
        <v>37.39</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6770</v>
      </c>
      <c r="C2" s="1384" t="s">
        <v>805</v>
      </c>
      <c r="D2" s="1384"/>
      <c r="E2" s="1385"/>
      <c r="F2" s="1386"/>
      <c r="G2" s="2702"/>
      <c r="H2" s="2691"/>
      <c r="I2" s="2691"/>
      <c r="J2" s="2691"/>
      <c r="K2" s="2692"/>
      <c r="L2" s="2691"/>
      <c r="M2" s="2691"/>
    </row>
    <row r="3" spans="1:37" ht="18" customHeight="1" thickBot="1">
      <c r="A3" s="1387" t="s">
        <v>806</v>
      </c>
      <c r="B3" s="1388">
        <f ca="1">IF(ISERROR(B2*10000/F43),0,ROUND(B2*10000/F43,0))</f>
        <v>3281</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407</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407</v>
      </c>
      <c r="D6" s="155" t="s">
        <v>2108</v>
      </c>
      <c r="E6" s="302" t="s">
        <v>696</v>
      </c>
      <c r="F6" s="303">
        <f ca="1">INDIRECT("'数据-取费表'!u"&amp;$G$1)</f>
        <v>0.6</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3453" t="s">
        <v>697</v>
      </c>
      <c r="F7" s="303">
        <f ca="1">IF(INDIRECT("'数据-取费表'!ah"&amp;$G$1)="",INDIRECT("'数据-取费表'!k"&amp;$G$1),INDIRECT("'数据-取费表'!ah"&amp;$G$1))</f>
        <v>20632.660000000003</v>
      </c>
      <c r="G7" s="1381"/>
      <c r="H7" s="304"/>
      <c r="I7" s="3735"/>
      <c r="J7" s="306"/>
      <c r="K7" s="307"/>
      <c r="L7" s="302" t="s">
        <v>697</v>
      </c>
      <c r="M7" s="303">
        <f ca="1">F7</f>
        <v>20632.660000000003</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t="s">
        <v>3399</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7892</v>
      </c>
      <c r="D13" s="3441" t="s">
        <v>705</v>
      </c>
      <c r="E13" s="3441"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7221</v>
      </c>
      <c r="D14" s="3445" t="s">
        <v>708</v>
      </c>
      <c r="E14" s="3443"/>
      <c r="F14" s="319"/>
      <c r="G14" s="1381"/>
      <c r="H14" s="981" t="s">
        <v>398</v>
      </c>
      <c r="I14" s="302" t="s">
        <v>709</v>
      </c>
      <c r="J14" s="21">
        <f ca="1">C29</f>
        <v>9509</v>
      </c>
      <c r="K14" s="3452"/>
      <c r="L14" s="806"/>
      <c r="M14" s="807"/>
    </row>
    <row r="15" spans="1:37" s="1394" customFormat="1" ht="18" customHeight="1" thickBot="1">
      <c r="A15" s="981" t="s">
        <v>399</v>
      </c>
      <c r="B15" s="302" t="s">
        <v>710</v>
      </c>
      <c r="C15" s="21">
        <f ca="1">ROUND(C14*F15,0)</f>
        <v>217</v>
      </c>
      <c r="D15" s="3442" t="s">
        <v>711</v>
      </c>
      <c r="E15" s="3442"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48</v>
      </c>
      <c r="K16" s="1086" t="s">
        <v>715</v>
      </c>
      <c r="L16" s="3447"/>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3445" t="s">
        <v>720</v>
      </c>
      <c r="L17" s="3444"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108</v>
      </c>
      <c r="D18" s="302" t="s">
        <v>711</v>
      </c>
      <c r="E18" s="302" t="s">
        <v>712</v>
      </c>
      <c r="F18" s="322">
        <f>'数据-取费表'!B36</f>
        <v>1.4999999999999999E-2</v>
      </c>
      <c r="G18" s="1393"/>
      <c r="H18" s="981" t="s">
        <v>397</v>
      </c>
      <c r="I18" s="302" t="s">
        <v>723</v>
      </c>
      <c r="J18" s="21">
        <f ca="1">ROUND(J6*M18/(1+'数据-取费表'!C42),2)</f>
        <v>0</v>
      </c>
      <c r="K18" s="3444"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7959</v>
      </c>
      <c r="D19" s="131" t="s">
        <v>726</v>
      </c>
      <c r="E19" s="34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159</v>
      </c>
      <c r="D20" s="2424"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1"/>
      <c r="H22" s="981" t="s">
        <v>402</v>
      </c>
      <c r="I22" s="302" t="s">
        <v>738</v>
      </c>
      <c r="J22" s="21">
        <f ca="1">ROUND(J14*M22,2)</f>
        <v>47.55</v>
      </c>
      <c r="K22" s="3444"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280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344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57"/>
      <c r="F25" s="23"/>
      <c r="G25" s="1381"/>
      <c r="H25" s="1078" t="s">
        <v>394</v>
      </c>
      <c r="I25" s="1093" t="s">
        <v>752</v>
      </c>
      <c r="J25" s="310">
        <f ca="1">J5-J16</f>
        <v>-48</v>
      </c>
      <c r="K25" s="1094" t="s">
        <v>753</v>
      </c>
      <c r="L25" s="1095"/>
      <c r="M25" s="1096"/>
    </row>
    <row r="26" spans="1:37">
      <c r="A26" s="981" t="s">
        <v>397</v>
      </c>
      <c r="B26" s="302" t="s">
        <v>754</v>
      </c>
      <c r="C26" s="21">
        <f ca="1">ROUND((C19+C20)*F26,0)</f>
        <v>406</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4" t="s">
        <v>761</v>
      </c>
      <c r="E27" s="3442"/>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4"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9509</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131</v>
      </c>
      <c r="D30" s="1086" t="s">
        <v>715</v>
      </c>
      <c r="E30" s="344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67.83</v>
      </c>
      <c r="D31" s="3445" t="s">
        <v>720</v>
      </c>
      <c r="E31" s="3444"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21.32</v>
      </c>
      <c r="D32" s="3444"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46.51</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47.55</v>
      </c>
      <c r="D36" s="3444"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11.84</v>
      </c>
      <c r="D37" s="3444" t="s">
        <v>743</v>
      </c>
      <c r="E37" s="302" t="s">
        <v>712</v>
      </c>
      <c r="F37" s="330">
        <f ca="1">INDIRECT("'数据-取费表'!Al"&amp;$G$1)</f>
        <v>1.5E-3</v>
      </c>
      <c r="G37" s="1381"/>
      <c r="H37" s="2696"/>
      <c r="I37" s="1395"/>
      <c r="J37" s="1396"/>
      <c r="K37" s="2540"/>
      <c r="L37" s="2696"/>
      <c r="M37" s="2696"/>
    </row>
    <row r="38" spans="1:18" ht="18" customHeight="1" thickBot="1">
      <c r="A38" s="1088" t="s">
        <v>683</v>
      </c>
      <c r="B38" s="1089" t="s">
        <v>728</v>
      </c>
      <c r="C38" s="1090">
        <f ca="1">ROUND(C5*F38,2)</f>
        <v>4.07</v>
      </c>
      <c r="D38" s="1091" t="s">
        <v>748</v>
      </c>
      <c r="E38" s="1089" t="s">
        <v>712</v>
      </c>
      <c r="F38" s="1085">
        <f ca="1">INDIRECT("'数据-取费表'!Am"&amp;$G$1)</f>
        <v>0.01</v>
      </c>
      <c r="G38" s="1381"/>
      <c r="H38" s="2696"/>
      <c r="I38" s="1395"/>
      <c r="J38" s="1396"/>
      <c r="K38" s="2700"/>
      <c r="L38" s="2696"/>
      <c r="M38" s="2696"/>
    </row>
    <row r="39" spans="1:18" ht="24.6" customHeight="1" thickTop="1">
      <c r="A39" s="1078" t="s">
        <v>394</v>
      </c>
      <c r="B39" s="1093" t="s">
        <v>752</v>
      </c>
      <c r="C39" s="310">
        <f ca="1">C5-C30</f>
        <v>276</v>
      </c>
      <c r="D39" s="1094" t="s">
        <v>753</v>
      </c>
      <c r="E39" s="1095"/>
      <c r="F39" s="1096"/>
      <c r="G39" s="1381"/>
      <c r="H39" s="2696"/>
      <c r="I39" s="1395"/>
      <c r="J39" s="1396"/>
      <c r="K39" s="2700"/>
      <c r="L39" s="2696"/>
      <c r="M39" s="2696"/>
    </row>
    <row r="40" spans="1:18" ht="18" customHeight="1">
      <c r="A40" s="299" t="s">
        <v>395</v>
      </c>
      <c r="B40" s="300" t="s">
        <v>774</v>
      </c>
      <c r="C40" s="301">
        <f ca="1">ROUND(C39*(1-((1+F42)/(1+F40))^F41)/(F40-F42),0)</f>
        <v>6556</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3177</v>
      </c>
      <c r="D43" s="337" t="s">
        <v>777</v>
      </c>
      <c r="E43" s="338" t="s">
        <v>778</v>
      </c>
      <c r="F43" s="339">
        <f ca="1">INDIRECT("'数据-取费表'!k"&amp;$G$1)</f>
        <v>20632.660000000003</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-7546</v>
      </c>
      <c r="D46" s="1403" t="str">
        <f>C2</f>
        <v>万元</v>
      </c>
      <c r="E46" s="1397"/>
      <c r="F46" s="1397"/>
      <c r="I46" s="1404" t="s">
        <v>810</v>
      </c>
      <c r="J46" s="1405"/>
      <c r="K46" s="1406"/>
      <c r="L46" s="1407">
        <f ca="1">IF(M47="住宅",0,IF(L48&gt;J51,L60,J60))</f>
        <v>214</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50</v>
      </c>
      <c r="M47" s="1377" t="str">
        <f>IF(ISNUMBER(FIND("住宅",C1)),"住宅","非住宅")</f>
        <v>非住宅</v>
      </c>
      <c r="O47" s="1415" t="s">
        <v>403</v>
      </c>
      <c r="P47" s="1416" t="s">
        <v>817</v>
      </c>
      <c r="Q47" s="1417">
        <f ca="1">C40+J29</f>
        <v>6556</v>
      </c>
      <c r="R47" s="1417" t="s">
        <v>818</v>
      </c>
    </row>
    <row r="48" spans="1:18" s="1381" customFormat="1" ht="28.5" thickBot="1">
      <c r="A48" s="1109" t="s">
        <v>438</v>
      </c>
      <c r="B48" s="300" t="s">
        <v>692</v>
      </c>
      <c r="C48" s="3456">
        <f ca="1">C49+C53+C55</f>
        <v>0</v>
      </c>
      <c r="D48" s="1111"/>
      <c r="E48" s="1112"/>
      <c r="F48" s="961"/>
      <c r="G48" s="722"/>
      <c r="H48" s="723"/>
      <c r="I48" s="1418" t="s">
        <v>819</v>
      </c>
      <c r="J48" s="1419" t="s">
        <v>3397</v>
      </c>
      <c r="K48" s="1420" t="s">
        <v>820</v>
      </c>
      <c r="L48" s="1421">
        <f ca="1">INDIRECT("'数据-取费表'!f"&amp;$G$1)</f>
        <v>37.39</v>
      </c>
      <c r="O48" s="1415" t="s">
        <v>404</v>
      </c>
      <c r="P48" s="1416" t="s">
        <v>821</v>
      </c>
      <c r="Q48" s="1417">
        <f ca="1">J60</f>
        <v>214</v>
      </c>
      <c r="R48" s="1417" t="s">
        <v>822</v>
      </c>
    </row>
    <row r="49" spans="1:18" s="1381" customFormat="1" ht="13.5" thickBot="1">
      <c r="A49" s="974" t="s">
        <v>439</v>
      </c>
      <c r="B49" s="1368" t="s">
        <v>779</v>
      </c>
      <c r="C49" s="1113">
        <f ca="1">ROUND(F49*F51*F50*(1-F52)/10000,0)</f>
        <v>0</v>
      </c>
      <c r="D49" s="1054" t="s">
        <v>2107</v>
      </c>
      <c r="E49" s="1369" t="s">
        <v>780</v>
      </c>
      <c r="F49" s="1059"/>
      <c r="G49" s="1422"/>
      <c r="H49" s="723"/>
      <c r="I49" s="1418" t="s">
        <v>823</v>
      </c>
      <c r="J49" s="1423">
        <v>2013</v>
      </c>
      <c r="K49" s="1420" t="s">
        <v>824</v>
      </c>
      <c r="L49" s="1424"/>
      <c r="O49" s="1425" t="s">
        <v>405</v>
      </c>
      <c r="P49" s="1416" t="s">
        <v>825</v>
      </c>
      <c r="Q49" s="1417">
        <f ca="1">C29</f>
        <v>9509</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-6243</v>
      </c>
      <c r="M51" s="1433"/>
      <c r="O51" s="1425" t="s">
        <v>407</v>
      </c>
      <c r="P51" s="1416" t="s">
        <v>831</v>
      </c>
      <c r="Q51" s="1428">
        <f>J52</f>
        <v>0.08</v>
      </c>
      <c r="R51" s="1417"/>
    </row>
    <row r="52" spans="1:18" s="1381" customFormat="1" ht="13.5" thickBot="1">
      <c r="A52" s="976"/>
      <c r="B52" s="978"/>
      <c r="C52" s="979"/>
      <c r="D52" s="952"/>
      <c r="E52" s="980" t="s">
        <v>699</v>
      </c>
      <c r="F52" s="1053"/>
      <c r="I52" s="1434" t="s">
        <v>832</v>
      </c>
      <c r="J52" s="1435">
        <v>0.08</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37.39</v>
      </c>
      <c r="K53" s="3732" t="s">
        <v>837</v>
      </c>
      <c r="L53" s="3733"/>
      <c r="O53" s="1415" t="s">
        <v>409</v>
      </c>
      <c r="P53" s="1416" t="s">
        <v>838</v>
      </c>
      <c r="Q53" s="1417">
        <f ca="1">Q47+Q48</f>
        <v>6770</v>
      </c>
      <c r="R53" s="1417" t="s">
        <v>410</v>
      </c>
    </row>
    <row r="54" spans="1:18" s="1381" customFormat="1" ht="13.5" thickBot="1">
      <c r="A54" s="1152"/>
      <c r="B54" s="1364" t="s">
        <v>679</v>
      </c>
      <c r="C54" s="958"/>
      <c r="D54" s="1363"/>
      <c r="E54" s="344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48"/>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7892</v>
      </c>
      <c r="D56" s="1444"/>
      <c r="E56" s="1445"/>
      <c r="F56" s="1437"/>
      <c r="I56" s="1446" t="s">
        <v>842</v>
      </c>
      <c r="J56" s="1447" t="s">
        <v>3398</v>
      </c>
      <c r="K56" s="1418" t="s">
        <v>843</v>
      </c>
      <c r="L56" s="1421" t="str">
        <f ca="1">IF(L48&lt;J51,"——",L48-J53)</f>
        <v>——</v>
      </c>
      <c r="O56" s="1415" t="s">
        <v>403</v>
      </c>
      <c r="P56" s="1416" t="s">
        <v>817</v>
      </c>
      <c r="Q56" s="1417">
        <f ca="1">C40+J29</f>
        <v>6556</v>
      </c>
      <c r="R56" s="1417" t="s">
        <v>818</v>
      </c>
    </row>
    <row r="57" spans="1:18" s="1381" customFormat="1" ht="24.75" thickBot="1">
      <c r="A57" s="1448"/>
      <c r="B57" s="949" t="s">
        <v>767</v>
      </c>
      <c r="C57" s="238">
        <f ca="1">C29</f>
        <v>9509</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59</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3804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214</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3302</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6556</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47.55</v>
      </c>
      <c r="D64" s="963" t="s">
        <v>771</v>
      </c>
      <c r="E64" s="949"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11.84</v>
      </c>
      <c r="D65" s="963" t="s">
        <v>743</v>
      </c>
      <c r="E65" s="949" t="s">
        <v>712</v>
      </c>
      <c r="F65" s="330">
        <f t="shared" ca="1" si="0"/>
        <v>1.5E-3</v>
      </c>
      <c r="I65" s="1459" t="s">
        <v>867</v>
      </c>
      <c r="J65" s="1460">
        <v>40</v>
      </c>
      <c r="K65" s="1460">
        <v>30</v>
      </c>
      <c r="L65" s="1460">
        <v>50</v>
      </c>
      <c r="M65" s="1462">
        <v>0.02</v>
      </c>
      <c r="O65" s="1415" t="s">
        <v>403</v>
      </c>
      <c r="P65" s="1416" t="s">
        <v>868</v>
      </c>
      <c r="Q65" s="1417">
        <f ca="1">C40+J29</f>
        <v>6556</v>
      </c>
      <c r="R65" s="1417" t="s">
        <v>818</v>
      </c>
    </row>
    <row r="66" spans="1:18" s="1381" customFormat="1" ht="16.5" thickBot="1">
      <c r="A66" s="981" t="s">
        <v>793</v>
      </c>
      <c r="B66" s="949" t="s">
        <v>728</v>
      </c>
      <c r="C66" s="21">
        <f ca="1">ROUND(C48*F66,2)</f>
        <v>0</v>
      </c>
      <c r="D66" s="963" t="s">
        <v>748</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-59</v>
      </c>
      <c r="D67" s="962" t="s">
        <v>753</v>
      </c>
      <c r="E67" s="967"/>
      <c r="F67" s="968"/>
      <c r="O67" s="1425" t="s">
        <v>405</v>
      </c>
      <c r="P67" s="1416" t="s">
        <v>850</v>
      </c>
      <c r="Q67" s="1463">
        <f ca="1">L51</f>
        <v>-6243</v>
      </c>
      <c r="R67" s="1417" t="s">
        <v>870</v>
      </c>
    </row>
    <row r="68" spans="1:18" s="1381" customFormat="1" ht="16.5" thickBot="1">
      <c r="A68" s="946" t="s">
        <v>395</v>
      </c>
      <c r="B68" s="947" t="s">
        <v>774</v>
      </c>
      <c r="C68" s="301">
        <f ca="1">ROUND(C67*(1-((1+F70)/(1+F68))^F69)/(F68-F70),0)</f>
        <v>-990</v>
      </c>
      <c r="D68" s="964" t="s">
        <v>758</v>
      </c>
      <c r="E68" s="949" t="s">
        <v>759</v>
      </c>
      <c r="F68" s="312">
        <f ca="1">F40</f>
        <v>0.05</v>
      </c>
      <c r="O68" s="1425" t="s">
        <v>406</v>
      </c>
      <c r="P68" s="1464" t="s">
        <v>871</v>
      </c>
      <c r="Q68" s="1417">
        <f ca="1">ROUND(Q69-Q70*Q71,0)</f>
        <v>-316</v>
      </c>
      <c r="R68" s="1417" t="s">
        <v>414</v>
      </c>
    </row>
    <row r="69" spans="1:18" s="1381" customFormat="1" ht="13.5" thickBot="1">
      <c r="A69" s="950"/>
      <c r="B69" s="951"/>
      <c r="C69" s="306"/>
      <c r="D69" s="969" t="s">
        <v>762</v>
      </c>
      <c r="E69" s="949" t="s">
        <v>763</v>
      </c>
      <c r="F69" s="333">
        <f ca="1">F41</f>
        <v>37.39</v>
      </c>
      <c r="O69" s="1425" t="s">
        <v>411</v>
      </c>
      <c r="P69" s="1464" t="s">
        <v>872</v>
      </c>
      <c r="Q69" s="1417">
        <f ca="1">C39</f>
        <v>276</v>
      </c>
      <c r="R69" s="1417" t="s">
        <v>818</v>
      </c>
    </row>
    <row r="70" spans="1:18" s="1381" customFormat="1" ht="13.5" thickBot="1">
      <c r="A70" s="953"/>
      <c r="B70" s="954"/>
      <c r="C70" s="310"/>
      <c r="D70" s="965"/>
      <c r="E70" s="949" t="s">
        <v>766</v>
      </c>
      <c r="F70" s="1053"/>
      <c r="O70" s="1425" t="s">
        <v>412</v>
      </c>
      <c r="P70" s="1464" t="s">
        <v>873</v>
      </c>
      <c r="Q70" s="1417">
        <f ca="1">C13</f>
        <v>7892</v>
      </c>
      <c r="R70" s="1417" t="s">
        <v>818</v>
      </c>
    </row>
    <row r="71" spans="1:18" s="1381" customFormat="1" ht="13.5" thickBot="1">
      <c r="A71" s="970" t="s">
        <v>396</v>
      </c>
      <c r="B71" s="971" t="s">
        <v>776</v>
      </c>
      <c r="C71" s="336">
        <f ca="1">ROUND(C68*10000/F71,0)</f>
        <v>-480</v>
      </c>
      <c r="D71" s="972" t="s">
        <v>777</v>
      </c>
      <c r="E71" s="973" t="s">
        <v>778</v>
      </c>
      <c r="F71" s="339">
        <f ca="1">F43</f>
        <v>20632.660000000003</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592</v>
      </c>
      <c r="D75" s="1381"/>
      <c r="E75" s="1381"/>
      <c r="F75" s="1381"/>
      <c r="K75" s="1399"/>
      <c r="L75" s="1381"/>
      <c r="O75" s="1415" t="s">
        <v>409</v>
      </c>
      <c r="P75" s="1416" t="s">
        <v>838</v>
      </c>
      <c r="Q75" s="1417">
        <f ca="1">Q65+Q66</f>
        <v>6556</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-1.145</v>
      </c>
    </row>
    <row r="80" spans="1:18">
      <c r="B80" s="340" t="s">
        <v>800</v>
      </c>
      <c r="C80" s="274">
        <f ca="1">ROUND(C75/C39,3)</f>
        <v>2.145</v>
      </c>
    </row>
    <row r="81" spans="2:3">
      <c r="B81" s="270" t="s">
        <v>801</v>
      </c>
      <c r="C81" s="238"/>
    </row>
    <row r="82" spans="2:3">
      <c r="B82" s="273" t="s">
        <v>802</v>
      </c>
      <c r="C82" s="275">
        <f ca="1">1-C83</f>
        <v>-0.20399999999999996</v>
      </c>
    </row>
    <row r="83" spans="2:3">
      <c r="B83" s="273" t="s">
        <v>803</v>
      </c>
      <c r="C83" s="274">
        <f ca="1">ROUND(C13/C40,3)</f>
        <v>1.204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17"/>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18"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83656.070000000007</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60"/>
    </row>
    <row r="4" spans="1:29" ht="15">
      <c r="A4" s="355" t="s">
        <v>1666</v>
      </c>
      <c r="B4" s="356"/>
      <c r="C4" s="3677" t="s">
        <v>1667</v>
      </c>
      <c r="D4" s="3678"/>
      <c r="E4" s="3679" t="s">
        <v>1668</v>
      </c>
      <c r="F4" s="3680"/>
      <c r="G4" s="3677" t="s">
        <v>1669</v>
      </c>
      <c r="H4" s="3678"/>
      <c r="I4" s="3677" t="s">
        <v>1670</v>
      </c>
      <c r="J4" s="3678"/>
      <c r="K4" s="1886" t="s">
        <v>1671</v>
      </c>
      <c r="L4" s="2711"/>
      <c r="M4" s="2712"/>
      <c r="N4" s="2712"/>
      <c r="O4" s="2712"/>
      <c r="P4" s="3681" t="s">
        <v>1672</v>
      </c>
      <c r="Q4" s="3682"/>
      <c r="R4" s="3687" t="s">
        <v>1668</v>
      </c>
      <c r="S4" s="3688"/>
      <c r="T4" s="3687" t="s">
        <v>1669</v>
      </c>
      <c r="U4" s="3688"/>
      <c r="V4" s="3672" t="s">
        <v>1670</v>
      </c>
      <c r="W4" s="3672"/>
      <c r="X4" s="1353"/>
      <c r="Y4" s="3687" t="s">
        <v>1672</v>
      </c>
      <c r="Z4" s="3688"/>
      <c r="AA4" s="3674" t="s">
        <v>1668</v>
      </c>
      <c r="AB4" s="3674" t="s">
        <v>1669</v>
      </c>
      <c r="AC4" s="3674" t="s">
        <v>1670</v>
      </c>
    </row>
    <row r="5" spans="1:29" ht="15">
      <c r="A5" s="358"/>
      <c r="B5" s="359"/>
      <c r="C5" s="3695" t="s">
        <v>1673</v>
      </c>
      <c r="D5" s="3696"/>
      <c r="E5" s="3702" t="s">
        <v>1674</v>
      </c>
      <c r="F5" s="3703"/>
      <c r="G5" s="3695" t="s">
        <v>1675</v>
      </c>
      <c r="H5" s="3696"/>
      <c r="I5" s="3695" t="s">
        <v>1676</v>
      </c>
      <c r="J5" s="3696"/>
      <c r="K5" s="1887"/>
      <c r="L5" s="2711"/>
      <c r="M5" s="2712"/>
      <c r="N5" s="2712"/>
      <c r="O5" s="2712"/>
      <c r="P5" s="3683"/>
      <c r="Q5" s="3684"/>
      <c r="R5" s="3689"/>
      <c r="S5" s="3690"/>
      <c r="T5" s="3689"/>
      <c r="U5" s="3690"/>
      <c r="V5" s="3672"/>
      <c r="W5" s="3672"/>
      <c r="X5" s="1353"/>
      <c r="Y5" s="3689"/>
      <c r="Z5" s="3690"/>
      <c r="AA5" s="3675"/>
      <c r="AB5" s="3675"/>
      <c r="AC5" s="3675"/>
    </row>
    <row r="6" spans="1:29" ht="15.75" thickBot="1">
      <c r="A6" s="360"/>
      <c r="B6" s="361"/>
      <c r="C6" s="3693" t="s">
        <v>1677</v>
      </c>
      <c r="D6" s="3694"/>
      <c r="E6" s="3700" t="s">
        <v>1677</v>
      </c>
      <c r="F6" s="3701"/>
      <c r="G6" s="3693" t="s">
        <v>1677</v>
      </c>
      <c r="H6" s="3694"/>
      <c r="I6" s="3693" t="s">
        <v>1677</v>
      </c>
      <c r="J6" s="3694"/>
      <c r="K6" s="1887" t="s">
        <v>1678</v>
      </c>
      <c r="L6" s="2711"/>
      <c r="M6" s="2712"/>
      <c r="N6" s="2712"/>
      <c r="O6" s="2712"/>
      <c r="P6" s="3685"/>
      <c r="Q6" s="3686"/>
      <c r="R6" s="3689"/>
      <c r="S6" s="3690"/>
      <c r="T6" s="3691"/>
      <c r="U6" s="3692"/>
      <c r="V6" s="3672"/>
      <c r="W6" s="3672"/>
      <c r="X6" s="1353"/>
      <c r="Y6" s="3691"/>
      <c r="Z6" s="3692"/>
      <c r="AA6" s="3676"/>
      <c r="AB6" s="3676"/>
      <c r="AC6" s="3676"/>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73" t="s">
        <v>1686</v>
      </c>
      <c r="Q9" s="1341"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5"/>
      <c r="M10" s="2716"/>
      <c r="N10" s="2716"/>
      <c r="O10" s="2716"/>
      <c r="P10" s="3673"/>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3"/>
      <c r="Q11" s="1341" t="str">
        <f t="shared" si="6"/>
        <v>容积率</v>
      </c>
      <c r="R11" s="701" t="s">
        <v>18</v>
      </c>
      <c r="S11" s="702" t="e">
        <f t="shared" si="0"/>
        <v>#N/A</v>
      </c>
      <c r="T11" s="701" t="s">
        <v>18</v>
      </c>
      <c r="U11" s="702" t="e">
        <f t="shared" si="1"/>
        <v>#N/A</v>
      </c>
      <c r="V11" s="701" t="s">
        <v>18</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73"/>
      <c r="Q12" s="1341">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73"/>
      <c r="Q13" s="1341">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73"/>
      <c r="Q14" s="1341">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3" t="s">
        <v>1691</v>
      </c>
      <c r="Q15" s="1350" t="str">
        <f t="shared" si="6"/>
        <v>居住社区成熟度</v>
      </c>
      <c r="R15" s="705" t="s">
        <v>18</v>
      </c>
      <c r="S15" s="706">
        <f t="shared" si="0"/>
        <v>100</v>
      </c>
      <c r="T15" s="705" t="s">
        <v>18</v>
      </c>
      <c r="U15" s="706">
        <f t="shared" si="1"/>
        <v>100</v>
      </c>
      <c r="V15" s="705" t="s">
        <v>18</v>
      </c>
      <c r="W15" s="706">
        <f t="shared" si="2"/>
        <v>100</v>
      </c>
      <c r="X15" s="1353"/>
      <c r="Y15" s="3665" t="s">
        <v>1691</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8"/>
      <c r="M16" s="2712"/>
      <c r="N16" s="2712"/>
      <c r="O16" s="2712"/>
      <c r="P16" s="3664"/>
      <c r="Q16" s="1350"/>
      <c r="R16" s="705"/>
      <c r="S16" s="706"/>
      <c r="T16" s="705"/>
      <c r="U16" s="706"/>
      <c r="V16" s="705"/>
      <c r="W16" s="706"/>
      <c r="X16" s="1353"/>
      <c r="Y16" s="3666"/>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4"/>
      <c r="Q17" s="1350" t="str">
        <f>B17</f>
        <v>交通便捷度</v>
      </c>
      <c r="R17" s="705" t="s">
        <v>18</v>
      </c>
      <c r="S17" s="706">
        <f>F17</f>
        <v>100</v>
      </c>
      <c r="T17" s="705" t="s">
        <v>18</v>
      </c>
      <c r="U17" s="706">
        <f>H17</f>
        <v>100</v>
      </c>
      <c r="V17" s="705" t="s">
        <v>18</v>
      </c>
      <c r="W17" s="706">
        <f>J17</f>
        <v>100</v>
      </c>
      <c r="X17" s="1353"/>
      <c r="Y17" s="3666"/>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8"/>
      <c r="M18" s="2712"/>
      <c r="N18" s="2712"/>
      <c r="O18" s="2712"/>
      <c r="P18" s="3664"/>
      <c r="Q18" s="1350"/>
      <c r="R18" s="705"/>
      <c r="S18" s="706"/>
      <c r="T18" s="705"/>
      <c r="U18" s="706"/>
      <c r="V18" s="705"/>
      <c r="W18" s="706"/>
      <c r="X18" s="1353"/>
      <c r="Y18" s="3666"/>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4"/>
      <c r="Q19" s="1350" t="str">
        <f>B19</f>
        <v>公共配套设施</v>
      </c>
      <c r="R19" s="705" t="s">
        <v>18</v>
      </c>
      <c r="S19" s="706">
        <f>F19</f>
        <v>100</v>
      </c>
      <c r="T19" s="705" t="s">
        <v>18</v>
      </c>
      <c r="U19" s="706">
        <f>H19</f>
        <v>100</v>
      </c>
      <c r="V19" s="705" t="s">
        <v>18</v>
      </c>
      <c r="W19" s="706">
        <f>J19</f>
        <v>100</v>
      </c>
      <c r="X19" s="1353"/>
      <c r="Y19" s="3666"/>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8"/>
      <c r="M20" s="2712"/>
      <c r="N20" s="2712"/>
      <c r="O20" s="2712"/>
      <c r="P20" s="3664"/>
      <c r="Q20" s="1350"/>
      <c r="R20" s="705"/>
      <c r="S20" s="706"/>
      <c r="T20" s="705"/>
      <c r="U20" s="706"/>
      <c r="V20" s="705"/>
      <c r="W20" s="706"/>
      <c r="X20" s="1353"/>
      <c r="Y20" s="3666"/>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4"/>
      <c r="Q21" s="1350" t="str">
        <f>B21</f>
        <v>基础设施水平</v>
      </c>
      <c r="R21" s="705" t="s">
        <v>14</v>
      </c>
      <c r="S21" s="706">
        <f>F21</f>
        <v>100</v>
      </c>
      <c r="T21" s="705" t="s">
        <v>14</v>
      </c>
      <c r="U21" s="706">
        <f>H21</f>
        <v>100</v>
      </c>
      <c r="V21" s="705" t="s">
        <v>14</v>
      </c>
      <c r="W21" s="706">
        <f>J21</f>
        <v>100</v>
      </c>
      <c r="X21" s="1353"/>
      <c r="Y21" s="3666"/>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718"/>
      <c r="M22" s="2712"/>
      <c r="N22" s="2712"/>
      <c r="O22" s="2712"/>
      <c r="P22" s="3664"/>
      <c r="Q22" s="1350"/>
      <c r="R22" s="705"/>
      <c r="S22" s="706"/>
      <c r="T22" s="705"/>
      <c r="U22" s="706"/>
      <c r="V22" s="705"/>
      <c r="W22" s="706"/>
      <c r="X22" s="1353"/>
      <c r="Y22" s="3666"/>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4"/>
      <c r="Q23" s="1350" t="str">
        <f>B23</f>
        <v>自然及人文环境</v>
      </c>
      <c r="R23" s="705" t="s">
        <v>18</v>
      </c>
      <c r="S23" s="706">
        <f>F23</f>
        <v>100</v>
      </c>
      <c r="T23" s="705" t="s">
        <v>18</v>
      </c>
      <c r="U23" s="706">
        <f>H23</f>
        <v>100</v>
      </c>
      <c r="V23" s="705" t="s">
        <v>18</v>
      </c>
      <c r="W23" s="706">
        <f>J23</f>
        <v>100</v>
      </c>
      <c r="X23" s="1353"/>
      <c r="Y23" s="3666"/>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8"/>
      <c r="M24" s="2712"/>
      <c r="N24" s="2712"/>
      <c r="O24" s="2712"/>
      <c r="P24" s="3664"/>
      <c r="Q24" s="1350"/>
      <c r="R24" s="705"/>
      <c r="S24" s="706"/>
      <c r="T24" s="705"/>
      <c r="U24" s="706"/>
      <c r="V24" s="705"/>
      <c r="W24" s="706"/>
      <c r="X24" s="1353"/>
      <c r="Y24" s="3666"/>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664"/>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6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664"/>
      <c r="Q26" s="1350" t="str">
        <f t="shared" si="11"/>
        <v>朝向</v>
      </c>
      <c r="R26" s="705" t="s">
        <v>18</v>
      </c>
      <c r="S26" s="706">
        <f t="shared" si="12"/>
        <v>100</v>
      </c>
      <c r="T26" s="705" t="s">
        <v>18</v>
      </c>
      <c r="U26" s="706">
        <f t="shared" si="13"/>
        <v>100</v>
      </c>
      <c r="V26" s="705" t="s">
        <v>18</v>
      </c>
      <c r="W26" s="706">
        <f t="shared" si="14"/>
        <v>100</v>
      </c>
      <c r="X26" s="1353"/>
      <c r="Y26" s="3666"/>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664"/>
      <c r="Q27" s="1341">
        <f t="shared" si="11"/>
        <v>111</v>
      </c>
      <c r="R27" s="701" t="s">
        <v>18</v>
      </c>
      <c r="S27" s="702">
        <f t="shared" si="12"/>
        <v>100</v>
      </c>
      <c r="T27" s="701" t="s">
        <v>18</v>
      </c>
      <c r="U27" s="702">
        <f t="shared" si="13"/>
        <v>100</v>
      </c>
      <c r="V27" s="701" t="s">
        <v>18</v>
      </c>
      <c r="W27" s="702">
        <f t="shared" si="14"/>
        <v>100</v>
      </c>
      <c r="X27" s="703"/>
      <c r="Y27" s="3666"/>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664"/>
      <c r="Q28" s="1350">
        <f t="shared" si="11"/>
        <v>111</v>
      </c>
      <c r="R28" s="705" t="s">
        <v>18</v>
      </c>
      <c r="S28" s="706">
        <f t="shared" si="12"/>
        <v>100</v>
      </c>
      <c r="T28" s="705" t="s">
        <v>18</v>
      </c>
      <c r="U28" s="706">
        <f t="shared" si="13"/>
        <v>100</v>
      </c>
      <c r="V28" s="705" t="s">
        <v>18</v>
      </c>
      <c r="W28" s="706">
        <f t="shared" si="14"/>
        <v>100</v>
      </c>
      <c r="X28" s="1353"/>
      <c r="Y28" s="3666"/>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664"/>
      <c r="Q29" s="1350">
        <f t="shared" si="11"/>
        <v>111</v>
      </c>
      <c r="R29" s="705" t="s">
        <v>18</v>
      </c>
      <c r="S29" s="706">
        <f t="shared" si="12"/>
        <v>100</v>
      </c>
      <c r="T29" s="705" t="s">
        <v>18</v>
      </c>
      <c r="U29" s="706">
        <f t="shared" si="13"/>
        <v>100</v>
      </c>
      <c r="V29" s="705" t="s">
        <v>18</v>
      </c>
      <c r="W29" s="706">
        <f t="shared" si="14"/>
        <v>100</v>
      </c>
      <c r="X29" s="1353"/>
      <c r="Y29" s="3666"/>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664"/>
      <c r="Q30" s="1350">
        <f t="shared" si="11"/>
        <v>111</v>
      </c>
      <c r="R30" s="705" t="s">
        <v>18</v>
      </c>
      <c r="S30" s="706">
        <f t="shared" si="12"/>
        <v>100</v>
      </c>
      <c r="T30" s="705" t="s">
        <v>18</v>
      </c>
      <c r="U30" s="706">
        <f t="shared" si="13"/>
        <v>100</v>
      </c>
      <c r="V30" s="705" t="s">
        <v>18</v>
      </c>
      <c r="W30" s="706">
        <f t="shared" si="14"/>
        <v>100</v>
      </c>
      <c r="X30" s="1353"/>
      <c r="Y30" s="3666"/>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664"/>
      <c r="Q31" s="1350">
        <f t="shared" si="11"/>
        <v>111</v>
      </c>
      <c r="R31" s="705" t="s">
        <v>18</v>
      </c>
      <c r="S31" s="706">
        <f t="shared" si="12"/>
        <v>100</v>
      </c>
      <c r="T31" s="705" t="s">
        <v>18</v>
      </c>
      <c r="U31" s="706">
        <f t="shared" si="13"/>
        <v>100</v>
      </c>
      <c r="V31" s="705" t="s">
        <v>18</v>
      </c>
      <c r="W31" s="706">
        <f t="shared" si="14"/>
        <v>100</v>
      </c>
      <c r="X31" s="1353"/>
      <c r="Y31" s="3666"/>
      <c r="Z31" s="1354">
        <f t="shared" si="18"/>
        <v>111</v>
      </c>
      <c r="AA31" s="1351">
        <f t="shared" si="15"/>
        <v>1</v>
      </c>
      <c r="AB31" s="1351">
        <f t="shared" si="16"/>
        <v>1</v>
      </c>
      <c r="AC31" s="1351">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667" t="s">
        <v>1696</v>
      </c>
      <c r="Q32" s="1350" t="str">
        <f t="shared" si="11"/>
        <v>建筑类型</v>
      </c>
      <c r="R32" s="705" t="s">
        <v>18</v>
      </c>
      <c r="S32" s="706">
        <f t="shared" si="12"/>
        <v>100</v>
      </c>
      <c r="T32" s="705" t="s">
        <v>18</v>
      </c>
      <c r="U32" s="706">
        <f t="shared" si="13"/>
        <v>100</v>
      </c>
      <c r="V32" s="705" t="s">
        <v>18</v>
      </c>
      <c r="W32" s="706">
        <f t="shared" si="14"/>
        <v>100</v>
      </c>
      <c r="X32" s="1353"/>
      <c r="Y32" s="367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1" t="e">
        <f t="shared" si="15"/>
        <v>#N/A</v>
      </c>
      <c r="AB33" s="1351" t="e">
        <f t="shared" si="16"/>
        <v>#N/A</v>
      </c>
      <c r="AC33" s="1351"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668"/>
      <c r="Q34" s="1350" t="str">
        <f t="shared" si="11"/>
        <v>建筑结构</v>
      </c>
      <c r="R34" s="705" t="s">
        <v>18</v>
      </c>
      <c r="S34" s="706">
        <f t="shared" si="12"/>
        <v>100</v>
      </c>
      <c r="T34" s="705" t="s">
        <v>18</v>
      </c>
      <c r="U34" s="706">
        <f t="shared" si="13"/>
        <v>100</v>
      </c>
      <c r="V34" s="705" t="s">
        <v>18</v>
      </c>
      <c r="W34" s="706">
        <f t="shared" si="14"/>
        <v>100</v>
      </c>
      <c r="X34" s="1353"/>
      <c r="Y34" s="3670"/>
      <c r="Z34" s="1354" t="str">
        <f t="shared" si="18"/>
        <v>建筑结构</v>
      </c>
      <c r="AA34" s="1351">
        <f t="shared" si="15"/>
        <v>1</v>
      </c>
      <c r="AB34" s="1351">
        <f t="shared" si="16"/>
        <v>1</v>
      </c>
      <c r="AC34" s="1351">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668"/>
      <c r="Q35" s="1350" t="str">
        <f t="shared" si="11"/>
        <v>建筑品质</v>
      </c>
      <c r="R35" s="705" t="s">
        <v>18</v>
      </c>
      <c r="S35" s="706">
        <f t="shared" si="12"/>
        <v>100</v>
      </c>
      <c r="T35" s="705" t="s">
        <v>18</v>
      </c>
      <c r="U35" s="706">
        <f t="shared" si="13"/>
        <v>100</v>
      </c>
      <c r="V35" s="705" t="s">
        <v>18</v>
      </c>
      <c r="W35" s="706">
        <f t="shared" si="14"/>
        <v>100</v>
      </c>
      <c r="X35" s="1353"/>
      <c r="Y35" s="3670"/>
      <c r="Z35" s="1354" t="str">
        <f t="shared" si="18"/>
        <v>建筑品质</v>
      </c>
      <c r="AA35" s="1351">
        <f t="shared" si="15"/>
        <v>1</v>
      </c>
      <c r="AB35" s="1351">
        <f t="shared" si="16"/>
        <v>1</v>
      </c>
      <c r="AC35" s="1351">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668"/>
      <c r="Q36" s="1350" t="str">
        <f t="shared" si="11"/>
        <v>公共部分装修</v>
      </c>
      <c r="R36" s="705" t="s">
        <v>18</v>
      </c>
      <c r="S36" s="706">
        <f t="shared" si="12"/>
        <v>100</v>
      </c>
      <c r="T36" s="705" t="s">
        <v>18</v>
      </c>
      <c r="U36" s="706">
        <f t="shared" si="13"/>
        <v>100</v>
      </c>
      <c r="V36" s="705" t="s">
        <v>18</v>
      </c>
      <c r="W36" s="706">
        <f t="shared" si="14"/>
        <v>100</v>
      </c>
      <c r="X36" s="1353"/>
      <c r="Y36" s="367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68"/>
      <c r="Q37" s="1341"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668" t="s">
        <v>1696</v>
      </c>
      <c r="Q38" s="1350" t="str">
        <f t="shared" si="11"/>
        <v>物业管理</v>
      </c>
      <c r="R38" s="705" t="s">
        <v>18</v>
      </c>
      <c r="S38" s="706">
        <f t="shared" si="12"/>
        <v>100</v>
      </c>
      <c r="T38" s="705" t="s">
        <v>18</v>
      </c>
      <c r="U38" s="706">
        <f t="shared" si="13"/>
        <v>100</v>
      </c>
      <c r="V38" s="705" t="s">
        <v>18</v>
      </c>
      <c r="W38" s="706">
        <f t="shared" si="14"/>
        <v>100</v>
      </c>
      <c r="X38" s="1353"/>
      <c r="Y38" s="3670" t="s">
        <v>1696</v>
      </c>
      <c r="Z38" s="1354" t="str">
        <f t="shared" si="18"/>
        <v>物业管理</v>
      </c>
      <c r="AA38" s="1351">
        <f t="shared" si="15"/>
        <v>1</v>
      </c>
      <c r="AB38" s="1351">
        <f t="shared" si="16"/>
        <v>1</v>
      </c>
      <c r="AC38" s="1351">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668"/>
      <c r="Q39" s="1350" t="str">
        <f t="shared" si="11"/>
        <v>市政基础设施</v>
      </c>
      <c r="R39" s="705" t="s">
        <v>18</v>
      </c>
      <c r="S39" s="706">
        <f t="shared" si="12"/>
        <v>100</v>
      </c>
      <c r="T39" s="705" t="s">
        <v>18</v>
      </c>
      <c r="U39" s="706">
        <f t="shared" si="13"/>
        <v>100</v>
      </c>
      <c r="V39" s="705" t="s">
        <v>18</v>
      </c>
      <c r="W39" s="706">
        <f t="shared" si="14"/>
        <v>100</v>
      </c>
      <c r="X39" s="1353"/>
      <c r="Y39" s="3670"/>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668"/>
      <c r="Q40" s="1350" t="str">
        <f t="shared" si="11"/>
        <v>房型</v>
      </c>
      <c r="R40" s="705" t="s">
        <v>18</v>
      </c>
      <c r="S40" s="706">
        <f t="shared" si="12"/>
        <v>100</v>
      </c>
      <c r="T40" s="705" t="s">
        <v>18</v>
      </c>
      <c r="U40" s="706">
        <f t="shared" si="13"/>
        <v>100</v>
      </c>
      <c r="V40" s="705" t="s">
        <v>18</v>
      </c>
      <c r="W40" s="706">
        <f t="shared" si="14"/>
        <v>100</v>
      </c>
      <c r="X40" s="1353"/>
      <c r="Y40" s="367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1">
        <f t="shared" si="15"/>
        <v>1</v>
      </c>
      <c r="AB41" s="1351">
        <f t="shared" si="16"/>
        <v>1</v>
      </c>
      <c r="AC41" s="1351">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668"/>
      <c r="Q42" s="1350" t="str">
        <f t="shared" si="11"/>
        <v>内部装修</v>
      </c>
      <c r="R42" s="705" t="s">
        <v>18</v>
      </c>
      <c r="S42" s="706">
        <f t="shared" si="12"/>
        <v>100</v>
      </c>
      <c r="T42" s="705" t="s">
        <v>18</v>
      </c>
      <c r="U42" s="706">
        <f t="shared" si="13"/>
        <v>100</v>
      </c>
      <c r="V42" s="705" t="s">
        <v>18</v>
      </c>
      <c r="W42" s="706">
        <f t="shared" si="14"/>
        <v>100</v>
      </c>
      <c r="X42" s="1353"/>
      <c r="Y42" s="3670"/>
      <c r="Z42" s="1354" t="str">
        <f t="shared" si="18"/>
        <v>内部装修</v>
      </c>
      <c r="AA42" s="1351">
        <f t="shared" si="15"/>
        <v>1</v>
      </c>
      <c r="AB42" s="1351">
        <f t="shared" si="16"/>
        <v>1</v>
      </c>
      <c r="AC42" s="1351">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668"/>
      <c r="Q43" s="1350" t="str">
        <f t="shared" si="11"/>
        <v>内部装修维护情况</v>
      </c>
      <c r="R43" s="705" t="s">
        <v>18</v>
      </c>
      <c r="S43" s="706">
        <f t="shared" si="12"/>
        <v>100</v>
      </c>
      <c r="T43" s="705" t="s">
        <v>18</v>
      </c>
      <c r="U43" s="706">
        <f t="shared" si="13"/>
        <v>100</v>
      </c>
      <c r="V43" s="705" t="s">
        <v>18</v>
      </c>
      <c r="W43" s="706">
        <f t="shared" si="14"/>
        <v>100</v>
      </c>
      <c r="X43" s="1353"/>
      <c r="Y43" s="3670"/>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668"/>
      <c r="Q44" s="1341">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668"/>
      <c r="Q45" s="1350">
        <f t="shared" si="11"/>
        <v>111</v>
      </c>
      <c r="R45" s="705" t="s">
        <v>18</v>
      </c>
      <c r="S45" s="706">
        <f t="shared" si="12"/>
        <v>100</v>
      </c>
      <c r="T45" s="705" t="s">
        <v>18</v>
      </c>
      <c r="U45" s="706">
        <f t="shared" si="13"/>
        <v>100</v>
      </c>
      <c r="V45" s="705" t="s">
        <v>18</v>
      </c>
      <c r="W45" s="706">
        <f t="shared" si="14"/>
        <v>100</v>
      </c>
      <c r="X45" s="1353"/>
      <c r="Y45" s="3670"/>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669"/>
      <c r="Q46" s="1350">
        <f t="shared" si="11"/>
        <v>111</v>
      </c>
      <c r="R46" s="705" t="s">
        <v>17</v>
      </c>
      <c r="S46" s="706">
        <f t="shared" si="12"/>
        <v>100</v>
      </c>
      <c r="T46" s="705" t="s">
        <v>17</v>
      </c>
      <c r="U46" s="706">
        <f t="shared" si="13"/>
        <v>100</v>
      </c>
      <c r="V46" s="705" t="s">
        <v>17</v>
      </c>
      <c r="W46" s="706">
        <f t="shared" si="14"/>
        <v>100</v>
      </c>
      <c r="X46" s="1353"/>
      <c r="Y46" s="3671"/>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1"/>
      <c r="L47" s="2720"/>
      <c r="M47" s="2721"/>
      <c r="N47" s="2712"/>
      <c r="O47" s="2721"/>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59" t="e">
        <f>R49</f>
        <v>#DIV/0!</v>
      </c>
      <c r="D48" s="2313" t="s">
        <v>2137</v>
      </c>
      <c r="E48" s="1160" t="e">
        <f>R48</f>
        <v>#DIV/0!</v>
      </c>
      <c r="F48" s="2314"/>
      <c r="G48" s="1159" t="e">
        <f>T48</f>
        <v>#DIV/0!</v>
      </c>
      <c r="H48" s="2314"/>
      <c r="I48" s="1160" t="e">
        <f>V48</f>
        <v>#DIV/0!</v>
      </c>
      <c r="J48" s="2314"/>
      <c r="K48" s="2315">
        <f>F48+H48+J48</f>
        <v>0</v>
      </c>
      <c r="L48" s="2720"/>
      <c r="M48" s="2721"/>
      <c r="N48" s="2721"/>
      <c r="O48" s="272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20"/>
      <c r="M49" s="2721"/>
      <c r="N49" s="2721"/>
      <c r="O49" s="2721"/>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0"/>
      <c r="L57" s="941"/>
      <c r="M57" s="939"/>
      <c r="N57" s="939"/>
      <c r="O57" s="939"/>
      <c r="P57" s="1915"/>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83656.070000000007</v>
      </c>
      <c r="E3" s="1951"/>
      <c r="F3" s="908"/>
      <c r="G3" s="907"/>
      <c r="H3" s="907"/>
      <c r="I3" s="907"/>
      <c r="J3" s="907"/>
      <c r="K3" s="909"/>
      <c r="L3" s="2730"/>
      <c r="M3" s="2731"/>
      <c r="N3" s="2731"/>
      <c r="O3" s="2731"/>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762" t="s">
        <v>1775</v>
      </c>
      <c r="Q4" s="3763"/>
      <c r="R4" s="3766" t="s">
        <v>1771</v>
      </c>
      <c r="S4" s="3767"/>
      <c r="T4" s="3766" t="s">
        <v>1772</v>
      </c>
      <c r="U4" s="3767"/>
      <c r="V4" s="3768" t="s">
        <v>1773</v>
      </c>
      <c r="W4" s="3768"/>
      <c r="X4" s="1955"/>
      <c r="Y4" s="3766" t="s">
        <v>1775</v>
      </c>
      <c r="Z4" s="3767"/>
      <c r="AA4" s="3770" t="s">
        <v>1771</v>
      </c>
      <c r="AB4" s="3770" t="s">
        <v>1772</v>
      </c>
      <c r="AC4" s="3759" t="s">
        <v>1773</v>
      </c>
    </row>
    <row r="5" spans="1:29" ht="15">
      <c r="A5" s="358"/>
      <c r="B5" s="359"/>
      <c r="C5" s="3695" t="s">
        <v>1673</v>
      </c>
      <c r="D5" s="3696"/>
      <c r="E5" s="3702" t="s">
        <v>1674</v>
      </c>
      <c r="F5" s="3703"/>
      <c r="G5" s="3695" t="s">
        <v>1675</v>
      </c>
      <c r="H5" s="3696"/>
      <c r="I5" s="3695" t="s">
        <v>1676</v>
      </c>
      <c r="J5" s="3696"/>
      <c r="K5" s="559"/>
      <c r="L5" s="2711"/>
      <c r="M5" s="2712"/>
      <c r="N5" s="2712"/>
      <c r="O5" s="2712"/>
      <c r="P5" s="3764"/>
      <c r="Q5" s="3684"/>
      <c r="R5" s="3689"/>
      <c r="S5" s="3690"/>
      <c r="T5" s="3689"/>
      <c r="U5" s="3690"/>
      <c r="V5" s="3672"/>
      <c r="W5" s="3672"/>
      <c r="X5" s="1353"/>
      <c r="Y5" s="3689"/>
      <c r="Z5" s="3690"/>
      <c r="AA5" s="3675"/>
      <c r="AB5" s="3675"/>
      <c r="AC5" s="3760"/>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765"/>
      <c r="Q6" s="3686"/>
      <c r="R6" s="3689"/>
      <c r="S6" s="3690"/>
      <c r="T6" s="3691"/>
      <c r="U6" s="3692"/>
      <c r="V6" s="3672"/>
      <c r="W6" s="3672"/>
      <c r="X6" s="1353"/>
      <c r="Y6" s="3691"/>
      <c r="Z6" s="3692"/>
      <c r="AA6" s="3676"/>
      <c r="AB6" s="3676"/>
      <c r="AC6" s="3761"/>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9"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9"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3" t="s">
        <v>1686</v>
      </c>
      <c r="Q9" s="1341"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1956">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60"/>
      <c r="L10" s="2715"/>
      <c r="M10" s="2716"/>
      <c r="N10" s="2716"/>
      <c r="O10" s="2716"/>
      <c r="P10" s="3673"/>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3"/>
      <c r="Q11" s="1341"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73"/>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73"/>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73"/>
      <c r="Q14" s="1341">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63" t="s">
        <v>1691</v>
      </c>
      <c r="Q15" s="1350" t="str">
        <f t="shared" si="6"/>
        <v>办公集聚程度</v>
      </c>
      <c r="R15" s="705" t="s">
        <v>14</v>
      </c>
      <c r="S15" s="706">
        <f t="shared" si="0"/>
        <v>100</v>
      </c>
      <c r="T15" s="705" t="s">
        <v>14</v>
      </c>
      <c r="U15" s="706">
        <f t="shared" si="1"/>
        <v>100</v>
      </c>
      <c r="V15" s="705" t="s">
        <v>14</v>
      </c>
      <c r="W15" s="706">
        <f t="shared" si="2"/>
        <v>100</v>
      </c>
      <c r="X15" s="1353"/>
      <c r="Y15" s="3665" t="s">
        <v>1691</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718"/>
      <c r="M16" s="2712"/>
      <c r="N16" s="2712"/>
      <c r="O16" s="2712"/>
      <c r="P16" s="3664"/>
      <c r="Q16" s="1350"/>
      <c r="R16" s="705"/>
      <c r="S16" s="706"/>
      <c r="T16" s="705"/>
      <c r="U16" s="706"/>
      <c r="V16" s="705"/>
      <c r="W16" s="706"/>
      <c r="X16" s="1353"/>
      <c r="Y16" s="3666"/>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64"/>
      <c r="Q17" s="1350" t="str">
        <f>B17</f>
        <v>交通便捷度</v>
      </c>
      <c r="R17" s="705" t="s">
        <v>14</v>
      </c>
      <c r="S17" s="706">
        <f>F17</f>
        <v>100</v>
      </c>
      <c r="T17" s="705" t="s">
        <v>14</v>
      </c>
      <c r="U17" s="706">
        <f>H17</f>
        <v>100</v>
      </c>
      <c r="V17" s="705" t="s">
        <v>14</v>
      </c>
      <c r="W17" s="706">
        <f>J17</f>
        <v>100</v>
      </c>
      <c r="X17" s="1353"/>
      <c r="Y17" s="3666"/>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718"/>
      <c r="M18" s="2712"/>
      <c r="N18" s="2712"/>
      <c r="O18" s="2712"/>
      <c r="P18" s="3664"/>
      <c r="Q18" s="1350"/>
      <c r="R18" s="705"/>
      <c r="S18" s="706"/>
      <c r="T18" s="705"/>
      <c r="U18" s="706"/>
      <c r="V18" s="705"/>
      <c r="W18" s="706"/>
      <c r="X18" s="1353"/>
      <c r="Y18" s="3666"/>
      <c r="Z18" s="1354"/>
      <c r="AA18" s="1351">
        <v>1</v>
      </c>
      <c r="AB18" s="1351">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64"/>
      <c r="Q19" s="1350" t="str">
        <f>B19</f>
        <v>公共配套设施</v>
      </c>
      <c r="R19" s="705" t="s">
        <v>14</v>
      </c>
      <c r="S19" s="706">
        <f>F19</f>
        <v>100</v>
      </c>
      <c r="T19" s="705" t="s">
        <v>14</v>
      </c>
      <c r="U19" s="706">
        <f>H19</f>
        <v>100</v>
      </c>
      <c r="V19" s="705" t="s">
        <v>14</v>
      </c>
      <c r="W19" s="706">
        <f>J19</f>
        <v>100</v>
      </c>
      <c r="X19" s="1353"/>
      <c r="Y19" s="3666"/>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718"/>
      <c r="M20" s="2712"/>
      <c r="N20" s="2712"/>
      <c r="O20" s="2712"/>
      <c r="P20" s="3664"/>
      <c r="Q20" s="1350"/>
      <c r="R20" s="705"/>
      <c r="S20" s="706"/>
      <c r="T20" s="705"/>
      <c r="U20" s="706"/>
      <c r="V20" s="705"/>
      <c r="W20" s="706"/>
      <c r="X20" s="1353"/>
      <c r="Y20" s="3666"/>
      <c r="Z20" s="1354"/>
      <c r="AA20" s="1351">
        <v>1</v>
      </c>
      <c r="AB20" s="1351">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64"/>
      <c r="Q21" s="1350" t="str">
        <f>B21</f>
        <v>基础设施水平</v>
      </c>
      <c r="R21" s="705" t="s">
        <v>14</v>
      </c>
      <c r="S21" s="706">
        <f>F21</f>
        <v>100</v>
      </c>
      <c r="T21" s="705" t="s">
        <v>14</v>
      </c>
      <c r="U21" s="706">
        <f>H21</f>
        <v>100</v>
      </c>
      <c r="V21" s="705" t="s">
        <v>14</v>
      </c>
      <c r="W21" s="706">
        <f>J21</f>
        <v>100</v>
      </c>
      <c r="X21" s="1353"/>
      <c r="Y21" s="3666"/>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664"/>
      <c r="Q22" s="1350"/>
      <c r="R22" s="705"/>
      <c r="S22" s="706"/>
      <c r="T22" s="705"/>
      <c r="U22" s="706"/>
      <c r="V22" s="705"/>
      <c r="W22" s="706"/>
      <c r="X22" s="1353"/>
      <c r="Y22" s="3666"/>
      <c r="Z22" s="1354"/>
      <c r="AA22" s="1351">
        <v>1</v>
      </c>
      <c r="AB22" s="1351">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64"/>
      <c r="Q23" s="1350" t="str">
        <f>B23</f>
        <v>环境质量</v>
      </c>
      <c r="R23" s="705" t="s">
        <v>14</v>
      </c>
      <c r="S23" s="706">
        <f>F23</f>
        <v>100</v>
      </c>
      <c r="T23" s="705" t="s">
        <v>14</v>
      </c>
      <c r="U23" s="706">
        <f>H23</f>
        <v>100</v>
      </c>
      <c r="V23" s="705" t="s">
        <v>14</v>
      </c>
      <c r="W23" s="706">
        <f>J23</f>
        <v>100</v>
      </c>
      <c r="X23" s="1353"/>
      <c r="Y23" s="3666"/>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718"/>
      <c r="M24" s="2712"/>
      <c r="N24" s="2712"/>
      <c r="O24" s="2712"/>
      <c r="P24" s="3664"/>
      <c r="Q24" s="1350"/>
      <c r="R24" s="705"/>
      <c r="S24" s="706"/>
      <c r="T24" s="705"/>
      <c r="U24" s="706"/>
      <c r="V24" s="705"/>
      <c r="W24" s="706"/>
      <c r="X24" s="1353"/>
      <c r="Y24" s="3666"/>
      <c r="Z24" s="1354"/>
      <c r="AA24" s="1351">
        <v>1</v>
      </c>
      <c r="AB24" s="1351">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664"/>
      <c r="Q25" s="1350" t="str">
        <f>B25</f>
        <v>毗邻道路的类型与等级</v>
      </c>
      <c r="R25" s="705" t="s">
        <v>14</v>
      </c>
      <c r="S25" s="706">
        <f>F25</f>
        <v>100</v>
      </c>
      <c r="T25" s="705" t="s">
        <v>14</v>
      </c>
      <c r="U25" s="706">
        <f>H25</f>
        <v>100</v>
      </c>
      <c r="V25" s="705" t="s">
        <v>14</v>
      </c>
      <c r="W25" s="706">
        <f>J25</f>
        <v>100</v>
      </c>
      <c r="X25" s="1353"/>
      <c r="Y25" s="3666"/>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718"/>
      <c r="M26" s="2712"/>
      <c r="N26" s="2712"/>
      <c r="O26" s="2712"/>
      <c r="P26" s="3664"/>
      <c r="Q26" s="1350"/>
      <c r="R26" s="705"/>
      <c r="S26" s="706"/>
      <c r="T26" s="705"/>
      <c r="U26" s="706"/>
      <c r="V26" s="705"/>
      <c r="W26" s="706"/>
      <c r="X26" s="1353"/>
      <c r="Y26" s="3666"/>
      <c r="Z26" s="1354"/>
      <c r="AA26" s="1351">
        <v>1</v>
      </c>
      <c r="AB26" s="1351">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4"/>
      <c r="Q27" s="1350" t="str">
        <f t="shared" ref="Q27:Q47" si="11">B27</f>
        <v>楼层</v>
      </c>
      <c r="R27" s="705" t="s">
        <v>14</v>
      </c>
      <c r="S27" s="706">
        <f>F27</f>
        <v>100</v>
      </c>
      <c r="T27" s="705" t="s">
        <v>14</v>
      </c>
      <c r="U27" s="706">
        <f>H27</f>
        <v>100</v>
      </c>
      <c r="V27" s="705" t="s">
        <v>14</v>
      </c>
      <c r="W27" s="706">
        <f>J27</f>
        <v>100</v>
      </c>
      <c r="X27" s="1353"/>
      <c r="Y27" s="3666"/>
      <c r="Z27" s="1354" t="str">
        <f>Q27</f>
        <v>楼层</v>
      </c>
      <c r="AA27" s="1351">
        <f t="shared" si="3"/>
        <v>1</v>
      </c>
      <c r="AB27" s="1351">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64"/>
      <c r="Q28" s="1341" t="str">
        <f t="shared" si="11"/>
        <v>朝向</v>
      </c>
      <c r="R28" s="701" t="s">
        <v>14</v>
      </c>
      <c r="S28" s="702">
        <f>F28</f>
        <v>100</v>
      </c>
      <c r="T28" s="701" t="s">
        <v>14</v>
      </c>
      <c r="U28" s="702">
        <f>H28</f>
        <v>100</v>
      </c>
      <c r="V28" s="701" t="s">
        <v>14</v>
      </c>
      <c r="W28" s="702">
        <f>J28</f>
        <v>100</v>
      </c>
      <c r="X28" s="703"/>
      <c r="Y28" s="3666"/>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64"/>
      <c r="Q29" s="1350">
        <f t="shared" si="11"/>
        <v>111</v>
      </c>
      <c r="R29" s="705" t="s">
        <v>14</v>
      </c>
      <c r="S29" s="706">
        <f t="shared" ref="S29:S47" si="12">F29</f>
        <v>100</v>
      </c>
      <c r="T29" s="705" t="s">
        <v>14</v>
      </c>
      <c r="U29" s="706">
        <f t="shared" ref="U29:U47" si="13">H29</f>
        <v>100</v>
      </c>
      <c r="V29" s="705" t="s">
        <v>14</v>
      </c>
      <c r="W29" s="706">
        <f t="shared" ref="W29:W47" si="14">J29</f>
        <v>100</v>
      </c>
      <c r="X29" s="1353"/>
      <c r="Y29" s="3666"/>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64"/>
      <c r="Q30" s="1350">
        <f t="shared" si="11"/>
        <v>111</v>
      </c>
      <c r="R30" s="705" t="s">
        <v>14</v>
      </c>
      <c r="S30" s="706">
        <f t="shared" si="12"/>
        <v>100</v>
      </c>
      <c r="T30" s="705" t="s">
        <v>14</v>
      </c>
      <c r="U30" s="706">
        <f t="shared" si="13"/>
        <v>100</v>
      </c>
      <c r="V30" s="705" t="s">
        <v>14</v>
      </c>
      <c r="W30" s="706">
        <f t="shared" si="14"/>
        <v>100</v>
      </c>
      <c r="X30" s="1353"/>
      <c r="Y30" s="3666"/>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64"/>
      <c r="Q31" s="1350">
        <f t="shared" si="11"/>
        <v>111</v>
      </c>
      <c r="R31" s="705" t="s">
        <v>14</v>
      </c>
      <c r="S31" s="706">
        <f t="shared" si="12"/>
        <v>100</v>
      </c>
      <c r="T31" s="705" t="s">
        <v>14</v>
      </c>
      <c r="U31" s="706">
        <f t="shared" si="13"/>
        <v>100</v>
      </c>
      <c r="V31" s="705" t="s">
        <v>14</v>
      </c>
      <c r="W31" s="706">
        <f t="shared" si="14"/>
        <v>100</v>
      </c>
      <c r="X31" s="1353"/>
      <c r="Y31" s="3666"/>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64"/>
      <c r="Q32" s="1350">
        <f t="shared" si="11"/>
        <v>111</v>
      </c>
      <c r="R32" s="705" t="s">
        <v>14</v>
      </c>
      <c r="S32" s="706">
        <f t="shared" si="12"/>
        <v>100</v>
      </c>
      <c r="T32" s="705" t="s">
        <v>14</v>
      </c>
      <c r="U32" s="706">
        <f t="shared" si="13"/>
        <v>100</v>
      </c>
      <c r="V32" s="705" t="s">
        <v>14</v>
      </c>
      <c r="W32" s="706">
        <f t="shared" si="14"/>
        <v>100</v>
      </c>
      <c r="X32" s="1353"/>
      <c r="Y32" s="3666"/>
      <c r="Z32" s="1354">
        <f t="shared" si="15"/>
        <v>111</v>
      </c>
      <c r="AA32" s="1351">
        <f t="shared" si="3"/>
        <v>1</v>
      </c>
      <c r="AB32" s="1351">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67" t="s">
        <v>1696</v>
      </c>
      <c r="Q33" s="1350" t="str">
        <f t="shared" si="11"/>
        <v>建筑类型</v>
      </c>
      <c r="R33" s="705" t="s">
        <v>14</v>
      </c>
      <c r="S33" s="706">
        <f t="shared" si="12"/>
        <v>100</v>
      </c>
      <c r="T33" s="705" t="s">
        <v>14</v>
      </c>
      <c r="U33" s="706">
        <f t="shared" si="13"/>
        <v>100</v>
      </c>
      <c r="V33" s="705" t="s">
        <v>14</v>
      </c>
      <c r="W33" s="706">
        <f t="shared" si="14"/>
        <v>100</v>
      </c>
      <c r="X33" s="1353"/>
      <c r="Y33" s="3670" t="s">
        <v>1696</v>
      </c>
      <c r="Z33" s="1354" t="str">
        <f t="shared" si="15"/>
        <v>建筑类型</v>
      </c>
      <c r="AA33" s="1351">
        <f t="shared" si="3"/>
        <v>1</v>
      </c>
      <c r="AB33" s="1351">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1" t="e">
        <f t="shared" si="3"/>
        <v>#N/A</v>
      </c>
      <c r="AB34" s="1351"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8"/>
      <c r="Q35" s="1350" t="str">
        <f t="shared" si="11"/>
        <v>建筑结构</v>
      </c>
      <c r="R35" s="705" t="s">
        <v>14</v>
      </c>
      <c r="S35" s="706">
        <f t="shared" si="12"/>
        <v>100</v>
      </c>
      <c r="T35" s="705" t="s">
        <v>14</v>
      </c>
      <c r="U35" s="706">
        <f t="shared" si="13"/>
        <v>100</v>
      </c>
      <c r="V35" s="705" t="s">
        <v>14</v>
      </c>
      <c r="W35" s="706">
        <f t="shared" si="14"/>
        <v>100</v>
      </c>
      <c r="X35" s="1353"/>
      <c r="Y35" s="3670"/>
      <c r="Z35" s="1354" t="str">
        <f t="shared" si="15"/>
        <v>建筑结构</v>
      </c>
      <c r="AA35" s="1351">
        <f t="shared" si="3"/>
        <v>1</v>
      </c>
      <c r="AB35" s="1351">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8"/>
      <c r="Q36" s="1350" t="str">
        <f t="shared" si="11"/>
        <v>公共部分装修</v>
      </c>
      <c r="R36" s="705" t="s">
        <v>14</v>
      </c>
      <c r="S36" s="706">
        <f t="shared" si="12"/>
        <v>100</v>
      </c>
      <c r="T36" s="705" t="s">
        <v>14</v>
      </c>
      <c r="U36" s="706">
        <f t="shared" si="13"/>
        <v>100</v>
      </c>
      <c r="V36" s="705" t="s">
        <v>14</v>
      </c>
      <c r="W36" s="706">
        <f t="shared" si="14"/>
        <v>100</v>
      </c>
      <c r="X36" s="1353"/>
      <c r="Y36" s="3670"/>
      <c r="Z36" s="1354" t="str">
        <f t="shared" si="15"/>
        <v>公共部分装修</v>
      </c>
      <c r="AA36" s="1351">
        <f t="shared" si="3"/>
        <v>1</v>
      </c>
      <c r="AB36" s="1351">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8"/>
      <c r="Q37" s="1350" t="str">
        <f t="shared" si="11"/>
        <v>成新度</v>
      </c>
      <c r="R37" s="705" t="s">
        <v>14</v>
      </c>
      <c r="S37" s="706" t="e">
        <f t="shared" si="12"/>
        <v>#N/A</v>
      </c>
      <c r="T37" s="705" t="s">
        <v>14</v>
      </c>
      <c r="U37" s="706" t="e">
        <f t="shared" si="13"/>
        <v>#N/A</v>
      </c>
      <c r="V37" s="705" t="s">
        <v>14</v>
      </c>
      <c r="W37" s="706" t="e">
        <f t="shared" si="14"/>
        <v>#N/A</v>
      </c>
      <c r="X37" s="1353"/>
      <c r="Y37" s="3670"/>
      <c r="Z37" s="1354" t="str">
        <f t="shared" si="15"/>
        <v>成新度</v>
      </c>
      <c r="AA37" s="1351" t="e">
        <f t="shared" si="3"/>
        <v>#N/A</v>
      </c>
      <c r="AB37" s="1351"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8"/>
      <c r="Q38" s="1341"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8" t="s">
        <v>1696</v>
      </c>
      <c r="Q39" s="1350" t="str">
        <f t="shared" si="11"/>
        <v>物业管理</v>
      </c>
      <c r="R39" s="705" t="s">
        <v>14</v>
      </c>
      <c r="S39" s="706">
        <f t="shared" si="12"/>
        <v>100</v>
      </c>
      <c r="T39" s="705" t="s">
        <v>14</v>
      </c>
      <c r="U39" s="706">
        <f t="shared" si="13"/>
        <v>100</v>
      </c>
      <c r="V39" s="705" t="s">
        <v>14</v>
      </c>
      <c r="W39" s="706">
        <f t="shared" si="14"/>
        <v>100</v>
      </c>
      <c r="X39" s="1353"/>
      <c r="Y39" s="3670" t="s">
        <v>1696</v>
      </c>
      <c r="Z39" s="1354" t="str">
        <f t="shared" si="15"/>
        <v>物业管理</v>
      </c>
      <c r="AA39" s="1351">
        <f t="shared" si="3"/>
        <v>1</v>
      </c>
      <c r="AB39" s="1351">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8"/>
      <c r="Q40" s="1350" t="str">
        <f t="shared" si="11"/>
        <v>市政基础设施</v>
      </c>
      <c r="R40" s="705" t="s">
        <v>14</v>
      </c>
      <c r="S40" s="706">
        <f t="shared" si="12"/>
        <v>100</v>
      </c>
      <c r="T40" s="705" t="s">
        <v>14</v>
      </c>
      <c r="U40" s="706">
        <f t="shared" si="13"/>
        <v>100</v>
      </c>
      <c r="V40" s="705" t="s">
        <v>14</v>
      </c>
      <c r="W40" s="706">
        <f t="shared" si="14"/>
        <v>100</v>
      </c>
      <c r="X40" s="1353"/>
      <c r="Y40" s="3670"/>
      <c r="Z40" s="1354" t="str">
        <f t="shared" si="15"/>
        <v>市政基础设施</v>
      </c>
      <c r="AA40" s="1351">
        <f t="shared" si="3"/>
        <v>1</v>
      </c>
      <c r="AB40" s="1351">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8"/>
      <c r="Q41" s="1350" t="str">
        <f t="shared" si="11"/>
        <v>层高</v>
      </c>
      <c r="R41" s="705" t="s">
        <v>14</v>
      </c>
      <c r="S41" s="706">
        <f t="shared" si="12"/>
        <v>100</v>
      </c>
      <c r="T41" s="705" t="s">
        <v>14</v>
      </c>
      <c r="U41" s="706">
        <f t="shared" si="13"/>
        <v>100</v>
      </c>
      <c r="V41" s="705" t="s">
        <v>14</v>
      </c>
      <c r="W41" s="706">
        <f t="shared" si="14"/>
        <v>100</v>
      </c>
      <c r="X41" s="1353"/>
      <c r="Y41" s="3670"/>
      <c r="Z41" s="1354" t="str">
        <f t="shared" si="15"/>
        <v>层高</v>
      </c>
      <c r="AA41" s="1351">
        <f t="shared" si="3"/>
        <v>1</v>
      </c>
      <c r="AB41" s="1351">
        <f t="shared" si="4"/>
        <v>1</v>
      </c>
      <c r="AC41" s="1959">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1">
        <f t="shared" si="3"/>
        <v>1</v>
      </c>
      <c r="AB42" s="1351">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8"/>
      <c r="Q43" s="1350" t="str">
        <f t="shared" si="11"/>
        <v>内部装修</v>
      </c>
      <c r="R43" s="705" t="s">
        <v>14</v>
      </c>
      <c r="S43" s="706">
        <f t="shared" si="12"/>
        <v>100</v>
      </c>
      <c r="T43" s="705" t="s">
        <v>14</v>
      </c>
      <c r="U43" s="706">
        <f t="shared" si="13"/>
        <v>100</v>
      </c>
      <c r="V43" s="705" t="s">
        <v>14</v>
      </c>
      <c r="W43" s="706">
        <f t="shared" si="14"/>
        <v>100</v>
      </c>
      <c r="X43" s="1353"/>
      <c r="Y43" s="3670"/>
      <c r="Z43" s="1354" t="str">
        <f t="shared" si="15"/>
        <v>内部装修</v>
      </c>
      <c r="AA43" s="1351">
        <f t="shared" si="3"/>
        <v>1</v>
      </c>
      <c r="AB43" s="1351">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668"/>
      <c r="Q44" s="1350" t="str">
        <f t="shared" si="11"/>
        <v>内部装修维护情况</v>
      </c>
      <c r="R44" s="705" t="s">
        <v>14</v>
      </c>
      <c r="S44" s="706">
        <f t="shared" si="12"/>
        <v>100</v>
      </c>
      <c r="T44" s="705" t="s">
        <v>14</v>
      </c>
      <c r="U44" s="706">
        <f t="shared" si="13"/>
        <v>100</v>
      </c>
      <c r="V44" s="705" t="s">
        <v>14</v>
      </c>
      <c r="W44" s="706">
        <f t="shared" si="14"/>
        <v>100</v>
      </c>
      <c r="X44" s="1353"/>
      <c r="Y44" s="3670"/>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8"/>
      <c r="Q45" s="1341">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8"/>
      <c r="Q46" s="1350">
        <f t="shared" si="11"/>
        <v>111</v>
      </c>
      <c r="R46" s="705" t="s">
        <v>14</v>
      </c>
      <c r="S46" s="706">
        <f t="shared" si="12"/>
        <v>100</v>
      </c>
      <c r="T46" s="705" t="s">
        <v>14</v>
      </c>
      <c r="U46" s="706">
        <f t="shared" si="13"/>
        <v>100</v>
      </c>
      <c r="V46" s="705" t="s">
        <v>14</v>
      </c>
      <c r="W46" s="706">
        <f t="shared" si="14"/>
        <v>100</v>
      </c>
      <c r="X46" s="1353"/>
      <c r="Y46" s="3670"/>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9"/>
      <c r="Q47" s="1350">
        <f t="shared" si="11"/>
        <v>111</v>
      </c>
      <c r="R47" s="705" t="s">
        <v>14</v>
      </c>
      <c r="S47" s="706">
        <f t="shared" si="12"/>
        <v>100</v>
      </c>
      <c r="T47" s="705" t="s">
        <v>14</v>
      </c>
      <c r="U47" s="706">
        <f t="shared" si="13"/>
        <v>100</v>
      </c>
      <c r="V47" s="705" t="s">
        <v>14</v>
      </c>
      <c r="W47" s="706">
        <f t="shared" si="14"/>
        <v>100</v>
      </c>
      <c r="X47" s="1353"/>
      <c r="Y47" s="3671"/>
      <c r="Z47" s="1354">
        <f t="shared" si="15"/>
        <v>111</v>
      </c>
      <c r="AA47" s="1351">
        <f t="shared" si="3"/>
        <v>1</v>
      </c>
      <c r="AB47" s="1351">
        <f t="shared" si="4"/>
        <v>1</v>
      </c>
      <c r="AC47" s="1959">
        <f t="shared" si="5"/>
        <v>1</v>
      </c>
    </row>
    <row r="48" spans="1:29" ht="15">
      <c r="A48" s="430" t="s">
        <v>1708</v>
      </c>
      <c r="B48" s="431"/>
      <c r="C48" s="1153" t="s">
        <v>0</v>
      </c>
      <c r="D48" s="1154"/>
      <c r="E48" s="1155"/>
      <c r="F48" s="1156"/>
      <c r="G48" s="1157"/>
      <c r="H48" s="1158"/>
      <c r="I48" s="1155"/>
      <c r="J48" s="436"/>
      <c r="K48" s="714"/>
      <c r="L48" s="2720"/>
      <c r="M48" s="2712"/>
      <c r="N48" s="2712"/>
      <c r="O48" s="2712"/>
      <c r="P48" s="3673"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59" t="e">
        <f>R50</f>
        <v>#DIV/0!</v>
      </c>
      <c r="D49" s="2313" t="s">
        <v>2137</v>
      </c>
      <c r="E49" s="1160" t="e">
        <f>R49</f>
        <v>#DIV/0!</v>
      </c>
      <c r="F49" s="2314"/>
      <c r="G49" s="1159" t="e">
        <f>T49</f>
        <v>#DIV/0!</v>
      </c>
      <c r="H49" s="2314"/>
      <c r="I49" s="1160" t="e">
        <f>V49</f>
        <v>#DIV/0!</v>
      </c>
      <c r="J49" s="2314"/>
      <c r="K49" s="2316">
        <f>F49+H49+J49</f>
        <v>0</v>
      </c>
      <c r="L49" s="2720"/>
      <c r="M49" s="2712"/>
      <c r="N49" s="2712"/>
      <c r="O49" s="2712"/>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0"/>
      <c r="M50" s="2712"/>
      <c r="N50" s="2712"/>
      <c r="O50" s="2712"/>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2"/>
      <c r="M4" s="913"/>
      <c r="N4" s="913"/>
      <c r="O4" s="913"/>
      <c r="P4" s="3681" t="s">
        <v>1775</v>
      </c>
      <c r="Q4" s="3682"/>
      <c r="R4" s="3687" t="s">
        <v>1771</v>
      </c>
      <c r="S4" s="3688"/>
      <c r="T4" s="3687" t="s">
        <v>1772</v>
      </c>
      <c r="U4" s="3688"/>
      <c r="V4" s="3672" t="s">
        <v>1773</v>
      </c>
      <c r="W4" s="3672"/>
      <c r="X4" s="1353"/>
      <c r="Y4" s="3687" t="s">
        <v>1775</v>
      </c>
      <c r="Z4" s="3688"/>
      <c r="AA4" s="3674" t="s">
        <v>1771</v>
      </c>
      <c r="AB4" s="3675" t="s">
        <v>1772</v>
      </c>
      <c r="AC4" s="3674" t="s">
        <v>1773</v>
      </c>
    </row>
    <row r="5" spans="1:29" ht="15">
      <c r="A5" s="358"/>
      <c r="B5" s="359"/>
      <c r="C5" s="3695" t="s">
        <v>1673</v>
      </c>
      <c r="D5" s="3696"/>
      <c r="E5" s="3702" t="s">
        <v>1674</v>
      </c>
      <c r="F5" s="3703"/>
      <c r="G5" s="3695" t="s">
        <v>1675</v>
      </c>
      <c r="H5" s="3696"/>
      <c r="I5" s="3695" t="s">
        <v>1676</v>
      </c>
      <c r="J5" s="3696"/>
      <c r="K5" s="559"/>
      <c r="L5" s="912"/>
      <c r="M5" s="913"/>
      <c r="N5" s="913"/>
      <c r="O5" s="913"/>
      <c r="P5" s="3683"/>
      <c r="Q5" s="3684"/>
      <c r="R5" s="3689"/>
      <c r="S5" s="3690"/>
      <c r="T5" s="3689"/>
      <c r="U5" s="3690"/>
      <c r="V5" s="3672"/>
      <c r="W5" s="3672"/>
      <c r="X5" s="1353"/>
      <c r="Y5" s="3689"/>
      <c r="Z5" s="3690"/>
      <c r="AA5" s="3675"/>
      <c r="AB5" s="3675"/>
      <c r="AC5" s="3675"/>
    </row>
    <row r="6" spans="1:29" ht="15.75" thickBot="1">
      <c r="A6" s="360"/>
      <c r="B6" s="361"/>
      <c r="C6" s="3693" t="s">
        <v>1677</v>
      </c>
      <c r="D6" s="3694"/>
      <c r="E6" s="3700" t="s">
        <v>1677</v>
      </c>
      <c r="F6" s="3701"/>
      <c r="G6" s="3693" t="s">
        <v>1677</v>
      </c>
      <c r="H6" s="3694"/>
      <c r="I6" s="3693" t="s">
        <v>1677</v>
      </c>
      <c r="J6" s="3694"/>
      <c r="K6" s="559" t="s">
        <v>1678</v>
      </c>
      <c r="L6" s="912"/>
      <c r="M6" s="913"/>
      <c r="N6" s="913"/>
      <c r="O6" s="913"/>
      <c r="P6" s="3685"/>
      <c r="Q6" s="3686"/>
      <c r="R6" s="3689"/>
      <c r="S6" s="3690"/>
      <c r="T6" s="3691"/>
      <c r="U6" s="3692"/>
      <c r="V6" s="3672"/>
      <c r="W6" s="3672"/>
      <c r="X6" s="1353"/>
      <c r="Y6" s="3691"/>
      <c r="Z6" s="3692"/>
      <c r="AA6" s="3676"/>
      <c r="AB6" s="3676"/>
      <c r="AC6" s="3676"/>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4"/>
      <c r="M7" s="915"/>
      <c r="N7" s="915"/>
      <c r="O7" s="915"/>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8" t="s">
        <v>1686</v>
      </c>
      <c r="Q9" s="1341"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60"/>
      <c r="L10" s="917"/>
      <c r="M10" s="918"/>
      <c r="N10" s="918"/>
      <c r="O10" s="919"/>
      <c r="P10" s="3658"/>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8"/>
      <c r="Q11" s="1341"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58"/>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58"/>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58"/>
      <c r="Q14" s="1341">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5" t="s">
        <v>1691</v>
      </c>
      <c r="Q15" s="1350" t="str">
        <f t="shared" si="6"/>
        <v>产业集聚程度</v>
      </c>
      <c r="R15" s="705" t="s">
        <v>14</v>
      </c>
      <c r="S15" s="706">
        <f t="shared" si="0"/>
        <v>100</v>
      </c>
      <c r="T15" s="705" t="s">
        <v>14</v>
      </c>
      <c r="U15" s="706">
        <f t="shared" si="1"/>
        <v>100</v>
      </c>
      <c r="V15" s="705" t="s">
        <v>14</v>
      </c>
      <c r="W15" s="706">
        <f t="shared" si="2"/>
        <v>100</v>
      </c>
      <c r="X15" s="1353"/>
      <c r="Y15" s="366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66"/>
      <c r="Q16" s="1350"/>
      <c r="R16" s="705"/>
      <c r="S16" s="706"/>
      <c r="T16" s="705"/>
      <c r="U16" s="706"/>
      <c r="V16" s="705"/>
      <c r="W16" s="706"/>
      <c r="X16" s="1353"/>
      <c r="Y16" s="3666"/>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6"/>
      <c r="Q17" s="1350" t="str">
        <f>B17</f>
        <v>交通便捷度</v>
      </c>
      <c r="R17" s="705" t="s">
        <v>14</v>
      </c>
      <c r="S17" s="706">
        <f>F17</f>
        <v>100</v>
      </c>
      <c r="T17" s="705" t="s">
        <v>14</v>
      </c>
      <c r="U17" s="706">
        <f>H17</f>
        <v>100</v>
      </c>
      <c r="V17" s="705" t="s">
        <v>14</v>
      </c>
      <c r="W17" s="706">
        <f>J17</f>
        <v>100</v>
      </c>
      <c r="X17" s="1353"/>
      <c r="Y17" s="3666"/>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66"/>
      <c r="Q18" s="1350"/>
      <c r="R18" s="705"/>
      <c r="S18" s="706"/>
      <c r="T18" s="705"/>
      <c r="U18" s="706"/>
      <c r="V18" s="705"/>
      <c r="W18" s="706"/>
      <c r="X18" s="1353"/>
      <c r="Y18" s="3666"/>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6"/>
      <c r="Q19" s="1350" t="str">
        <f>B19</f>
        <v>公共配套设施</v>
      </c>
      <c r="R19" s="705" t="s">
        <v>14</v>
      </c>
      <c r="S19" s="706">
        <f>F19</f>
        <v>100</v>
      </c>
      <c r="T19" s="705" t="s">
        <v>14</v>
      </c>
      <c r="U19" s="706">
        <f>H19</f>
        <v>100</v>
      </c>
      <c r="V19" s="705" t="s">
        <v>14</v>
      </c>
      <c r="W19" s="706">
        <f>J19</f>
        <v>100</v>
      </c>
      <c r="X19" s="1353"/>
      <c r="Y19" s="3666"/>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66"/>
      <c r="Q20" s="1350"/>
      <c r="R20" s="705"/>
      <c r="S20" s="706"/>
      <c r="T20" s="705"/>
      <c r="U20" s="706"/>
      <c r="V20" s="705"/>
      <c r="W20" s="706"/>
      <c r="X20" s="1353"/>
      <c r="Y20" s="3666"/>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6"/>
      <c r="Q21" s="1350" t="str">
        <f>B21</f>
        <v>基础设施水平</v>
      </c>
      <c r="R21" s="705" t="s">
        <v>14</v>
      </c>
      <c r="S21" s="706">
        <f>F21</f>
        <v>100</v>
      </c>
      <c r="T21" s="705" t="s">
        <v>14</v>
      </c>
      <c r="U21" s="706">
        <f>H21</f>
        <v>100</v>
      </c>
      <c r="V21" s="705" t="s">
        <v>14</v>
      </c>
      <c r="W21" s="706">
        <f>J21</f>
        <v>100</v>
      </c>
      <c r="X21" s="1353"/>
      <c r="Y21" s="3666"/>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66"/>
      <c r="Q22" s="1350"/>
      <c r="R22" s="705"/>
      <c r="S22" s="706"/>
      <c r="T22" s="705"/>
      <c r="U22" s="706"/>
      <c r="V22" s="705"/>
      <c r="W22" s="706"/>
      <c r="X22" s="1353"/>
      <c r="Y22" s="3666"/>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6"/>
      <c r="Q23" s="1350" t="str">
        <f>B23</f>
        <v>环境质量</v>
      </c>
      <c r="R23" s="705" t="s">
        <v>14</v>
      </c>
      <c r="S23" s="706">
        <f>F23</f>
        <v>100</v>
      </c>
      <c r="T23" s="705" t="s">
        <v>14</v>
      </c>
      <c r="U23" s="706">
        <f>H23</f>
        <v>100</v>
      </c>
      <c r="V23" s="705" t="s">
        <v>14</v>
      </c>
      <c r="W23" s="706">
        <f>J23</f>
        <v>100</v>
      </c>
      <c r="X23" s="1353"/>
      <c r="Y23" s="3666"/>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66"/>
      <c r="Q24" s="1350"/>
      <c r="R24" s="705"/>
      <c r="S24" s="706"/>
      <c r="T24" s="705"/>
      <c r="U24" s="706"/>
      <c r="V24" s="705"/>
      <c r="W24" s="706"/>
      <c r="X24" s="1353"/>
      <c r="Y24" s="3666"/>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6"/>
      <c r="Q25" s="1350">
        <f>B25</f>
        <v>111</v>
      </c>
      <c r="R25" s="705" t="s">
        <v>14</v>
      </c>
      <c r="S25" s="706">
        <f>F25</f>
        <v>100</v>
      </c>
      <c r="T25" s="705" t="s">
        <v>14</v>
      </c>
      <c r="U25" s="706">
        <f>H25</f>
        <v>100</v>
      </c>
      <c r="V25" s="705" t="s">
        <v>14</v>
      </c>
      <c r="W25" s="706">
        <f>J25</f>
        <v>100</v>
      </c>
      <c r="X25" s="1353"/>
      <c r="Y25" s="3666"/>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6"/>
      <c r="Q26" s="1350">
        <f t="shared" ref="Q26:Q40" si="11">B26</f>
        <v>111</v>
      </c>
      <c r="R26" s="705" t="s">
        <v>14</v>
      </c>
      <c r="S26" s="706">
        <f>F26</f>
        <v>100</v>
      </c>
      <c r="T26" s="705" t="s">
        <v>14</v>
      </c>
      <c r="U26" s="706">
        <f>H26</f>
        <v>100</v>
      </c>
      <c r="V26" s="705" t="s">
        <v>14</v>
      </c>
      <c r="W26" s="706">
        <f>J26</f>
        <v>100</v>
      </c>
      <c r="X26" s="1353"/>
      <c r="Y26" s="3666"/>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6"/>
      <c r="Q27" s="1341">
        <f t="shared" si="11"/>
        <v>111</v>
      </c>
      <c r="R27" s="701" t="s">
        <v>14</v>
      </c>
      <c r="S27" s="702">
        <f>F27</f>
        <v>100</v>
      </c>
      <c r="T27" s="701" t="s">
        <v>14</v>
      </c>
      <c r="U27" s="702">
        <f>H27</f>
        <v>100</v>
      </c>
      <c r="V27" s="701" t="s">
        <v>14</v>
      </c>
      <c r="W27" s="702">
        <f>J27</f>
        <v>100</v>
      </c>
      <c r="X27" s="703"/>
      <c r="Y27" s="3666"/>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6"/>
      <c r="Q28" s="1350">
        <f t="shared" si="11"/>
        <v>111</v>
      </c>
      <c r="R28" s="705" t="s">
        <v>14</v>
      </c>
      <c r="S28" s="706">
        <f t="shared" ref="S28:S40" si="12">F28</f>
        <v>100</v>
      </c>
      <c r="T28" s="705" t="s">
        <v>14</v>
      </c>
      <c r="U28" s="706">
        <f t="shared" ref="U28:U40" si="13">H28</f>
        <v>100</v>
      </c>
      <c r="V28" s="705" t="s">
        <v>14</v>
      </c>
      <c r="W28" s="706">
        <f t="shared" ref="W28:W40" si="14">J28</f>
        <v>100</v>
      </c>
      <c r="X28" s="1353"/>
      <c r="Y28" s="3666"/>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10" t="s">
        <v>1696</v>
      </c>
      <c r="Q29" s="1350" t="str">
        <f t="shared" si="11"/>
        <v>建筑类型</v>
      </c>
      <c r="R29" s="705" t="s">
        <v>14</v>
      </c>
      <c r="S29" s="706">
        <f t="shared" si="12"/>
        <v>100</v>
      </c>
      <c r="T29" s="705" t="s">
        <v>14</v>
      </c>
      <c r="U29" s="706">
        <f t="shared" si="13"/>
        <v>100</v>
      </c>
      <c r="V29" s="705" t="s">
        <v>14</v>
      </c>
      <c r="W29" s="706">
        <f t="shared" si="14"/>
        <v>100</v>
      </c>
      <c r="X29" s="1353"/>
      <c r="Y29" s="367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0"/>
      <c r="Q31" s="1350" t="str">
        <f t="shared" si="11"/>
        <v>建筑结构</v>
      </c>
      <c r="R31" s="705" t="s">
        <v>14</v>
      </c>
      <c r="S31" s="706">
        <f t="shared" si="12"/>
        <v>100</v>
      </c>
      <c r="T31" s="705" t="s">
        <v>14</v>
      </c>
      <c r="U31" s="706">
        <f t="shared" si="13"/>
        <v>100</v>
      </c>
      <c r="V31" s="705" t="s">
        <v>14</v>
      </c>
      <c r="W31" s="706">
        <f t="shared" si="14"/>
        <v>100</v>
      </c>
      <c r="X31" s="1353"/>
      <c r="Y31" s="367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0"/>
      <c r="Q32" s="1350" t="str">
        <f t="shared" si="11"/>
        <v>公共部分装修</v>
      </c>
      <c r="R32" s="705" t="s">
        <v>14</v>
      </c>
      <c r="S32" s="706">
        <f t="shared" si="12"/>
        <v>100</v>
      </c>
      <c r="T32" s="705" t="s">
        <v>14</v>
      </c>
      <c r="U32" s="706">
        <f t="shared" si="13"/>
        <v>100</v>
      </c>
      <c r="V32" s="705" t="s">
        <v>14</v>
      </c>
      <c r="W32" s="706">
        <f t="shared" si="14"/>
        <v>100</v>
      </c>
      <c r="X32" s="1353"/>
      <c r="Y32" s="367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0"/>
      <c r="Q33" s="1350" t="str">
        <f t="shared" si="11"/>
        <v>成新度</v>
      </c>
      <c r="R33" s="705" t="s">
        <v>14</v>
      </c>
      <c r="S33" s="706" t="e">
        <f t="shared" si="12"/>
        <v>#N/A</v>
      </c>
      <c r="T33" s="705" t="s">
        <v>14</v>
      </c>
      <c r="U33" s="706" t="e">
        <f t="shared" si="13"/>
        <v>#N/A</v>
      </c>
      <c r="V33" s="705" t="s">
        <v>14</v>
      </c>
      <c r="W33" s="706" t="e">
        <f t="shared" si="14"/>
        <v>#N/A</v>
      </c>
      <c r="X33" s="1353"/>
      <c r="Y33" s="367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0"/>
      <c r="Q34" s="1341"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0" t="s">
        <v>1696</v>
      </c>
      <c r="Q35" s="1350" t="str">
        <f t="shared" si="11"/>
        <v>市政基础设施</v>
      </c>
      <c r="R35" s="705" t="s">
        <v>14</v>
      </c>
      <c r="S35" s="706">
        <f t="shared" si="12"/>
        <v>100</v>
      </c>
      <c r="T35" s="705" t="s">
        <v>14</v>
      </c>
      <c r="U35" s="706">
        <f t="shared" si="13"/>
        <v>100</v>
      </c>
      <c r="V35" s="705" t="s">
        <v>14</v>
      </c>
      <c r="W35" s="706">
        <f t="shared" si="14"/>
        <v>100</v>
      </c>
      <c r="X35" s="1353"/>
      <c r="Y35" s="367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0"/>
      <c r="Q36" s="1350" t="str">
        <f t="shared" si="11"/>
        <v>内部装修</v>
      </c>
      <c r="R36" s="705" t="s">
        <v>14</v>
      </c>
      <c r="S36" s="706">
        <f t="shared" si="12"/>
        <v>100</v>
      </c>
      <c r="T36" s="705" t="s">
        <v>14</v>
      </c>
      <c r="U36" s="706">
        <f t="shared" si="13"/>
        <v>100</v>
      </c>
      <c r="V36" s="705" t="s">
        <v>14</v>
      </c>
      <c r="W36" s="706">
        <f t="shared" si="14"/>
        <v>100</v>
      </c>
      <c r="X36" s="1353"/>
      <c r="Y36" s="367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0"/>
      <c r="Q37" s="1350" t="str">
        <f t="shared" si="11"/>
        <v>内部装修状况</v>
      </c>
      <c r="R37" s="705" t="s">
        <v>14</v>
      </c>
      <c r="S37" s="706">
        <f t="shared" si="12"/>
        <v>100</v>
      </c>
      <c r="T37" s="705" t="s">
        <v>14</v>
      </c>
      <c r="U37" s="706">
        <f t="shared" si="13"/>
        <v>100</v>
      </c>
      <c r="V37" s="705" t="s">
        <v>14</v>
      </c>
      <c r="W37" s="706">
        <f t="shared" si="14"/>
        <v>100</v>
      </c>
      <c r="X37" s="1353"/>
      <c r="Y37" s="3670"/>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0"/>
      <c r="Q39" s="1350">
        <f t="shared" si="11"/>
        <v>111</v>
      </c>
      <c r="R39" s="705" t="s">
        <v>14</v>
      </c>
      <c r="S39" s="706">
        <f t="shared" si="12"/>
        <v>100</v>
      </c>
      <c r="T39" s="705" t="s">
        <v>14</v>
      </c>
      <c r="U39" s="706">
        <f t="shared" si="13"/>
        <v>100</v>
      </c>
      <c r="V39" s="705" t="s">
        <v>14</v>
      </c>
      <c r="W39" s="706">
        <f t="shared" si="14"/>
        <v>100</v>
      </c>
      <c r="X39" s="1353"/>
      <c r="Y39" s="3670"/>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1"/>
      <c r="Q40" s="1350">
        <f t="shared" si="11"/>
        <v>111</v>
      </c>
      <c r="R40" s="705" t="s">
        <v>14</v>
      </c>
      <c r="S40" s="706">
        <f t="shared" si="12"/>
        <v>100</v>
      </c>
      <c r="T40" s="705" t="s">
        <v>14</v>
      </c>
      <c r="U40" s="706">
        <f t="shared" si="13"/>
        <v>100</v>
      </c>
      <c r="V40" s="705" t="s">
        <v>14</v>
      </c>
      <c r="W40" s="706">
        <f t="shared" si="14"/>
        <v>100</v>
      </c>
      <c r="X40" s="1353"/>
      <c r="Y40" s="3671"/>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3300</v>
      </c>
      <c r="C1" s="1222" t="s">
        <v>1662</v>
      </c>
      <c r="D1" s="1223"/>
      <c r="E1" s="3424"/>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87" t="s">
        <v>1771</v>
      </c>
      <c r="S4" s="3688"/>
      <c r="T4" s="3687" t="s">
        <v>1772</v>
      </c>
      <c r="U4" s="3688"/>
      <c r="V4" s="3672" t="s">
        <v>1773</v>
      </c>
      <c r="W4" s="3672"/>
      <c r="X4" s="1353"/>
      <c r="Y4" s="3687" t="s">
        <v>1775</v>
      </c>
      <c r="Z4" s="3688"/>
      <c r="AA4" s="3674" t="s">
        <v>1771</v>
      </c>
      <c r="AB4" s="3675" t="s">
        <v>1772</v>
      </c>
      <c r="AC4" s="3674" t="s">
        <v>1773</v>
      </c>
    </row>
    <row r="5" spans="1:29" ht="15">
      <c r="A5" s="358"/>
      <c r="B5" s="359"/>
      <c r="C5" s="3695" t="s">
        <v>1673</v>
      </c>
      <c r="D5" s="3696"/>
      <c r="E5" s="3702" t="s">
        <v>1674</v>
      </c>
      <c r="F5" s="3703"/>
      <c r="G5" s="3695" t="s">
        <v>1675</v>
      </c>
      <c r="H5" s="3696"/>
      <c r="I5" s="3695" t="s">
        <v>1676</v>
      </c>
      <c r="J5" s="3696"/>
      <c r="K5" s="559"/>
      <c r="L5" s="2711"/>
      <c r="M5" s="2712"/>
      <c r="N5" s="2712"/>
      <c r="O5" s="2712"/>
      <c r="P5" s="3683"/>
      <c r="Q5" s="3684"/>
      <c r="R5" s="3689"/>
      <c r="S5" s="3690"/>
      <c r="T5" s="3689"/>
      <c r="U5" s="3690"/>
      <c r="V5" s="3672"/>
      <c r="W5" s="3672"/>
      <c r="X5" s="1353"/>
      <c r="Y5" s="3689"/>
      <c r="Z5" s="3690"/>
      <c r="AA5" s="3675"/>
      <c r="AB5" s="3675"/>
      <c r="AC5" s="3675"/>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5"/>
      <c r="Q6" s="3686"/>
      <c r="R6" s="3689"/>
      <c r="S6" s="3690"/>
      <c r="T6" s="3691"/>
      <c r="U6" s="3692"/>
      <c r="V6" s="3672"/>
      <c r="W6" s="3672"/>
      <c r="X6" s="1353"/>
      <c r="Y6" s="3691"/>
      <c r="Z6" s="3692"/>
      <c r="AA6" s="3676"/>
      <c r="AB6" s="3676"/>
      <c r="AC6" s="3676"/>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58" t="s">
        <v>1686</v>
      </c>
      <c r="Q9" s="1341"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25"/>
      <c r="D10" s="127">
        <v>100</v>
      </c>
      <c r="E10" s="3425"/>
      <c r="F10" s="127">
        <f>SUMIF(55:55,E10,56:56)-SUMIF(55:55,C10,56:56)+100</f>
        <v>100</v>
      </c>
      <c r="G10" s="3426"/>
      <c r="H10" s="127">
        <f>SUMIF(55:55,G10,56:56)-SUMIF(55:55,C10,56:56)+100</f>
        <v>100</v>
      </c>
      <c r="I10" s="3425"/>
      <c r="J10" s="127">
        <f>SUMIF(55:55,I10,56:56)-SUMIF(55:55,C10,56:56)+100</f>
        <v>100</v>
      </c>
      <c r="K10" s="560"/>
      <c r="L10" s="2715"/>
      <c r="M10" s="2716"/>
      <c r="N10" s="2716"/>
      <c r="O10" s="2716"/>
      <c r="P10" s="3658"/>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58"/>
      <c r="Q11" s="1341">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58"/>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58"/>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5" t="s">
        <v>1691</v>
      </c>
      <c r="Q14" s="1350" t="str">
        <f t="shared" si="6"/>
        <v>交通便捷度</v>
      </c>
      <c r="R14" s="705" t="s">
        <v>14</v>
      </c>
      <c r="S14" s="706">
        <f t="shared" si="0"/>
        <v>100</v>
      </c>
      <c r="T14" s="705" t="s">
        <v>14</v>
      </c>
      <c r="U14" s="706">
        <f t="shared" si="1"/>
        <v>100</v>
      </c>
      <c r="V14" s="705" t="s">
        <v>14</v>
      </c>
      <c r="W14" s="706">
        <f t="shared" si="2"/>
        <v>100</v>
      </c>
      <c r="X14" s="1353"/>
      <c r="Y14" s="366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66"/>
      <c r="Q15" s="1350"/>
      <c r="R15" s="705"/>
      <c r="S15" s="706"/>
      <c r="T15" s="705"/>
      <c r="U15" s="706"/>
      <c r="V15" s="705"/>
      <c r="W15" s="706"/>
      <c r="X15" s="1353"/>
      <c r="Y15" s="3666"/>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6"/>
      <c r="Q16" s="1350" t="str">
        <f>B16</f>
        <v>公共配套设施</v>
      </c>
      <c r="R16" s="705" t="s">
        <v>14</v>
      </c>
      <c r="S16" s="706">
        <f>F16</f>
        <v>100</v>
      </c>
      <c r="T16" s="705" t="s">
        <v>14</v>
      </c>
      <c r="U16" s="706">
        <f>H16</f>
        <v>100</v>
      </c>
      <c r="V16" s="705" t="s">
        <v>14</v>
      </c>
      <c r="W16" s="706">
        <f>J16</f>
        <v>100</v>
      </c>
      <c r="X16" s="1353"/>
      <c r="Y16" s="3666"/>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718"/>
      <c r="M17" s="2712"/>
      <c r="N17" s="2712"/>
      <c r="O17" s="2712"/>
      <c r="P17" s="3666"/>
      <c r="Q17" s="1350"/>
      <c r="R17" s="705"/>
      <c r="S17" s="706"/>
      <c r="T17" s="705"/>
      <c r="U17" s="706"/>
      <c r="V17" s="705"/>
      <c r="W17" s="706"/>
      <c r="X17" s="1353"/>
      <c r="Y17" s="3666"/>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6"/>
      <c r="Q18" s="1350" t="str">
        <f>B18</f>
        <v>基础设施水平</v>
      </c>
      <c r="R18" s="705" t="s">
        <v>14</v>
      </c>
      <c r="S18" s="706">
        <f>F18</f>
        <v>100</v>
      </c>
      <c r="T18" s="705" t="s">
        <v>14</v>
      </c>
      <c r="U18" s="706">
        <f>H18</f>
        <v>100</v>
      </c>
      <c r="V18" s="705" t="s">
        <v>14</v>
      </c>
      <c r="W18" s="706">
        <f>J18</f>
        <v>100</v>
      </c>
      <c r="X18" s="1353"/>
      <c r="Y18" s="3666"/>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718"/>
      <c r="M19" s="2712"/>
      <c r="N19" s="2712"/>
      <c r="O19" s="2712"/>
      <c r="P19" s="3666"/>
      <c r="Q19" s="1350"/>
      <c r="R19" s="705"/>
      <c r="S19" s="706"/>
      <c r="T19" s="705"/>
      <c r="U19" s="706"/>
      <c r="V19" s="705"/>
      <c r="W19" s="706"/>
      <c r="X19" s="1353"/>
      <c r="Y19" s="3666"/>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6"/>
      <c r="Q20" s="1350" t="str">
        <f>B20</f>
        <v>自然及人文环境</v>
      </c>
      <c r="R20" s="705" t="s">
        <v>14</v>
      </c>
      <c r="S20" s="706">
        <f>F20</f>
        <v>100</v>
      </c>
      <c r="T20" s="705" t="s">
        <v>14</v>
      </c>
      <c r="U20" s="706">
        <f>H20</f>
        <v>100</v>
      </c>
      <c r="V20" s="705" t="s">
        <v>14</v>
      </c>
      <c r="W20" s="706">
        <f>J20</f>
        <v>100</v>
      </c>
      <c r="X20" s="1353"/>
      <c r="Y20" s="366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66"/>
      <c r="Q21" s="1350"/>
      <c r="R21" s="705"/>
      <c r="S21" s="706"/>
      <c r="T21" s="705"/>
      <c r="U21" s="706"/>
      <c r="V21" s="705"/>
      <c r="W21" s="706"/>
      <c r="X21" s="1353"/>
      <c r="Y21" s="366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6"/>
      <c r="Q22" s="1350" t="str">
        <f>B22</f>
        <v>楼层</v>
      </c>
      <c r="R22" s="705" t="s">
        <v>14</v>
      </c>
      <c r="S22" s="706">
        <f>F22</f>
        <v>100</v>
      </c>
      <c r="T22" s="705" t="s">
        <v>14</v>
      </c>
      <c r="U22" s="706">
        <f>H22</f>
        <v>100</v>
      </c>
      <c r="V22" s="705" t="s">
        <v>14</v>
      </c>
      <c r="W22" s="706">
        <f>J22</f>
        <v>100</v>
      </c>
      <c r="X22" s="1353"/>
      <c r="Y22" s="366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6"/>
      <c r="Q23" s="1350">
        <f>B23</f>
        <v>111</v>
      </c>
      <c r="R23" s="705" t="s">
        <v>14</v>
      </c>
      <c r="S23" s="706">
        <f>F23</f>
        <v>100</v>
      </c>
      <c r="T23" s="705" t="s">
        <v>14</v>
      </c>
      <c r="U23" s="706">
        <f>H23</f>
        <v>100</v>
      </c>
      <c r="V23" s="705" t="s">
        <v>14</v>
      </c>
      <c r="W23" s="706">
        <f>J23</f>
        <v>100</v>
      </c>
      <c r="X23" s="1353"/>
      <c r="Y23" s="366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6"/>
      <c r="Q24" s="1350">
        <f t="shared" ref="Q24:Q36" si="11">B24</f>
        <v>111</v>
      </c>
      <c r="R24" s="705" t="s">
        <v>14</v>
      </c>
      <c r="S24" s="706">
        <f>F24</f>
        <v>100</v>
      </c>
      <c r="T24" s="705" t="s">
        <v>14</v>
      </c>
      <c r="U24" s="706">
        <f>H24</f>
        <v>100</v>
      </c>
      <c r="V24" s="705" t="s">
        <v>14</v>
      </c>
      <c r="W24" s="706">
        <f>J24</f>
        <v>100</v>
      </c>
      <c r="X24" s="1353"/>
      <c r="Y24" s="366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6"/>
      <c r="Q25" s="1341">
        <f t="shared" si="11"/>
        <v>111</v>
      </c>
      <c r="R25" s="701" t="s">
        <v>14</v>
      </c>
      <c r="S25" s="702">
        <f>F25</f>
        <v>100</v>
      </c>
      <c r="T25" s="701" t="s">
        <v>14</v>
      </c>
      <c r="U25" s="702">
        <f>H25</f>
        <v>100</v>
      </c>
      <c r="V25" s="701" t="s">
        <v>14</v>
      </c>
      <c r="W25" s="702">
        <f>J25</f>
        <v>100</v>
      </c>
      <c r="X25" s="703"/>
      <c r="Y25" s="3666"/>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0"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0"/>
      <c r="Q28" s="1350" t="str">
        <f t="shared" si="11"/>
        <v>公共部分装修</v>
      </c>
      <c r="R28" s="705" t="s">
        <v>14</v>
      </c>
      <c r="S28" s="706">
        <f t="shared" si="12"/>
        <v>100</v>
      </c>
      <c r="T28" s="705" t="s">
        <v>14</v>
      </c>
      <c r="U28" s="706">
        <f t="shared" si="13"/>
        <v>100</v>
      </c>
      <c r="V28" s="705" t="s">
        <v>14</v>
      </c>
      <c r="W28" s="706">
        <f t="shared" si="14"/>
        <v>100</v>
      </c>
      <c r="X28" s="1353"/>
      <c r="Y28" s="367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0"/>
      <c r="Q29" s="1350" t="str">
        <f t="shared" si="11"/>
        <v>成新率</v>
      </c>
      <c r="R29" s="705" t="s">
        <v>14</v>
      </c>
      <c r="S29" s="706" t="e">
        <f t="shared" si="12"/>
        <v>#N/A</v>
      </c>
      <c r="T29" s="705" t="s">
        <v>14</v>
      </c>
      <c r="U29" s="706" t="e">
        <f t="shared" si="13"/>
        <v>#N/A</v>
      </c>
      <c r="V29" s="705" t="s">
        <v>14</v>
      </c>
      <c r="W29" s="706" t="e">
        <f t="shared" si="14"/>
        <v>#N/A</v>
      </c>
      <c r="X29" s="1353"/>
      <c r="Y29" s="367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0"/>
      <c r="Q30" s="1350" t="str">
        <f t="shared" si="11"/>
        <v>物业等级</v>
      </c>
      <c r="R30" s="705" t="s">
        <v>14</v>
      </c>
      <c r="S30" s="706">
        <f t="shared" si="12"/>
        <v>100</v>
      </c>
      <c r="T30" s="705" t="s">
        <v>14</v>
      </c>
      <c r="U30" s="706">
        <f t="shared" si="13"/>
        <v>100</v>
      </c>
      <c r="V30" s="705" t="s">
        <v>14</v>
      </c>
      <c r="W30" s="706">
        <f t="shared" si="14"/>
        <v>100</v>
      </c>
      <c r="X30" s="1353"/>
      <c r="Y30" s="367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0"/>
      <c r="Q31" s="1341"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0" t="s">
        <v>1696</v>
      </c>
      <c r="Q32" s="1350" t="str">
        <f t="shared" si="11"/>
        <v>车位类型</v>
      </c>
      <c r="R32" s="705" t="s">
        <v>14</v>
      </c>
      <c r="S32" s="706">
        <f t="shared" si="12"/>
        <v>100</v>
      </c>
      <c r="T32" s="705" t="s">
        <v>14</v>
      </c>
      <c r="U32" s="706">
        <f t="shared" si="13"/>
        <v>100</v>
      </c>
      <c r="V32" s="705" t="s">
        <v>14</v>
      </c>
      <c r="W32" s="706">
        <f t="shared" si="14"/>
        <v>100</v>
      </c>
      <c r="X32" s="1353"/>
      <c r="Y32" s="367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0"/>
      <c r="Q33" s="1350" t="str">
        <f t="shared" si="11"/>
        <v>是否直接入户</v>
      </c>
      <c r="R33" s="705" t="s">
        <v>14</v>
      </c>
      <c r="S33" s="706">
        <f t="shared" si="12"/>
        <v>100</v>
      </c>
      <c r="T33" s="705" t="s">
        <v>14</v>
      </c>
      <c r="U33" s="706">
        <f t="shared" si="13"/>
        <v>100</v>
      </c>
      <c r="V33" s="705" t="s">
        <v>14</v>
      </c>
      <c r="W33" s="706">
        <f t="shared" si="14"/>
        <v>100</v>
      </c>
      <c r="X33" s="1353"/>
      <c r="Y33" s="367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0"/>
      <c r="Q34" s="1350">
        <f t="shared" si="11"/>
        <v>111</v>
      </c>
      <c r="R34" s="705" t="s">
        <v>14</v>
      </c>
      <c r="S34" s="706">
        <f t="shared" si="12"/>
        <v>100</v>
      </c>
      <c r="T34" s="705" t="s">
        <v>14</v>
      </c>
      <c r="U34" s="706">
        <f t="shared" si="13"/>
        <v>100</v>
      </c>
      <c r="V34" s="705" t="s">
        <v>14</v>
      </c>
      <c r="W34" s="706">
        <f t="shared" si="14"/>
        <v>100</v>
      </c>
      <c r="X34" s="1353"/>
      <c r="Y34" s="367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0"/>
      <c r="Q36" s="1350">
        <f t="shared" si="11"/>
        <v>111</v>
      </c>
      <c r="R36" s="705" t="s">
        <v>14</v>
      </c>
      <c r="S36" s="706">
        <f t="shared" si="12"/>
        <v>100</v>
      </c>
      <c r="T36" s="705" t="s">
        <v>14</v>
      </c>
      <c r="U36" s="706">
        <f t="shared" si="13"/>
        <v>100</v>
      </c>
      <c r="V36" s="705" t="s">
        <v>14</v>
      </c>
      <c r="W36" s="706">
        <f t="shared" si="14"/>
        <v>100</v>
      </c>
      <c r="X36" s="1353"/>
      <c r="Y36" s="3670"/>
      <c r="Z36" s="1354">
        <f t="shared" si="15"/>
        <v>111</v>
      </c>
      <c r="AA36" s="1351">
        <f t="shared" si="3"/>
        <v>1</v>
      </c>
      <c r="AB36" s="1351">
        <f t="shared" si="4"/>
        <v>1</v>
      </c>
      <c r="AC36" s="1351">
        <f t="shared" si="5"/>
        <v>1</v>
      </c>
    </row>
    <row r="37" spans="1:29" ht="15">
      <c r="A37" s="430" t="s">
        <v>1844</v>
      </c>
      <c r="B37" s="1970" t="s">
        <v>3320</v>
      </c>
      <c r="C37" s="1153" t="s">
        <v>0</v>
      </c>
      <c r="D37" s="1154"/>
      <c r="E37" s="1155"/>
      <c r="F37" s="1156"/>
      <c r="G37" s="1157"/>
      <c r="H37" s="1158"/>
      <c r="I37" s="1155"/>
      <c r="J37" s="1158"/>
      <c r="K37" s="568"/>
      <c r="L37" s="2720"/>
      <c r="M37" s="2721"/>
      <c r="N37" s="2712"/>
      <c r="O37" s="2721"/>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59" t="e">
        <f>R39</f>
        <v>#DIV/0!</v>
      </c>
      <c r="D38" s="2313" t="s">
        <v>2137</v>
      </c>
      <c r="E38" s="1160" t="e">
        <f>R38</f>
        <v>#DIV/0!</v>
      </c>
      <c r="F38" s="2314"/>
      <c r="G38" s="1159" t="e">
        <f>T38</f>
        <v>#DIV/0!</v>
      </c>
      <c r="H38" s="2314"/>
      <c r="I38" s="1160" t="e">
        <f>V38</f>
        <v>#DIV/0!</v>
      </c>
      <c r="J38" s="2314"/>
      <c r="K38" s="2316">
        <f>F38+H38+J38</f>
        <v>0</v>
      </c>
      <c r="L38" s="2720"/>
      <c r="M38" s="2721"/>
      <c r="N38" s="2721"/>
      <c r="O38" s="2721"/>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0"/>
      <c r="M39" s="2721"/>
      <c r="N39" s="2721"/>
      <c r="O39" s="2721"/>
      <c r="P39" s="3660" t="str">
        <f>A39</f>
        <v>估价对象XX用房的比较价值（楼面单价，元/平方米）</v>
      </c>
      <c r="Q39" s="3661"/>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3301</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87" t="s">
        <v>1771</v>
      </c>
      <c r="S4" s="3688"/>
      <c r="T4" s="3687" t="s">
        <v>1772</v>
      </c>
      <c r="U4" s="3688"/>
      <c r="V4" s="3672" t="s">
        <v>1773</v>
      </c>
      <c r="W4" s="3672"/>
      <c r="X4" s="1353"/>
      <c r="Y4" s="3687" t="s">
        <v>1775</v>
      </c>
      <c r="Z4" s="3688"/>
      <c r="AA4" s="3674" t="s">
        <v>1771</v>
      </c>
      <c r="AB4" s="3675" t="s">
        <v>1772</v>
      </c>
      <c r="AC4" s="3674" t="s">
        <v>1773</v>
      </c>
    </row>
    <row r="5" spans="1:29" ht="15">
      <c r="A5" s="358"/>
      <c r="B5" s="359"/>
      <c r="C5" s="3695" t="s">
        <v>1673</v>
      </c>
      <c r="D5" s="3696"/>
      <c r="E5" s="3702" t="s">
        <v>1674</v>
      </c>
      <c r="F5" s="3703"/>
      <c r="G5" s="3695" t="s">
        <v>1675</v>
      </c>
      <c r="H5" s="3696"/>
      <c r="I5" s="3695" t="s">
        <v>1676</v>
      </c>
      <c r="J5" s="3696"/>
      <c r="K5" s="559"/>
      <c r="L5" s="2711"/>
      <c r="M5" s="2712"/>
      <c r="N5" s="2712"/>
      <c r="O5" s="2712"/>
      <c r="P5" s="3683"/>
      <c r="Q5" s="3684"/>
      <c r="R5" s="3689"/>
      <c r="S5" s="3690"/>
      <c r="T5" s="3689"/>
      <c r="U5" s="3690"/>
      <c r="V5" s="3672"/>
      <c r="W5" s="3672"/>
      <c r="X5" s="1353"/>
      <c r="Y5" s="3689"/>
      <c r="Z5" s="3690"/>
      <c r="AA5" s="3675"/>
      <c r="AB5" s="3675"/>
      <c r="AC5" s="3675"/>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5"/>
      <c r="Q6" s="3686"/>
      <c r="R6" s="3689"/>
      <c r="S6" s="3690"/>
      <c r="T6" s="3691"/>
      <c r="U6" s="3692"/>
      <c r="V6" s="3672"/>
      <c r="W6" s="3672"/>
      <c r="X6" s="1353"/>
      <c r="Y6" s="3691"/>
      <c r="Z6" s="3692"/>
      <c r="AA6" s="3676"/>
      <c r="AB6" s="3676"/>
      <c r="AC6" s="3676"/>
    </row>
    <row r="7" spans="1:29" s="108" customFormat="1" ht="15.75" thickBot="1">
      <c r="A7" s="362" t="s">
        <v>1679</v>
      </c>
      <c r="B7" s="363"/>
      <c r="C7" s="364">
        <f>'数据-取费表'!B2</f>
        <v>45159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58" t="s">
        <v>1686</v>
      </c>
      <c r="Q9" s="1341"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60"/>
      <c r="L10" s="2715"/>
      <c r="M10" s="2716"/>
      <c r="N10" s="2716"/>
      <c r="O10" s="2769"/>
      <c r="P10" s="3658"/>
      <c r="Q10" s="1341"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58"/>
      <c r="Q11" s="1341">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58"/>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58"/>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5" t="s">
        <v>1691</v>
      </c>
      <c r="Q14" s="1350" t="str">
        <f t="shared" si="6"/>
        <v>交通便捷度</v>
      </c>
      <c r="R14" s="705" t="s">
        <v>14</v>
      </c>
      <c r="S14" s="706">
        <f t="shared" si="0"/>
        <v>100</v>
      </c>
      <c r="T14" s="705" t="s">
        <v>14</v>
      </c>
      <c r="U14" s="706">
        <f t="shared" si="1"/>
        <v>100</v>
      </c>
      <c r="V14" s="705" t="s">
        <v>14</v>
      </c>
      <c r="W14" s="706">
        <f t="shared" si="2"/>
        <v>100</v>
      </c>
      <c r="X14" s="1353"/>
      <c r="Y14" s="366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66"/>
      <c r="Q15" s="1350"/>
      <c r="R15" s="705"/>
      <c r="S15" s="706"/>
      <c r="T15" s="705"/>
      <c r="U15" s="706"/>
      <c r="V15" s="705"/>
      <c r="W15" s="706"/>
      <c r="X15" s="1353"/>
      <c r="Y15" s="3666"/>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6"/>
      <c r="Q16" s="1350" t="str">
        <f>B16</f>
        <v>公共配套设施</v>
      </c>
      <c r="R16" s="705" t="s">
        <v>14</v>
      </c>
      <c r="S16" s="706">
        <f>F16</f>
        <v>100</v>
      </c>
      <c r="T16" s="705" t="s">
        <v>14</v>
      </c>
      <c r="U16" s="706">
        <f>H16</f>
        <v>100</v>
      </c>
      <c r="V16" s="705" t="s">
        <v>14</v>
      </c>
      <c r="W16" s="706">
        <f>J16</f>
        <v>100</v>
      </c>
      <c r="X16" s="1353"/>
      <c r="Y16" s="3666"/>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8"/>
      <c r="M17" s="2712"/>
      <c r="N17" s="2712"/>
      <c r="O17" s="2770"/>
      <c r="P17" s="3666"/>
      <c r="Q17" s="1350"/>
      <c r="R17" s="705"/>
      <c r="S17" s="706"/>
      <c r="T17" s="705"/>
      <c r="U17" s="706"/>
      <c r="V17" s="705"/>
      <c r="W17" s="706"/>
      <c r="X17" s="1353"/>
      <c r="Y17" s="3666"/>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6"/>
      <c r="Q18" s="1350" t="str">
        <f>B18</f>
        <v>基础设施水平</v>
      </c>
      <c r="R18" s="705" t="s">
        <v>14</v>
      </c>
      <c r="S18" s="706">
        <f>F18</f>
        <v>100</v>
      </c>
      <c r="T18" s="705" t="s">
        <v>14</v>
      </c>
      <c r="U18" s="706">
        <f>H18</f>
        <v>100</v>
      </c>
      <c r="V18" s="705" t="s">
        <v>14</v>
      </c>
      <c r="W18" s="706">
        <f>J18</f>
        <v>100</v>
      </c>
      <c r="X18" s="1353"/>
      <c r="Y18" s="3666"/>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8"/>
      <c r="M19" s="2712"/>
      <c r="N19" s="2712"/>
      <c r="O19" s="2770"/>
      <c r="P19" s="3666"/>
      <c r="Q19" s="1350"/>
      <c r="R19" s="705"/>
      <c r="S19" s="706"/>
      <c r="T19" s="705"/>
      <c r="U19" s="706"/>
      <c r="V19" s="705"/>
      <c r="W19" s="706"/>
      <c r="X19" s="1353"/>
      <c r="Y19" s="3666"/>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6"/>
      <c r="Q20" s="1350" t="str">
        <f>B20</f>
        <v>自然及人文环境</v>
      </c>
      <c r="R20" s="705" t="s">
        <v>14</v>
      </c>
      <c r="S20" s="706">
        <f>F20</f>
        <v>100</v>
      </c>
      <c r="T20" s="705" t="s">
        <v>14</v>
      </c>
      <c r="U20" s="706">
        <f>H20</f>
        <v>100</v>
      </c>
      <c r="V20" s="705" t="s">
        <v>14</v>
      </c>
      <c r="W20" s="706">
        <f>J20</f>
        <v>100</v>
      </c>
      <c r="X20" s="1353"/>
      <c r="Y20" s="366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66"/>
      <c r="Q21" s="1350"/>
      <c r="R21" s="705"/>
      <c r="S21" s="706"/>
      <c r="T21" s="705"/>
      <c r="U21" s="706"/>
      <c r="V21" s="705"/>
      <c r="W21" s="706"/>
      <c r="X21" s="1353"/>
      <c r="Y21" s="366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6"/>
      <c r="Q22" s="1350" t="str">
        <f>B22</f>
        <v>楼层</v>
      </c>
      <c r="R22" s="705" t="s">
        <v>14</v>
      </c>
      <c r="S22" s="706">
        <f>F22</f>
        <v>100</v>
      </c>
      <c r="T22" s="705" t="s">
        <v>14</v>
      </c>
      <c r="U22" s="706">
        <f>H22</f>
        <v>100</v>
      </c>
      <c r="V22" s="705" t="s">
        <v>14</v>
      </c>
      <c r="W22" s="706">
        <f>J22</f>
        <v>100</v>
      </c>
      <c r="X22" s="1353"/>
      <c r="Y22" s="3666"/>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6"/>
      <c r="Q23" s="1350">
        <f>B23</f>
        <v>111</v>
      </c>
      <c r="R23" s="705" t="s">
        <v>14</v>
      </c>
      <c r="S23" s="706">
        <f>F23</f>
        <v>100</v>
      </c>
      <c r="T23" s="705" t="s">
        <v>14</v>
      </c>
      <c r="U23" s="706">
        <f>H23</f>
        <v>100</v>
      </c>
      <c r="V23" s="705" t="s">
        <v>14</v>
      </c>
      <c r="W23" s="706">
        <f>J23</f>
        <v>100</v>
      </c>
      <c r="X23" s="1353"/>
      <c r="Y23" s="3666"/>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6"/>
      <c r="Q24" s="1350">
        <f t="shared" ref="Q24:Q34" si="11">B24</f>
        <v>111</v>
      </c>
      <c r="R24" s="705" t="s">
        <v>14</v>
      </c>
      <c r="S24" s="706">
        <f>F24</f>
        <v>100</v>
      </c>
      <c r="T24" s="705" t="s">
        <v>14</v>
      </c>
      <c r="U24" s="706">
        <f>H24</f>
        <v>100</v>
      </c>
      <c r="V24" s="705" t="s">
        <v>14</v>
      </c>
      <c r="W24" s="706">
        <f>J24</f>
        <v>100</v>
      </c>
      <c r="X24" s="1353"/>
      <c r="Y24" s="3666"/>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66"/>
      <c r="Q25" s="1341">
        <f t="shared" si="11"/>
        <v>111</v>
      </c>
      <c r="R25" s="701" t="s">
        <v>14</v>
      </c>
      <c r="S25" s="702">
        <f>F25</f>
        <v>100</v>
      </c>
      <c r="T25" s="701" t="s">
        <v>14</v>
      </c>
      <c r="U25" s="702">
        <f>H25</f>
        <v>100</v>
      </c>
      <c r="V25" s="701" t="s">
        <v>14</v>
      </c>
      <c r="W25" s="702">
        <f>J25</f>
        <v>100</v>
      </c>
      <c r="X25" s="703"/>
      <c r="Y25" s="3666"/>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10"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0"/>
      <c r="Q28" s="1350" t="str">
        <f t="shared" si="11"/>
        <v>物业等级</v>
      </c>
      <c r="R28" s="705" t="s">
        <v>14</v>
      </c>
      <c r="S28" s="706">
        <f t="shared" si="12"/>
        <v>100</v>
      </c>
      <c r="T28" s="705" t="s">
        <v>14</v>
      </c>
      <c r="U28" s="706">
        <f t="shared" si="13"/>
        <v>100</v>
      </c>
      <c r="V28" s="705" t="s">
        <v>14</v>
      </c>
      <c r="W28" s="706">
        <f t="shared" si="14"/>
        <v>100</v>
      </c>
      <c r="X28" s="1353"/>
      <c r="Y28" s="367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0"/>
      <c r="Q29" s="1350" t="str">
        <f t="shared" si="11"/>
        <v>有无电梯</v>
      </c>
      <c r="R29" s="705" t="s">
        <v>14</v>
      </c>
      <c r="S29" s="706">
        <f t="shared" si="12"/>
        <v>100</v>
      </c>
      <c r="T29" s="705" t="s">
        <v>14</v>
      </c>
      <c r="U29" s="706">
        <f t="shared" si="13"/>
        <v>100</v>
      </c>
      <c r="V29" s="705" t="s">
        <v>14</v>
      </c>
      <c r="W29" s="706">
        <f t="shared" si="14"/>
        <v>100</v>
      </c>
      <c r="X29" s="1353"/>
      <c r="Y29" s="367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0"/>
      <c r="Q30" s="1350" t="str">
        <f t="shared" si="11"/>
        <v>建筑面积</v>
      </c>
      <c r="R30" s="705" t="s">
        <v>14</v>
      </c>
      <c r="S30" s="706" t="e">
        <f t="shared" si="12"/>
        <v>#N/A</v>
      </c>
      <c r="T30" s="705" t="s">
        <v>14</v>
      </c>
      <c r="U30" s="706" t="e">
        <f t="shared" si="13"/>
        <v>#N/A</v>
      </c>
      <c r="V30" s="705" t="s">
        <v>14</v>
      </c>
      <c r="W30" s="706" t="e">
        <f t="shared" si="14"/>
        <v>#N/A</v>
      </c>
      <c r="X30" s="1353"/>
      <c r="Y30" s="367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0"/>
      <c r="Q31" s="1341"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0" t="s">
        <v>1696</v>
      </c>
      <c r="Q32" s="1350">
        <f t="shared" si="11"/>
        <v>111</v>
      </c>
      <c r="R32" s="705" t="s">
        <v>14</v>
      </c>
      <c r="S32" s="706">
        <f t="shared" si="12"/>
        <v>100</v>
      </c>
      <c r="T32" s="705" t="s">
        <v>14</v>
      </c>
      <c r="U32" s="706">
        <f t="shared" si="13"/>
        <v>100</v>
      </c>
      <c r="V32" s="705" t="s">
        <v>14</v>
      </c>
      <c r="W32" s="706">
        <f t="shared" si="14"/>
        <v>100</v>
      </c>
      <c r="X32" s="1353"/>
      <c r="Y32" s="3670"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0"/>
      <c r="Q33" s="1350">
        <f t="shared" si="11"/>
        <v>111</v>
      </c>
      <c r="R33" s="705" t="s">
        <v>14</v>
      </c>
      <c r="S33" s="706">
        <f t="shared" si="12"/>
        <v>100</v>
      </c>
      <c r="T33" s="705" t="s">
        <v>14</v>
      </c>
      <c r="U33" s="706">
        <f t="shared" si="13"/>
        <v>100</v>
      </c>
      <c r="V33" s="705" t="s">
        <v>14</v>
      </c>
      <c r="W33" s="706">
        <f t="shared" si="14"/>
        <v>100</v>
      </c>
      <c r="X33" s="1353"/>
      <c r="Y33" s="3670"/>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70"/>
      <c r="Q34" s="1350">
        <f t="shared" si="11"/>
        <v>111</v>
      </c>
      <c r="R34" s="705" t="s">
        <v>14</v>
      </c>
      <c r="S34" s="706">
        <f t="shared" si="12"/>
        <v>100</v>
      </c>
      <c r="T34" s="705" t="s">
        <v>14</v>
      </c>
      <c r="U34" s="706">
        <f t="shared" si="13"/>
        <v>100</v>
      </c>
      <c r="V34" s="705" t="s">
        <v>14</v>
      </c>
      <c r="W34" s="706">
        <f t="shared" si="14"/>
        <v>100</v>
      </c>
      <c r="X34" s="1353"/>
      <c r="Y34" s="3670"/>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0"/>
      <c r="M35" s="2721"/>
      <c r="N35" s="2712"/>
      <c r="O35" s="2721"/>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59" t="e">
        <f>R37</f>
        <v>#DIV/0!</v>
      </c>
      <c r="D36" s="2313" t="s">
        <v>2137</v>
      </c>
      <c r="E36" s="1160" t="e">
        <f>R36</f>
        <v>#DIV/0!</v>
      </c>
      <c r="F36" s="2314"/>
      <c r="G36" s="1159" t="e">
        <f>T36</f>
        <v>#DIV/0!</v>
      </c>
      <c r="H36" s="2314"/>
      <c r="I36" s="1160" t="e">
        <f>V36</f>
        <v>#DIV/0!</v>
      </c>
      <c r="J36" s="2314"/>
      <c r="K36" s="2316">
        <f>F36+H36+J36</f>
        <v>0</v>
      </c>
      <c r="L36" s="2720"/>
      <c r="M36" s="2721"/>
      <c r="N36" s="2712"/>
      <c r="O36" s="2721"/>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0"/>
      <c r="M37" s="2721"/>
      <c r="N37" s="2721"/>
      <c r="O37" s="2721"/>
      <c r="P37" s="3660" t="str">
        <f>A37</f>
        <v>估价对象XX用房的比较价值（楼面单价，元/平方米）</v>
      </c>
      <c r="Q37" s="3661"/>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87" t="s">
        <v>1771</v>
      </c>
      <c r="S4" s="3688"/>
      <c r="T4" s="3687" t="s">
        <v>1772</v>
      </c>
      <c r="U4" s="3688"/>
      <c r="V4" s="3672" t="s">
        <v>1773</v>
      </c>
      <c r="W4" s="3672"/>
      <c r="X4" s="1353"/>
      <c r="Y4" s="3687" t="s">
        <v>1775</v>
      </c>
      <c r="Z4" s="3688"/>
      <c r="AA4" s="3674" t="s">
        <v>1771</v>
      </c>
      <c r="AB4" s="3675" t="s">
        <v>1772</v>
      </c>
      <c r="AC4" s="3674" t="s">
        <v>1773</v>
      </c>
    </row>
    <row r="5" spans="1:29" ht="15">
      <c r="A5" s="358"/>
      <c r="B5" s="359"/>
      <c r="C5" s="3695" t="s">
        <v>1673</v>
      </c>
      <c r="D5" s="3696"/>
      <c r="E5" s="3702" t="s">
        <v>1674</v>
      </c>
      <c r="F5" s="3703"/>
      <c r="G5" s="3695" t="s">
        <v>1675</v>
      </c>
      <c r="H5" s="3696"/>
      <c r="I5" s="3695" t="s">
        <v>1676</v>
      </c>
      <c r="J5" s="3696"/>
      <c r="K5" s="559"/>
      <c r="L5" s="2711"/>
      <c r="M5" s="2712"/>
      <c r="N5" s="2712"/>
      <c r="O5" s="2712"/>
      <c r="P5" s="3683"/>
      <c r="Q5" s="3684"/>
      <c r="R5" s="3689"/>
      <c r="S5" s="3690"/>
      <c r="T5" s="3689"/>
      <c r="U5" s="3690"/>
      <c r="V5" s="3672"/>
      <c r="W5" s="3672"/>
      <c r="X5" s="1353"/>
      <c r="Y5" s="3689"/>
      <c r="Z5" s="3690"/>
      <c r="AA5" s="3675"/>
      <c r="AB5" s="3675"/>
      <c r="AC5" s="3675"/>
    </row>
    <row r="6" spans="1:29" ht="15.75" thickBot="1">
      <c r="A6" s="360"/>
      <c r="B6" s="361"/>
      <c r="C6" s="3772" t="s">
        <v>1918</v>
      </c>
      <c r="D6" s="3773"/>
      <c r="E6" s="3774" t="s">
        <v>1918</v>
      </c>
      <c r="F6" s="3775"/>
      <c r="G6" s="3772" t="s">
        <v>1918</v>
      </c>
      <c r="H6" s="3773"/>
      <c r="I6" s="3772" t="s">
        <v>1918</v>
      </c>
      <c r="J6" s="3773"/>
      <c r="K6" s="559" t="s">
        <v>1678</v>
      </c>
      <c r="L6" s="2711"/>
      <c r="M6" s="2712"/>
      <c r="N6" s="2712"/>
      <c r="O6" s="2712"/>
      <c r="P6" s="3685"/>
      <c r="Q6" s="3686"/>
      <c r="R6" s="3689"/>
      <c r="S6" s="3690"/>
      <c r="T6" s="3691"/>
      <c r="U6" s="3692"/>
      <c r="V6" s="3672"/>
      <c r="W6" s="3672"/>
      <c r="X6" s="1353"/>
      <c r="Y6" s="3691"/>
      <c r="Z6" s="3692"/>
      <c r="AA6" s="3676"/>
      <c r="AB6" s="3676"/>
      <c r="AC6" s="3676"/>
    </row>
    <row r="7" spans="1:29" s="108" customFormat="1" ht="15.75" thickBot="1">
      <c r="A7" s="362" t="s">
        <v>1679</v>
      </c>
      <c r="B7" s="363"/>
      <c r="C7" s="364">
        <f>'数据-取费表'!B2</f>
        <v>45159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58" t="s">
        <v>1686</v>
      </c>
      <c r="Q9" s="1341"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5"/>
      <c r="M10" s="2716"/>
      <c r="N10" s="2716"/>
      <c r="O10" s="2769"/>
      <c r="P10" s="3658"/>
      <c r="Q10" s="1341" t="str">
        <f t="shared" si="6"/>
        <v>土地使用年限（年）</v>
      </c>
      <c r="R10" s="701" t="s">
        <v>14</v>
      </c>
      <c r="S10" s="702">
        <f t="shared" si="0"/>
        <v>115</v>
      </c>
      <c r="T10" s="701" t="s">
        <v>14</v>
      </c>
      <c r="U10" s="702">
        <f t="shared" si="1"/>
        <v>115</v>
      </c>
      <c r="V10" s="701" t="s">
        <v>14</v>
      </c>
      <c r="W10" s="702">
        <f t="shared" si="2"/>
        <v>115</v>
      </c>
      <c r="X10" s="703"/>
      <c r="Y10" s="3565"/>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58"/>
      <c r="Q11" s="1341"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58"/>
      <c r="Q12" s="1341">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58"/>
      <c r="Q13" s="1341">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58"/>
      <c r="Q14" s="1341">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5" t="s">
        <v>1691</v>
      </c>
      <c r="Q15" s="1350" t="str">
        <f t="shared" si="6"/>
        <v>产业集聚程度</v>
      </c>
      <c r="R15" s="705" t="s">
        <v>14</v>
      </c>
      <c r="S15" s="706">
        <f t="shared" si="0"/>
        <v>100</v>
      </c>
      <c r="T15" s="705" t="s">
        <v>14</v>
      </c>
      <c r="U15" s="706">
        <f t="shared" si="1"/>
        <v>100</v>
      </c>
      <c r="V15" s="705" t="s">
        <v>14</v>
      </c>
      <c r="W15" s="706">
        <f t="shared" si="2"/>
        <v>100</v>
      </c>
      <c r="X15" s="1353"/>
      <c r="Y15" s="3665"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8"/>
      <c r="M16" s="2712"/>
      <c r="N16" s="2712"/>
      <c r="O16" s="2770"/>
      <c r="P16" s="3666"/>
      <c r="Q16" s="1350"/>
      <c r="R16" s="705"/>
      <c r="S16" s="706"/>
      <c r="T16" s="705"/>
      <c r="U16" s="706"/>
      <c r="V16" s="705"/>
      <c r="W16" s="706"/>
      <c r="X16" s="1353"/>
      <c r="Y16" s="3666"/>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66"/>
      <c r="Q17" s="1350" t="str">
        <f>B17</f>
        <v>交通便捷度</v>
      </c>
      <c r="R17" s="705" t="s">
        <v>14</v>
      </c>
      <c r="S17" s="706">
        <f>F17</f>
        <v>100</v>
      </c>
      <c r="T17" s="705" t="s">
        <v>14</v>
      </c>
      <c r="U17" s="706">
        <f>H17</f>
        <v>100</v>
      </c>
      <c r="V17" s="705" t="s">
        <v>14</v>
      </c>
      <c r="W17" s="706">
        <f>J17</f>
        <v>100</v>
      </c>
      <c r="X17" s="1353"/>
      <c r="Y17" s="3666"/>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8"/>
      <c r="M18" s="2712"/>
      <c r="N18" s="2712"/>
      <c r="O18" s="2770"/>
      <c r="P18" s="3666"/>
      <c r="Q18" s="1350"/>
      <c r="R18" s="705"/>
      <c r="S18" s="706"/>
      <c r="T18" s="705"/>
      <c r="U18" s="706"/>
      <c r="V18" s="705"/>
      <c r="W18" s="706"/>
      <c r="X18" s="1353"/>
      <c r="Y18" s="3666"/>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66"/>
      <c r="Q19" s="1350" t="str">
        <f t="shared" ref="Q19:Q33" si="8">B19</f>
        <v>区域土地利用方向</v>
      </c>
      <c r="R19" s="705" t="s">
        <v>14</v>
      </c>
      <c r="S19" s="706">
        <f>F19</f>
        <v>100</v>
      </c>
      <c r="T19" s="705" t="s">
        <v>14</v>
      </c>
      <c r="U19" s="706">
        <f>H19</f>
        <v>100</v>
      </c>
      <c r="V19" s="705" t="s">
        <v>14</v>
      </c>
      <c r="W19" s="706">
        <f>J19</f>
        <v>100</v>
      </c>
      <c r="X19" s="1353"/>
      <c r="Y19" s="3666"/>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8"/>
      <c r="M20" s="2712"/>
      <c r="N20" s="2712"/>
      <c r="O20" s="2770"/>
      <c r="P20" s="3666"/>
      <c r="Q20" s="1350"/>
      <c r="R20" s="705"/>
      <c r="S20" s="706"/>
      <c r="T20" s="705"/>
      <c r="U20" s="706"/>
      <c r="V20" s="705"/>
      <c r="W20" s="706"/>
      <c r="X20" s="1353"/>
      <c r="Y20" s="3666"/>
      <c r="Z20" s="1354"/>
      <c r="AA20" s="1351"/>
      <c r="AB20" s="1351"/>
      <c r="AC20" s="1351"/>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66"/>
      <c r="Q21" s="1350" t="str">
        <f t="shared" si="8"/>
        <v>环境状况</v>
      </c>
      <c r="R21" s="705" t="s">
        <v>14</v>
      </c>
      <c r="S21" s="706">
        <f>F21</f>
        <v>100</v>
      </c>
      <c r="T21" s="705" t="s">
        <v>14</v>
      </c>
      <c r="U21" s="706">
        <f>H21</f>
        <v>100</v>
      </c>
      <c r="V21" s="705" t="s">
        <v>14</v>
      </c>
      <c r="W21" s="706">
        <f>J21</f>
        <v>100</v>
      </c>
      <c r="X21" s="1353"/>
      <c r="Y21" s="3666"/>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8"/>
      <c r="M22" s="2712"/>
      <c r="N22" s="2712"/>
      <c r="O22" s="2770"/>
      <c r="P22" s="3666"/>
      <c r="Q22" s="1350"/>
      <c r="R22" s="705"/>
      <c r="S22" s="706"/>
      <c r="T22" s="705"/>
      <c r="U22" s="706"/>
      <c r="V22" s="705"/>
      <c r="W22" s="706"/>
      <c r="X22" s="1353"/>
      <c r="Y22" s="3666"/>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66"/>
      <c r="Q23" s="1341" t="str">
        <f t="shared" si="8"/>
        <v>公共配套设施</v>
      </c>
      <c r="R23" s="701" t="s">
        <v>14</v>
      </c>
      <c r="S23" s="702">
        <f>F23</f>
        <v>100</v>
      </c>
      <c r="T23" s="701" t="s">
        <v>14</v>
      </c>
      <c r="U23" s="702">
        <f>H23</f>
        <v>100</v>
      </c>
      <c r="V23" s="701" t="s">
        <v>14</v>
      </c>
      <c r="W23" s="702">
        <f>J23</f>
        <v>100</v>
      </c>
      <c r="X23" s="703"/>
      <c r="Y23" s="3666"/>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713"/>
      <c r="M24" s="2714"/>
      <c r="N24" s="2714"/>
      <c r="O24" s="2768"/>
      <c r="P24" s="3666"/>
      <c r="Q24" s="1341"/>
      <c r="R24" s="701"/>
      <c r="S24" s="702"/>
      <c r="T24" s="701"/>
      <c r="U24" s="702"/>
      <c r="V24" s="701"/>
      <c r="W24" s="702"/>
      <c r="X24" s="703"/>
      <c r="Y24" s="3666"/>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66"/>
      <c r="Q25" s="1341"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3"/>
      <c r="M26" s="2714"/>
      <c r="N26" s="2714"/>
      <c r="O26" s="2768"/>
      <c r="P26" s="3666"/>
      <c r="Q26" s="1341"/>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6"/>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66"/>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6"/>
      <c r="Q28" s="1350" t="str">
        <f t="shared" si="8"/>
        <v>毗邻道路的类型与等级</v>
      </c>
      <c r="R28" s="705" t="s">
        <v>14</v>
      </c>
      <c r="S28" s="706">
        <f t="shared" si="10"/>
        <v>100</v>
      </c>
      <c r="T28" s="705" t="s">
        <v>14</v>
      </c>
      <c r="U28" s="706">
        <f t="shared" si="11"/>
        <v>100</v>
      </c>
      <c r="V28" s="705" t="s">
        <v>14</v>
      </c>
      <c r="W28" s="706">
        <f t="shared" si="12"/>
        <v>100</v>
      </c>
      <c r="X28" s="1353"/>
      <c r="Y28" s="3666"/>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8"/>
      <c r="M29" s="2712"/>
      <c r="N29" s="2712"/>
      <c r="O29" s="2770"/>
      <c r="P29" s="3666"/>
      <c r="Q29" s="1350"/>
      <c r="R29" s="705"/>
      <c r="S29" s="706"/>
      <c r="T29" s="705"/>
      <c r="U29" s="706"/>
      <c r="V29" s="705"/>
      <c r="W29" s="706"/>
      <c r="X29" s="1353"/>
      <c r="Y29" s="3666"/>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6"/>
      <c r="Q30" s="1350" t="str">
        <f t="shared" si="8"/>
        <v>土地级别</v>
      </c>
      <c r="R30" s="705" t="s">
        <v>14</v>
      </c>
      <c r="S30" s="706">
        <f t="shared" si="10"/>
        <v>100</v>
      </c>
      <c r="T30" s="705" t="s">
        <v>14</v>
      </c>
      <c r="U30" s="706">
        <f t="shared" si="11"/>
        <v>100</v>
      </c>
      <c r="V30" s="705" t="s">
        <v>14</v>
      </c>
      <c r="W30" s="706">
        <f t="shared" si="12"/>
        <v>100</v>
      </c>
      <c r="X30" s="1353"/>
      <c r="Y30" s="3666"/>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6"/>
      <c r="Q31" s="1350">
        <f t="shared" si="8"/>
        <v>111</v>
      </c>
      <c r="R31" s="705" t="s">
        <v>14</v>
      </c>
      <c r="S31" s="706">
        <f t="shared" si="10"/>
        <v>100</v>
      </c>
      <c r="T31" s="705" t="s">
        <v>14</v>
      </c>
      <c r="U31" s="706">
        <f t="shared" si="11"/>
        <v>100</v>
      </c>
      <c r="V31" s="705" t="s">
        <v>14</v>
      </c>
      <c r="W31" s="706">
        <f t="shared" si="12"/>
        <v>100</v>
      </c>
      <c r="X31" s="1353"/>
      <c r="Y31" s="3666"/>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0" t="s">
        <v>1696</v>
      </c>
      <c r="Q32" s="1350">
        <f t="shared" si="8"/>
        <v>111</v>
      </c>
      <c r="R32" s="705" t="s">
        <v>14</v>
      </c>
      <c r="S32" s="706">
        <f t="shared" si="10"/>
        <v>100</v>
      </c>
      <c r="T32" s="705" t="s">
        <v>14</v>
      </c>
      <c r="U32" s="706">
        <f t="shared" si="11"/>
        <v>100</v>
      </c>
      <c r="V32" s="705" t="s">
        <v>14</v>
      </c>
      <c r="W32" s="706">
        <f t="shared" si="12"/>
        <v>100</v>
      </c>
      <c r="X32" s="1353"/>
      <c r="Y32" s="3670"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0"/>
      <c r="Q33" s="1350">
        <f t="shared" si="8"/>
        <v>111</v>
      </c>
      <c r="R33" s="708" t="s">
        <v>14</v>
      </c>
      <c r="S33" s="709">
        <f t="shared" si="10"/>
        <v>100</v>
      </c>
      <c r="T33" s="708" t="s">
        <v>14</v>
      </c>
      <c r="U33" s="709">
        <f t="shared" si="11"/>
        <v>100</v>
      </c>
      <c r="V33" s="708" t="s">
        <v>14</v>
      </c>
      <c r="W33" s="709">
        <f t="shared" si="12"/>
        <v>100</v>
      </c>
      <c r="X33" s="710"/>
      <c r="Y33" s="3670"/>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0"/>
      <c r="Q34" s="1350" t="str">
        <f>B34</f>
        <v>宗地面积</v>
      </c>
      <c r="R34" s="705" t="s">
        <v>14</v>
      </c>
      <c r="S34" s="706" t="e">
        <f t="shared" si="10"/>
        <v>#N/A</v>
      </c>
      <c r="T34" s="705" t="s">
        <v>14</v>
      </c>
      <c r="U34" s="706" t="e">
        <f t="shared" si="11"/>
        <v>#N/A</v>
      </c>
      <c r="V34" s="705" t="s">
        <v>14</v>
      </c>
      <c r="W34" s="706" t="e">
        <f t="shared" si="12"/>
        <v>#N/A</v>
      </c>
      <c r="X34" s="1353"/>
      <c r="Y34" s="3670"/>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670"/>
      <c r="Q35" s="1350" t="str">
        <f t="shared" ref="Q35:Q40" si="14">B35</f>
        <v>宗地形状</v>
      </c>
      <c r="R35" s="705" t="s">
        <v>14</v>
      </c>
      <c r="S35" s="706">
        <f t="shared" si="10"/>
        <v>100</v>
      </c>
      <c r="T35" s="705" t="s">
        <v>14</v>
      </c>
      <c r="U35" s="706">
        <f t="shared" si="11"/>
        <v>100</v>
      </c>
      <c r="V35" s="705" t="s">
        <v>14</v>
      </c>
      <c r="W35" s="706">
        <f t="shared" si="12"/>
        <v>100</v>
      </c>
      <c r="X35" s="1353"/>
      <c r="Y35" s="3670"/>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70"/>
      <c r="Q36" s="1350"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670" t="s">
        <v>1696</v>
      </c>
      <c r="Q37" s="1350" t="str">
        <f t="shared" si="14"/>
        <v>工程地质条件</v>
      </c>
      <c r="R37" s="705" t="s">
        <v>14</v>
      </c>
      <c r="S37" s="706">
        <f t="shared" si="10"/>
        <v>100</v>
      </c>
      <c r="T37" s="705" t="s">
        <v>14</v>
      </c>
      <c r="U37" s="706">
        <f t="shared" si="11"/>
        <v>100</v>
      </c>
      <c r="V37" s="705" t="s">
        <v>14</v>
      </c>
      <c r="W37" s="706">
        <f t="shared" si="12"/>
        <v>100</v>
      </c>
      <c r="X37" s="1353"/>
      <c r="Y37" s="3670"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0"/>
      <c r="Q38" s="1350">
        <f t="shared" si="14"/>
        <v>111</v>
      </c>
      <c r="R38" s="705" t="s">
        <v>14</v>
      </c>
      <c r="S38" s="706">
        <f t="shared" si="10"/>
        <v>100</v>
      </c>
      <c r="T38" s="705" t="s">
        <v>14</v>
      </c>
      <c r="U38" s="706">
        <f t="shared" si="11"/>
        <v>100</v>
      </c>
      <c r="V38" s="705" t="s">
        <v>14</v>
      </c>
      <c r="W38" s="706">
        <f t="shared" si="12"/>
        <v>100</v>
      </c>
      <c r="X38" s="1353"/>
      <c r="Y38" s="3670"/>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0"/>
      <c r="Q39" s="1350">
        <f t="shared" si="14"/>
        <v>111</v>
      </c>
      <c r="R39" s="705" t="s">
        <v>14</v>
      </c>
      <c r="S39" s="706">
        <f t="shared" si="10"/>
        <v>100</v>
      </c>
      <c r="T39" s="705" t="s">
        <v>14</v>
      </c>
      <c r="U39" s="706">
        <f t="shared" si="11"/>
        <v>100</v>
      </c>
      <c r="V39" s="705" t="s">
        <v>14</v>
      </c>
      <c r="W39" s="706">
        <f t="shared" si="12"/>
        <v>100</v>
      </c>
      <c r="X39" s="1353"/>
      <c r="Y39" s="3670"/>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0"/>
      <c r="Q40" s="1350">
        <f t="shared" si="14"/>
        <v>111</v>
      </c>
      <c r="R40" s="708" t="s">
        <v>14</v>
      </c>
      <c r="S40" s="709">
        <f t="shared" si="10"/>
        <v>100</v>
      </c>
      <c r="T40" s="708" t="s">
        <v>14</v>
      </c>
      <c r="U40" s="709">
        <f t="shared" si="11"/>
        <v>100</v>
      </c>
      <c r="V40" s="708" t="s">
        <v>14</v>
      </c>
      <c r="W40" s="709">
        <f t="shared" si="12"/>
        <v>100</v>
      </c>
      <c r="X40" s="710"/>
      <c r="Y40" s="3670"/>
      <c r="Z40" s="711">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4"/>
      <c r="L41" s="2720"/>
      <c r="M41" s="2712"/>
      <c r="N41" s="2712"/>
      <c r="O41" s="2721"/>
      <c r="P41" s="3658" t="str">
        <f>A41</f>
        <v>成交单价</v>
      </c>
      <c r="Q41" s="3658"/>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658" t="str">
        <f>A42</f>
        <v>比较价值（元/平方米）</v>
      </c>
      <c r="Q42" s="3658"/>
      <c r="R42" s="3707" t="e">
        <f>ROUND(PRODUCT(R41,AA7:AA40),0)</f>
        <v>#DIV/0!</v>
      </c>
      <c r="S42" s="3707"/>
      <c r="T42" s="3707" t="e">
        <f>ROUND(PRODUCT(T41,AB7:AB40),0)</f>
        <v>#DIV/0!</v>
      </c>
      <c r="U42" s="3707"/>
      <c r="V42" s="3707" t="e">
        <f>ROUND(PRODUCT(V41,AC7:AC40),0)</f>
        <v>#DIV/0!</v>
      </c>
      <c r="W42" s="370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60" t="str">
        <f>A43</f>
        <v>估价对象XX用房的比较价值（楼面单价，元/平方米）</v>
      </c>
      <c r="Q43" s="3661"/>
      <c r="R43" s="3708" t="e">
        <f>ROUND(IF(D42="简单平均",AVERAGE(R42:W42),R42*F42+T42*H42+V42*J42),0)</f>
        <v>#DIV/0!</v>
      </c>
      <c r="S43" s="3708"/>
      <c r="T43" s="3708"/>
      <c r="U43" s="3708"/>
      <c r="V43" s="3708"/>
      <c r="W43" s="370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677" t="s">
        <v>1887</v>
      </c>
      <c r="H50" s="3709"/>
      <c r="I50" s="1354" t="s">
        <v>1922</v>
      </c>
      <c r="J50" s="1354">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51188.590000000004</v>
      </c>
      <c r="F51" s="639" t="e">
        <f t="shared" ref="F51:F60" si="15">ROUND(B51*E51/10000,0)</f>
        <v>#DIV/0!</v>
      </c>
      <c r="G51" s="3673"/>
      <c r="H51" s="3658"/>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4">
        <v>0.25</v>
      </c>
      <c r="E52" s="642"/>
      <c r="F52" s="639" t="e">
        <f t="shared" si="15"/>
        <v>#DIV/0!</v>
      </c>
      <c r="G52" s="3002" t="s">
        <v>1892</v>
      </c>
      <c r="H52" s="886" t="str">
        <f>项目基本情况!B37</f>
        <v>八级</v>
      </c>
      <c r="I52" s="772">
        <f>SUMIF(修正!A57:A68,H52,修正!B57:B68)</f>
        <v>0.5</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4">
        <v>0.25</v>
      </c>
      <c r="E53" s="642"/>
      <c r="F53" s="639" t="e">
        <f t="shared" si="15"/>
        <v>#DIV/0!</v>
      </c>
      <c r="G53" s="3003"/>
      <c r="H53" s="886" t="str">
        <f>项目基本情况!B37</f>
        <v>八级</v>
      </c>
      <c r="I53" s="772">
        <f>SUMIF(修正!A57:A68,H53,修正!C57:C68)</f>
        <v>0.2</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4">
        <v>0.25</v>
      </c>
      <c r="E54" s="642"/>
      <c r="F54" s="639" t="e">
        <f t="shared" si="15"/>
        <v>#DIV/0!</v>
      </c>
      <c r="G54" s="3003"/>
      <c r="H54" s="886" t="str">
        <f>项目基本情况!B37</f>
        <v>八级</v>
      </c>
      <c r="I54" s="772">
        <f>SUMIF(修正!A57:A68,H54,修正!D57:D68)</f>
        <v>0.2</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v>
      </c>
      <c r="D56" s="944">
        <v>0.25</v>
      </c>
      <c r="E56" s="217">
        <f>'数据-汇总表'!E11</f>
        <v>0</v>
      </c>
      <c r="F56" s="639" t="e">
        <f t="shared" si="15"/>
        <v>#DIV/0!</v>
      </c>
      <c r="G56" s="1984" t="s">
        <v>1896</v>
      </c>
      <c r="H56" s="886" t="str">
        <f>项目基本情况!C37</f>
        <v>八级</v>
      </c>
      <c r="I56" s="772">
        <f>SUMIF(修正!A57:A68,H56,修正!E57:E68)</f>
        <v>0.2</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v>
      </c>
      <c r="D57" s="944">
        <v>0.25</v>
      </c>
      <c r="E57" s="217">
        <f>'数据-汇总表'!E12</f>
        <v>0</v>
      </c>
      <c r="F57" s="639" t="e">
        <f t="shared" si="15"/>
        <v>#DIV/0!</v>
      </c>
      <c r="G57" s="891" t="s">
        <v>1898</v>
      </c>
      <c r="H57" s="886" t="str">
        <f>IF(G57="商业",项目基本情况!B37,IF(G57="办公",项目基本情况!C37,IF(G57="住宅",项目基本情况!D37,项目基本情况!E37)))</f>
        <v>八级</v>
      </c>
      <c r="I57" s="772">
        <f>SUMIF(修正!A57:A68,H57,修正!F57:F68)</f>
        <v>0.2</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4">
        <v>0.25</v>
      </c>
      <c r="E59" s="217">
        <f>'数据-汇总表'!E14</f>
        <v>20632.660000000003</v>
      </c>
      <c r="F59" s="639" t="e">
        <f t="shared" si="15"/>
        <v>#DIV/0!</v>
      </c>
      <c r="G59" s="1984" t="s">
        <v>1892</v>
      </c>
      <c r="H59" s="886" t="str">
        <f>项目基本情况!B37</f>
        <v>八级</v>
      </c>
      <c r="I59" s="772">
        <f>SUMIF(修正!A57:A68,H59,修正!G57:G68)</f>
        <v>0.1</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v>
      </c>
      <c r="D60" s="944">
        <v>0.25</v>
      </c>
      <c r="E60" s="217">
        <f>'数据-汇总表'!E15</f>
        <v>0</v>
      </c>
      <c r="F60" s="639" t="e">
        <f t="shared" si="15"/>
        <v>#DIV/0!</v>
      </c>
      <c r="G60" s="1985" t="s">
        <v>1896</v>
      </c>
      <c r="H60" s="896" t="str">
        <f>项目基本情况!C37</f>
        <v>八级</v>
      </c>
      <c r="I60" s="772">
        <f>SUMIF(修正!A57:A68,H60,修正!G57:G68)</f>
        <v>0.1</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e">
        <f>"北京市平均增长率"&amp;TEXT(#REF!,"0.00%")</f>
        <v>#REF!</v>
      </c>
      <c r="C66" s="552">
        <v>100</v>
      </c>
      <c r="D66" s="544"/>
      <c r="E66" s="544"/>
      <c r="F66" s="544"/>
      <c r="G66" s="544"/>
      <c r="H66" s="544"/>
      <c r="I66" s="544"/>
      <c r="J66" s="544"/>
      <c r="K66" s="544"/>
      <c r="L66" s="544"/>
      <c r="M66" s="1177"/>
      <c r="N66" s="1177"/>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779" t="s">
        <v>2083</v>
      </c>
      <c r="D1" s="3780"/>
      <c r="E1" s="3780"/>
      <c r="F1" s="3780"/>
      <c r="G1" s="3780"/>
      <c r="H1" s="3780"/>
      <c r="I1" s="3780"/>
      <c r="J1" s="3780"/>
      <c r="K1" s="3780"/>
      <c r="L1" s="3780"/>
      <c r="M1" s="3780"/>
      <c r="N1" s="3780"/>
      <c r="O1" s="3780"/>
      <c r="P1" s="3780"/>
      <c r="Q1" s="3780"/>
      <c r="R1" s="3780"/>
      <c r="S1" s="3781"/>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2094</v>
      </c>
      <c r="E19" s="1338"/>
      <c r="F19" s="1338"/>
      <c r="G19" s="1338"/>
      <c r="H19" s="1058"/>
      <c r="I19" s="159"/>
      <c r="J19" s="159"/>
      <c r="K19" s="159"/>
      <c r="L19" s="159"/>
      <c r="M19" s="159"/>
      <c r="N19" s="159"/>
      <c r="O19" s="159"/>
      <c r="P19" s="159"/>
      <c r="Q19" s="159"/>
      <c r="R19" s="718"/>
      <c r="S19" s="129"/>
    </row>
    <row r="20" spans="1:45" ht="16.5" thickBot="1">
      <c r="A20" s="662"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9">
        <f ca="1">结果表!H101</f>
        <v>132536</v>
      </c>
      <c r="E5" s="1488"/>
    </row>
    <row r="6" spans="1:5" ht="15.75">
      <c r="A6" s="1488"/>
      <c r="B6" s="3477"/>
      <c r="C6" s="1491" t="s">
        <v>911</v>
      </c>
      <c r="D6" s="849" t="str">
        <f ca="1">NUMBERSTRING(INT(D5*10000),2)&amp;"元整"</f>
        <v>壹拾叁亿贰仟伍佰叁拾陆万元整</v>
      </c>
      <c r="E6" s="1488"/>
    </row>
    <row r="7" spans="1:5" ht="15.75">
      <c r="A7" s="1488"/>
      <c r="B7" s="3482"/>
      <c r="C7" s="1492" t="s">
        <v>912</v>
      </c>
      <c r="D7" s="850">
        <f ca="1">结果表!H102</f>
        <v>15843</v>
      </c>
      <c r="E7" s="1488"/>
    </row>
    <row r="8" spans="1:5" ht="15.75">
      <c r="A8" s="1488"/>
      <c r="B8" s="3483" t="str">
        <f>结果表!E103</f>
        <v>2.估价师知悉的法定优先受偿款</v>
      </c>
      <c r="C8" s="1493" t="s">
        <v>913</v>
      </c>
      <c r="D8" s="850">
        <f>结果表!H103</f>
        <v>0</v>
      </c>
      <c r="E8" s="1488"/>
    </row>
    <row r="9" spans="1:5" ht="15.75">
      <c r="A9" s="1488"/>
      <c r="B9" s="3485"/>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76" t="str">
        <f>结果表!E107</f>
        <v>3.房地产抵押价值</v>
      </c>
      <c r="C13" s="1496" t="s">
        <v>910</v>
      </c>
      <c r="D13" s="852">
        <f ca="1">结果表!H107</f>
        <v>132536</v>
      </c>
      <c r="E13" s="1488"/>
    </row>
    <row r="14" spans="1:5" ht="15.75">
      <c r="A14" s="1488"/>
      <c r="B14" s="3477"/>
      <c r="C14" s="1491" t="s">
        <v>911</v>
      </c>
      <c r="D14" s="849" t="str">
        <f ca="1">NUMBERSTRING(INT(D13*10000),2)&amp;"元整"</f>
        <v>壹拾叁亿贰仟伍佰叁拾陆万元整</v>
      </c>
      <c r="E14" s="1488"/>
    </row>
    <row r="15" spans="1:5" ht="15">
      <c r="A15" s="1488"/>
      <c r="B15" s="3482"/>
      <c r="C15" s="1492" t="s">
        <v>921</v>
      </c>
      <c r="D15" s="858">
        <f ca="1">结果表!H108</f>
        <v>15843</v>
      </c>
      <c r="E15" s="1488"/>
    </row>
    <row r="16" spans="1:5" ht="15">
      <c r="A16" s="1488"/>
      <c r="B16" s="3483" t="str">
        <f>结果表!E109</f>
        <v>——</v>
      </c>
      <c r="C16" s="1496" t="s">
        <v>922</v>
      </c>
      <c r="D16" s="1497" t="str">
        <f>结果表!H109</f>
        <v>——</v>
      </c>
      <c r="E16" s="1488"/>
    </row>
    <row r="17" spans="1:5" ht="15.75">
      <c r="A17" s="1488"/>
      <c r="B17" s="3484"/>
      <c r="C17" s="1491" t="s">
        <v>923</v>
      </c>
      <c r="D17" s="849" t="e">
        <f>NUMBERSTRING(INT(D16*10000),2)&amp;"元整"</f>
        <v>#VALUE!</v>
      </c>
      <c r="E17" s="1488"/>
    </row>
    <row r="18" spans="1:5" ht="15">
      <c r="A18" s="1488"/>
      <c r="B18" s="3485"/>
      <c r="C18" s="1492" t="s">
        <v>912</v>
      </c>
      <c r="D18" s="858" t="str">
        <f>结果表!H110</f>
        <v>——</v>
      </c>
      <c r="E18" s="1488"/>
    </row>
    <row r="19" spans="1:5" ht="15.75">
      <c r="A19" s="1488"/>
      <c r="B19" s="3476" t="str">
        <f>结果表!E111</f>
        <v>——</v>
      </c>
      <c r="C19" s="1496" t="s">
        <v>910</v>
      </c>
      <c r="D19" s="850" t="str">
        <f>结果表!H111</f>
        <v>——</v>
      </c>
      <c r="E19" s="1488"/>
    </row>
    <row r="20" spans="1:5" ht="15.75">
      <c r="A20" s="1488"/>
      <c r="B20" s="3477"/>
      <c r="C20" s="1491" t="s">
        <v>923</v>
      </c>
      <c r="D20" s="849" t="e">
        <f>NUMBERSTRING(INT(D19*10000),2)&amp;"元整"</f>
        <v>#VALUE!</v>
      </c>
      <c r="E20" s="1488"/>
    </row>
    <row r="21" spans="1:5" ht="15.75" thickBot="1">
      <c r="A21" s="1488"/>
      <c r="B21" s="3478"/>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91" t="s">
        <v>2610</v>
      </c>
      <c r="B20" s="3786" t="s">
        <v>2631</v>
      </c>
      <c r="C20" s="3097" t="s">
        <v>2442</v>
      </c>
      <c r="D20" s="3098"/>
      <c r="E20" s="3099">
        <v>1</v>
      </c>
      <c r="F20" s="3100" t="s">
        <v>2443</v>
      </c>
      <c r="G20" s="3100"/>
    </row>
    <row r="21" spans="1:13" ht="19.5" customHeight="1">
      <c r="A21" s="3792"/>
      <c r="B21" s="3785"/>
      <c r="C21" s="3101" t="s">
        <v>2444</v>
      </c>
      <c r="D21" s="3102"/>
      <c r="E21" s="3103">
        <v>1</v>
      </c>
      <c r="F21" s="3100" t="s">
        <v>2445</v>
      </c>
      <c r="G21" s="3100"/>
    </row>
    <row r="22" spans="1:13" ht="19.5" customHeight="1">
      <c r="A22" s="3792"/>
      <c r="B22" s="3785"/>
      <c r="C22" s="3101" t="s">
        <v>2446</v>
      </c>
      <c r="D22" s="3102"/>
      <c r="E22" s="3103">
        <v>0.9</v>
      </c>
      <c r="F22" s="3100" t="s">
        <v>2447</v>
      </c>
      <c r="G22" s="3100"/>
    </row>
    <row r="23" spans="1:13" ht="19.5" customHeight="1">
      <c r="A23" s="3792"/>
      <c r="B23" s="3785"/>
      <c r="C23" s="3101" t="s">
        <v>2448</v>
      </c>
      <c r="D23" s="3102"/>
      <c r="E23" s="3103">
        <v>0.9</v>
      </c>
      <c r="F23" s="3100" t="s">
        <v>2449</v>
      </c>
      <c r="G23" s="3100"/>
    </row>
    <row r="24" spans="1:13" ht="19.5" customHeight="1">
      <c r="A24" s="3792"/>
      <c r="B24" s="3785"/>
      <c r="C24" s="3101" t="s">
        <v>2450</v>
      </c>
      <c r="D24" s="3102"/>
      <c r="E24" s="3103">
        <v>0.8</v>
      </c>
      <c r="F24" s="3100" t="s">
        <v>2451</v>
      </c>
      <c r="G24" s="3100"/>
    </row>
    <row r="25" spans="1:13" ht="19.5" customHeight="1" thickBot="1">
      <c r="A25" s="3793"/>
      <c r="B25" s="3787"/>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88" t="s">
        <v>2634</v>
      </c>
      <c r="B27" s="3786" t="s">
        <v>2615</v>
      </c>
      <c r="C27" s="3097" t="s">
        <v>2455</v>
      </c>
      <c r="D27" s="3098"/>
      <c r="E27" s="3099">
        <v>1</v>
      </c>
      <c r="F27" s="3100" t="s">
        <v>2456</v>
      </c>
      <c r="G27" s="3100"/>
    </row>
    <row r="28" spans="1:13" ht="19.5" customHeight="1">
      <c r="A28" s="3789"/>
      <c r="B28" s="3785"/>
      <c r="C28" s="3101" t="s">
        <v>2457</v>
      </c>
      <c r="D28" s="3102"/>
      <c r="E28" s="3103">
        <v>1</v>
      </c>
      <c r="F28" s="3100" t="s">
        <v>2458</v>
      </c>
      <c r="G28" s="3100"/>
    </row>
    <row r="29" spans="1:13" ht="19.5" customHeight="1">
      <c r="A29" s="3789"/>
      <c r="B29" s="3785"/>
      <c r="C29" s="3101" t="s">
        <v>2459</v>
      </c>
      <c r="D29" s="3102"/>
      <c r="E29" s="3103">
        <v>0.8</v>
      </c>
      <c r="F29" s="3100" t="s">
        <v>2460</v>
      </c>
      <c r="G29" s="3100"/>
    </row>
    <row r="30" spans="1:13" ht="19.5" customHeight="1">
      <c r="A30" s="3789"/>
      <c r="B30" s="3785"/>
      <c r="C30" s="3101" t="s">
        <v>2461</v>
      </c>
      <c r="D30" s="3102"/>
      <c r="E30" s="3103">
        <v>0.8</v>
      </c>
      <c r="F30" s="3100" t="s">
        <v>2462</v>
      </c>
      <c r="G30" s="3100"/>
    </row>
    <row r="31" spans="1:13" ht="19.5" customHeight="1">
      <c r="A31" s="3789"/>
      <c r="B31" s="3785"/>
      <c r="C31" s="3101" t="s">
        <v>2463</v>
      </c>
      <c r="D31" s="3102"/>
      <c r="E31" s="3103">
        <v>0.8</v>
      </c>
      <c r="F31" s="3100" t="s">
        <v>2464</v>
      </c>
      <c r="G31" s="3100"/>
    </row>
    <row r="32" spans="1:13" ht="19.5" customHeight="1">
      <c r="A32" s="3789"/>
      <c r="B32" s="3785"/>
      <c r="C32" s="3101" t="s">
        <v>2465</v>
      </c>
      <c r="D32" s="3102"/>
      <c r="E32" s="3103">
        <v>0.7</v>
      </c>
      <c r="F32" s="3100" t="s">
        <v>2466</v>
      </c>
      <c r="G32" s="3100"/>
    </row>
    <row r="33" spans="1:7" ht="19.5" customHeight="1">
      <c r="A33" s="3789"/>
      <c r="B33" s="3785"/>
      <c r="C33" s="3101" t="s">
        <v>2467</v>
      </c>
      <c r="D33" s="3102"/>
      <c r="E33" s="3103">
        <v>0.8</v>
      </c>
      <c r="F33" s="3100" t="s">
        <v>2468</v>
      </c>
      <c r="G33" s="3100"/>
    </row>
    <row r="34" spans="1:7" ht="19.5" customHeight="1">
      <c r="A34" s="3789"/>
      <c r="B34" s="3785"/>
      <c r="C34" s="3101" t="s">
        <v>2469</v>
      </c>
      <c r="D34" s="3102"/>
      <c r="E34" s="3103">
        <v>0.6</v>
      </c>
      <c r="F34" s="3100" t="s">
        <v>2470</v>
      </c>
      <c r="G34" s="3100"/>
    </row>
    <row r="35" spans="1:7" ht="19.5" customHeight="1">
      <c r="A35" s="3789"/>
      <c r="B35" s="3785"/>
      <c r="C35" s="3101" t="s">
        <v>2471</v>
      </c>
      <c r="D35" s="3102"/>
      <c r="E35" s="3103">
        <v>0.2</v>
      </c>
      <c r="F35" s="3100" t="s">
        <v>2472</v>
      </c>
      <c r="G35" s="3100"/>
    </row>
    <row r="36" spans="1:7" ht="19.5" customHeight="1">
      <c r="A36" s="3789"/>
      <c r="B36" s="3785"/>
      <c r="C36" s="3101" t="s">
        <v>2473</v>
      </c>
      <c r="D36" s="3102"/>
      <c r="E36" s="3103">
        <v>0.2</v>
      </c>
      <c r="F36" s="3100" t="s">
        <v>2474</v>
      </c>
      <c r="G36" s="3100"/>
    </row>
    <row r="37" spans="1:7" ht="19.5" customHeight="1">
      <c r="A37" s="3789"/>
      <c r="B37" s="3783" t="s">
        <v>2635</v>
      </c>
      <c r="C37" s="3101" t="s">
        <v>2475</v>
      </c>
      <c r="D37" s="3102"/>
      <c r="E37" s="3103">
        <v>0.6</v>
      </c>
      <c r="F37" s="3100" t="s">
        <v>2476</v>
      </c>
      <c r="G37" s="3100"/>
    </row>
    <row r="38" spans="1:7" ht="19.5" customHeight="1">
      <c r="A38" s="3789"/>
      <c r="B38" s="3785"/>
      <c r="C38" s="3101" t="s">
        <v>2477</v>
      </c>
      <c r="D38" s="3102"/>
      <c r="E38" s="3103">
        <v>0.6</v>
      </c>
      <c r="F38" s="3100" t="s">
        <v>2478</v>
      </c>
      <c r="G38" s="3100"/>
    </row>
    <row r="39" spans="1:7" ht="19.5" customHeight="1" thickBot="1">
      <c r="A39" s="3790"/>
      <c r="B39" s="3787"/>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91" t="s">
        <v>2613</v>
      </c>
      <c r="B41" s="3786" t="s">
        <v>2637</v>
      </c>
      <c r="C41" s="3097" t="s">
        <v>2482</v>
      </c>
      <c r="D41" s="3098"/>
      <c r="E41" s="3099">
        <v>1</v>
      </c>
      <c r="F41" s="3100" t="s">
        <v>2483</v>
      </c>
      <c r="G41" s="3100"/>
    </row>
    <row r="42" spans="1:7" ht="19.5" customHeight="1">
      <c r="A42" s="3792"/>
      <c r="B42" s="3785"/>
      <c r="C42" s="3101" t="s">
        <v>2484</v>
      </c>
      <c r="D42" s="3102"/>
      <c r="E42" s="3103">
        <v>1</v>
      </c>
      <c r="F42" s="3100" t="s">
        <v>2485</v>
      </c>
      <c r="G42" s="3100"/>
    </row>
    <row r="43" spans="1:7" ht="19.5" customHeight="1">
      <c r="A43" s="3792"/>
      <c r="B43" s="3784"/>
      <c r="C43" s="3101" t="s">
        <v>2486</v>
      </c>
      <c r="D43" s="3102"/>
      <c r="E43" s="3103">
        <v>1.5</v>
      </c>
      <c r="F43" s="3100" t="s">
        <v>2487</v>
      </c>
      <c r="G43" s="3100"/>
    </row>
    <row r="44" spans="1:7" ht="19.5" customHeight="1">
      <c r="A44" s="3792"/>
      <c r="B44" s="3112" t="s">
        <v>2638</v>
      </c>
      <c r="C44" s="3101" t="s">
        <v>2639</v>
      </c>
      <c r="D44" s="3102"/>
      <c r="E44" s="3103">
        <v>2</v>
      </c>
      <c r="F44" s="3100" t="s">
        <v>2488</v>
      </c>
      <c r="G44" s="3100"/>
    </row>
    <row r="45" spans="1:7" ht="19.5" customHeight="1">
      <c r="A45" s="3792"/>
      <c r="B45" s="3783" t="s">
        <v>2640</v>
      </c>
      <c r="C45" s="3101" t="s">
        <v>2489</v>
      </c>
      <c r="D45" s="3102"/>
      <c r="E45" s="3103">
        <v>1</v>
      </c>
      <c r="F45" s="3100" t="s">
        <v>2490</v>
      </c>
      <c r="G45" s="3100"/>
    </row>
    <row r="46" spans="1:7" ht="19.5" customHeight="1">
      <c r="A46" s="3792"/>
      <c r="B46" s="3785"/>
      <c r="C46" s="3101" t="s">
        <v>2491</v>
      </c>
      <c r="D46" s="3102"/>
      <c r="E46" s="3103">
        <v>1</v>
      </c>
      <c r="F46" s="3100" t="s">
        <v>2492</v>
      </c>
      <c r="G46" s="3100"/>
    </row>
    <row r="47" spans="1:7" ht="19.5" customHeight="1">
      <c r="A47" s="3792"/>
      <c r="B47" s="3785"/>
      <c r="C47" s="3101" t="s">
        <v>2493</v>
      </c>
      <c r="D47" s="3102"/>
      <c r="E47" s="3103">
        <v>1</v>
      </c>
      <c r="F47" s="3100" t="s">
        <v>2494</v>
      </c>
      <c r="G47" s="3100"/>
    </row>
    <row r="48" spans="1:7" ht="19.5" customHeight="1">
      <c r="A48" s="3792"/>
      <c r="B48" s="3785"/>
      <c r="C48" s="3101" t="s">
        <v>2495</v>
      </c>
      <c r="D48" s="3102"/>
      <c r="E48" s="3103">
        <v>1</v>
      </c>
      <c r="F48" s="3100" t="s">
        <v>2496</v>
      </c>
      <c r="G48" s="3100"/>
    </row>
    <row r="49" spans="1:7" ht="19.5" customHeight="1">
      <c r="A49" s="3792"/>
      <c r="B49" s="3785"/>
      <c r="C49" s="3101" t="s">
        <v>2497</v>
      </c>
      <c r="D49" s="3102"/>
      <c r="E49" s="3103">
        <v>1</v>
      </c>
      <c r="F49" s="3100" t="s">
        <v>2498</v>
      </c>
      <c r="G49" s="3100"/>
    </row>
    <row r="50" spans="1:7" ht="19.5" customHeight="1">
      <c r="A50" s="3792"/>
      <c r="B50" s="3785"/>
      <c r="C50" s="3101" t="s">
        <v>2499</v>
      </c>
      <c r="D50" s="3102"/>
      <c r="E50" s="3103">
        <v>1</v>
      </c>
      <c r="F50" s="3100" t="s">
        <v>2500</v>
      </c>
      <c r="G50" s="3100"/>
    </row>
    <row r="51" spans="1:7" ht="19.5" customHeight="1" thickBot="1">
      <c r="A51" s="3793"/>
      <c r="B51" s="3787"/>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83" t="s">
        <v>2654</v>
      </c>
      <c r="C73" s="3086" t="s">
        <v>2655</v>
      </c>
      <c r="D73" s="3086" t="s">
        <v>2656</v>
      </c>
      <c r="E73" s="3112">
        <v>0.2</v>
      </c>
      <c r="F73" s="3112">
        <v>25</v>
      </c>
    </row>
    <row r="74" spans="1:7" ht="24">
      <c r="A74" s="3112">
        <v>2</v>
      </c>
      <c r="B74" s="3785"/>
      <c r="C74" s="3086" t="s">
        <v>2657</v>
      </c>
      <c r="D74" s="3086" t="s">
        <v>2658</v>
      </c>
      <c r="E74" s="3112">
        <v>0.2</v>
      </c>
      <c r="F74" s="3112">
        <v>25</v>
      </c>
    </row>
    <row r="75" spans="1:7" ht="24">
      <c r="A75" s="3112">
        <v>3</v>
      </c>
      <c r="B75" s="3785"/>
      <c r="C75" s="3086" t="s">
        <v>2659</v>
      </c>
      <c r="D75" s="3086" t="s">
        <v>2660</v>
      </c>
      <c r="E75" s="3112">
        <v>0.2</v>
      </c>
      <c r="F75" s="3112">
        <v>25</v>
      </c>
    </row>
    <row r="76" spans="1:7" ht="13.5">
      <c r="A76" s="3112">
        <v>4</v>
      </c>
      <c r="B76" s="3785"/>
      <c r="C76" s="3086" t="s">
        <v>2661</v>
      </c>
      <c r="D76" s="3086" t="s">
        <v>2662</v>
      </c>
      <c r="E76" s="3112">
        <v>0.15</v>
      </c>
      <c r="F76" s="3112">
        <v>20</v>
      </c>
    </row>
    <row r="77" spans="1:7" ht="24">
      <c r="A77" s="3112">
        <v>5</v>
      </c>
      <c r="B77" s="3785"/>
      <c r="C77" s="3086" t="s">
        <v>2663</v>
      </c>
      <c r="D77" s="3086" t="s">
        <v>2664</v>
      </c>
      <c r="E77" s="3112">
        <v>0.15</v>
      </c>
      <c r="F77" s="3112">
        <v>20</v>
      </c>
    </row>
    <row r="78" spans="1:7" ht="24">
      <c r="A78" s="3112">
        <v>6</v>
      </c>
      <c r="B78" s="3785"/>
      <c r="C78" s="3086" t="s">
        <v>2665</v>
      </c>
      <c r="D78" s="3086" t="s">
        <v>2666</v>
      </c>
      <c r="E78" s="3112">
        <v>0.15</v>
      </c>
      <c r="F78" s="3112">
        <v>20</v>
      </c>
    </row>
    <row r="79" spans="1:7" ht="24">
      <c r="A79" s="3112">
        <v>7</v>
      </c>
      <c r="B79" s="3785"/>
      <c r="C79" s="3086" t="s">
        <v>2667</v>
      </c>
      <c r="D79" s="3086" t="s">
        <v>2668</v>
      </c>
      <c r="E79" s="3112">
        <v>0.15</v>
      </c>
      <c r="F79" s="3112">
        <v>20</v>
      </c>
    </row>
    <row r="80" spans="1:7" ht="24">
      <c r="A80" s="3112">
        <v>8</v>
      </c>
      <c r="B80" s="3785"/>
      <c r="C80" s="3086" t="s">
        <v>2669</v>
      </c>
      <c r="D80" s="3086" t="s">
        <v>2670</v>
      </c>
      <c r="E80" s="3112">
        <v>0.1</v>
      </c>
      <c r="F80" s="3112">
        <v>15</v>
      </c>
    </row>
    <row r="81" spans="1:6" ht="24">
      <c r="A81" s="3112">
        <v>9</v>
      </c>
      <c r="B81" s="3785"/>
      <c r="C81" s="3086" t="s">
        <v>2671</v>
      </c>
      <c r="D81" s="3086" t="s">
        <v>2672</v>
      </c>
      <c r="E81" s="3112">
        <v>0.1</v>
      </c>
      <c r="F81" s="3112">
        <v>15</v>
      </c>
    </row>
    <row r="82" spans="1:6" ht="24">
      <c r="A82" s="3112">
        <v>10</v>
      </c>
      <c r="B82" s="3785"/>
      <c r="C82" s="3086" t="s">
        <v>2673</v>
      </c>
      <c r="D82" s="3086" t="s">
        <v>2674</v>
      </c>
      <c r="E82" s="3112">
        <v>0.1</v>
      </c>
      <c r="F82" s="3112">
        <v>15</v>
      </c>
    </row>
    <row r="83" spans="1:6" ht="24">
      <c r="A83" s="3112">
        <v>11</v>
      </c>
      <c r="B83" s="3785"/>
      <c r="C83" s="3086" t="s">
        <v>2675</v>
      </c>
      <c r="D83" s="3086" t="s">
        <v>2676</v>
      </c>
      <c r="E83" s="3112">
        <v>0.1</v>
      </c>
      <c r="F83" s="3112">
        <v>15</v>
      </c>
    </row>
    <row r="84" spans="1:6" ht="24">
      <c r="A84" s="3112">
        <v>12</v>
      </c>
      <c r="B84" s="3785"/>
      <c r="C84" s="3086" t="s">
        <v>2677</v>
      </c>
      <c r="D84" s="3086" t="s">
        <v>2678</v>
      </c>
      <c r="E84" s="3112">
        <v>0.1</v>
      </c>
      <c r="F84" s="3112">
        <v>15</v>
      </c>
    </row>
    <row r="85" spans="1:6" ht="13.5">
      <c r="A85" s="3112">
        <v>13</v>
      </c>
      <c r="B85" s="3785"/>
      <c r="C85" s="3086" t="s">
        <v>2679</v>
      </c>
      <c r="D85" s="3086" t="s">
        <v>2680</v>
      </c>
      <c r="E85" s="3112">
        <v>0.1</v>
      </c>
      <c r="F85" s="3112">
        <v>15</v>
      </c>
    </row>
    <row r="86" spans="1:6" ht="13.5">
      <c r="A86" s="3112">
        <v>14</v>
      </c>
      <c r="B86" s="3785"/>
      <c r="C86" s="3086" t="s">
        <v>2681</v>
      </c>
      <c r="D86" s="3086" t="s">
        <v>2682</v>
      </c>
      <c r="E86" s="3112">
        <v>0.1</v>
      </c>
      <c r="F86" s="3112">
        <v>15</v>
      </c>
    </row>
    <row r="87" spans="1:6" ht="13.5">
      <c r="A87" s="3112">
        <v>15</v>
      </c>
      <c r="B87" s="3785"/>
      <c r="C87" s="3086" t="s">
        <v>2683</v>
      </c>
      <c r="D87" s="3086" t="s">
        <v>2684</v>
      </c>
      <c r="E87" s="3112">
        <v>0.1</v>
      </c>
      <c r="F87" s="3112">
        <v>15</v>
      </c>
    </row>
    <row r="88" spans="1:6" ht="24">
      <c r="A88" s="3112">
        <v>16</v>
      </c>
      <c r="B88" s="3785"/>
      <c r="C88" s="3086" t="s">
        <v>2685</v>
      </c>
      <c r="D88" s="3086" t="s">
        <v>2686</v>
      </c>
      <c r="E88" s="3112">
        <v>0.1</v>
      </c>
      <c r="F88" s="3112">
        <v>15</v>
      </c>
    </row>
    <row r="89" spans="1:6" ht="24">
      <c r="A89" s="3112">
        <v>17</v>
      </c>
      <c r="B89" s="3784"/>
      <c r="C89" s="3086" t="s">
        <v>2687</v>
      </c>
      <c r="D89" s="3086" t="s">
        <v>2688</v>
      </c>
      <c r="E89" s="3112">
        <v>0.1</v>
      </c>
      <c r="F89" s="3112">
        <v>15</v>
      </c>
    </row>
    <row r="90" spans="1:6" ht="13.5">
      <c r="A90" s="3112">
        <v>18</v>
      </c>
      <c r="B90" s="3783" t="s">
        <v>2689</v>
      </c>
      <c r="C90" s="3086" t="s">
        <v>2690</v>
      </c>
      <c r="D90" s="3086" t="s">
        <v>2691</v>
      </c>
      <c r="E90" s="3112">
        <v>0.2</v>
      </c>
      <c r="F90" s="3112">
        <v>25</v>
      </c>
    </row>
    <row r="91" spans="1:6" ht="24">
      <c r="A91" s="3112">
        <v>19</v>
      </c>
      <c r="B91" s="3785"/>
      <c r="C91" s="3086" t="s">
        <v>2692</v>
      </c>
      <c r="D91" s="3086" t="s">
        <v>2693</v>
      </c>
      <c r="E91" s="3112">
        <v>0.2</v>
      </c>
      <c r="F91" s="3112">
        <v>25</v>
      </c>
    </row>
    <row r="92" spans="1:6" ht="13.5">
      <c r="A92" s="3112">
        <v>20</v>
      </c>
      <c r="B92" s="3785"/>
      <c r="C92" s="3086" t="s">
        <v>2694</v>
      </c>
      <c r="D92" s="3086" t="s">
        <v>2695</v>
      </c>
      <c r="E92" s="3112">
        <v>0.15</v>
      </c>
      <c r="F92" s="3112">
        <v>20</v>
      </c>
    </row>
    <row r="93" spans="1:6" ht="13.5">
      <c r="A93" s="3112">
        <v>21</v>
      </c>
      <c r="B93" s="3785"/>
      <c r="C93" s="3086" t="s">
        <v>2696</v>
      </c>
      <c r="D93" s="3086" t="s">
        <v>2697</v>
      </c>
      <c r="E93" s="3112">
        <v>0.15</v>
      </c>
      <c r="F93" s="3112">
        <v>20</v>
      </c>
    </row>
    <row r="94" spans="1:6" ht="13.5">
      <c r="A94" s="3112">
        <v>22</v>
      </c>
      <c r="B94" s="3785"/>
      <c r="C94" s="3086" t="s">
        <v>2698</v>
      </c>
      <c r="D94" s="3086" t="s">
        <v>2699</v>
      </c>
      <c r="E94" s="3112">
        <v>0.15</v>
      </c>
      <c r="F94" s="3112">
        <v>20</v>
      </c>
    </row>
    <row r="95" spans="1:6" ht="36">
      <c r="A95" s="3112">
        <v>23</v>
      </c>
      <c r="B95" s="3785"/>
      <c r="C95" s="3086" t="s">
        <v>2700</v>
      </c>
      <c r="D95" s="3086" t="s">
        <v>2701</v>
      </c>
      <c r="E95" s="3112">
        <v>0.15</v>
      </c>
      <c r="F95" s="3112">
        <v>20</v>
      </c>
    </row>
    <row r="96" spans="1:6" ht="13.5">
      <c r="A96" s="3112">
        <v>24</v>
      </c>
      <c r="B96" s="3785"/>
      <c r="C96" s="3086" t="s">
        <v>2702</v>
      </c>
      <c r="D96" s="3086" t="s">
        <v>2703</v>
      </c>
      <c r="E96" s="3112">
        <v>0.1</v>
      </c>
      <c r="F96" s="3112">
        <v>15</v>
      </c>
    </row>
    <row r="97" spans="1:6" ht="13.5">
      <c r="A97" s="3112">
        <v>25</v>
      </c>
      <c r="B97" s="3785"/>
      <c r="C97" s="3086" t="s">
        <v>2704</v>
      </c>
      <c r="D97" s="3086" t="s">
        <v>2705</v>
      </c>
      <c r="E97" s="3112">
        <v>0.1</v>
      </c>
      <c r="F97" s="3112">
        <v>15</v>
      </c>
    </row>
    <row r="98" spans="1:6" ht="24">
      <c r="A98" s="3112">
        <v>26</v>
      </c>
      <c r="B98" s="3785"/>
      <c r="C98" s="3086" t="s">
        <v>2706</v>
      </c>
      <c r="D98" s="3086" t="s">
        <v>2707</v>
      </c>
      <c r="E98" s="3112">
        <v>0.1</v>
      </c>
      <c r="F98" s="3112">
        <v>15</v>
      </c>
    </row>
    <row r="99" spans="1:6" ht="24">
      <c r="A99" s="3112">
        <v>27</v>
      </c>
      <c r="B99" s="3785"/>
      <c r="C99" s="3086" t="s">
        <v>2708</v>
      </c>
      <c r="D99" s="3086" t="s">
        <v>2709</v>
      </c>
      <c r="E99" s="3112">
        <v>0.1</v>
      </c>
      <c r="F99" s="3112">
        <v>15</v>
      </c>
    </row>
    <row r="100" spans="1:6" ht="13.5">
      <c r="A100" s="3112">
        <v>28</v>
      </c>
      <c r="B100" s="3785"/>
      <c r="C100" s="3086" t="s">
        <v>2710</v>
      </c>
      <c r="D100" s="3086" t="s">
        <v>2711</v>
      </c>
      <c r="E100" s="3112">
        <v>0.1</v>
      </c>
      <c r="F100" s="3112">
        <v>15</v>
      </c>
    </row>
    <row r="101" spans="1:6" ht="13.5">
      <c r="A101" s="3112">
        <v>29</v>
      </c>
      <c r="B101" s="3785"/>
      <c r="C101" s="3086" t="s">
        <v>2712</v>
      </c>
      <c r="D101" s="3086" t="s">
        <v>2713</v>
      </c>
      <c r="E101" s="3112">
        <v>0.1</v>
      </c>
      <c r="F101" s="3112">
        <v>15</v>
      </c>
    </row>
    <row r="102" spans="1:6" ht="13.5">
      <c r="A102" s="3112">
        <v>30</v>
      </c>
      <c r="B102" s="3785"/>
      <c r="C102" s="3086" t="s">
        <v>2714</v>
      </c>
      <c r="D102" s="3086" t="s">
        <v>2715</v>
      </c>
      <c r="E102" s="3112">
        <v>0.1</v>
      </c>
      <c r="F102" s="3112">
        <v>15</v>
      </c>
    </row>
    <row r="103" spans="1:6" ht="24">
      <c r="A103" s="3112">
        <v>31</v>
      </c>
      <c r="B103" s="3785"/>
      <c r="C103" s="3086" t="s">
        <v>2716</v>
      </c>
      <c r="D103" s="3086" t="s">
        <v>2717</v>
      </c>
      <c r="E103" s="3112">
        <v>0.1</v>
      </c>
      <c r="F103" s="3112">
        <v>15</v>
      </c>
    </row>
    <row r="104" spans="1:6" ht="24">
      <c r="A104" s="3112">
        <v>32</v>
      </c>
      <c r="B104" s="3785"/>
      <c r="C104" s="3086" t="s">
        <v>2718</v>
      </c>
      <c r="D104" s="3086" t="s">
        <v>2719</v>
      </c>
      <c r="E104" s="3112">
        <v>0.1</v>
      </c>
      <c r="F104" s="3112">
        <v>15</v>
      </c>
    </row>
    <row r="105" spans="1:6" ht="24">
      <c r="A105" s="3112">
        <v>33</v>
      </c>
      <c r="B105" s="3785"/>
      <c r="C105" s="3086" t="s">
        <v>2720</v>
      </c>
      <c r="D105" s="3086" t="s">
        <v>2721</v>
      </c>
      <c r="E105" s="3112">
        <v>0.1</v>
      </c>
      <c r="F105" s="3112">
        <v>15</v>
      </c>
    </row>
    <row r="106" spans="1:6" ht="24">
      <c r="A106" s="3112">
        <v>34</v>
      </c>
      <c r="B106" s="3784"/>
      <c r="C106" s="3086" t="s">
        <v>2722</v>
      </c>
      <c r="D106" s="3086" t="s">
        <v>2723</v>
      </c>
      <c r="E106" s="3112">
        <v>0.1</v>
      </c>
      <c r="F106" s="3112">
        <v>15</v>
      </c>
    </row>
    <row r="107" spans="1:6" ht="24">
      <c r="A107" s="3112">
        <v>35</v>
      </c>
      <c r="B107" s="3783" t="s">
        <v>2724</v>
      </c>
      <c r="C107" s="3112" t="s">
        <v>2725</v>
      </c>
      <c r="D107" s="3086" t="s">
        <v>2726</v>
      </c>
      <c r="E107" s="3112">
        <v>0.15</v>
      </c>
      <c r="F107" s="3112">
        <v>20</v>
      </c>
    </row>
    <row r="108" spans="1:6" ht="13.5">
      <c r="A108" s="3112">
        <v>36</v>
      </c>
      <c r="B108" s="3785"/>
      <c r="C108" s="3112" t="s">
        <v>2727</v>
      </c>
      <c r="D108" s="3086" t="s">
        <v>2728</v>
      </c>
      <c r="E108" s="3112">
        <v>0.15</v>
      </c>
      <c r="F108" s="3112">
        <v>20</v>
      </c>
    </row>
    <row r="109" spans="1:6" ht="13.5">
      <c r="A109" s="3112">
        <v>37</v>
      </c>
      <c r="B109" s="3785"/>
      <c r="C109" s="3112" t="s">
        <v>2729</v>
      </c>
      <c r="D109" s="3086" t="s">
        <v>2730</v>
      </c>
      <c r="E109" s="3112">
        <v>0.15</v>
      </c>
      <c r="F109" s="3112">
        <v>20</v>
      </c>
    </row>
    <row r="110" spans="1:6" ht="13.5">
      <c r="A110" s="3112">
        <v>38</v>
      </c>
      <c r="B110" s="3785"/>
      <c r="C110" s="3112" t="s">
        <v>2731</v>
      </c>
      <c r="D110" s="3086" t="s">
        <v>2732</v>
      </c>
      <c r="E110" s="3112">
        <v>0.1</v>
      </c>
      <c r="F110" s="3112">
        <v>15</v>
      </c>
    </row>
    <row r="111" spans="1:6" ht="24">
      <c r="A111" s="3112">
        <v>39</v>
      </c>
      <c r="B111" s="3785"/>
      <c r="C111" s="3112" t="s">
        <v>2733</v>
      </c>
      <c r="D111" s="3086" t="s">
        <v>2734</v>
      </c>
      <c r="E111" s="3112">
        <v>0.1</v>
      </c>
      <c r="F111" s="3112">
        <v>15</v>
      </c>
    </row>
    <row r="112" spans="1:6" ht="24">
      <c r="A112" s="3112">
        <v>40</v>
      </c>
      <c r="B112" s="3784"/>
      <c r="C112" s="3112" t="s">
        <v>2735</v>
      </c>
      <c r="D112" s="3086" t="s">
        <v>2736</v>
      </c>
      <c r="E112" s="3112">
        <v>0.1</v>
      </c>
      <c r="F112" s="3112">
        <v>15</v>
      </c>
    </row>
    <row r="113" spans="1:6" ht="13.5">
      <c r="A113" s="3112">
        <v>41</v>
      </c>
      <c r="B113" s="3782" t="s">
        <v>2737</v>
      </c>
      <c r="C113" s="3112" t="s">
        <v>2738</v>
      </c>
      <c r="D113" s="3086" t="s">
        <v>2739</v>
      </c>
      <c r="E113" s="3112">
        <v>0.1</v>
      </c>
      <c r="F113" s="3112">
        <v>15</v>
      </c>
    </row>
    <row r="114" spans="1:6" ht="13.5">
      <c r="A114" s="3112">
        <v>42</v>
      </c>
      <c r="B114" s="3782"/>
      <c r="C114" s="3112" t="s">
        <v>2740</v>
      </c>
      <c r="D114" s="3086" t="s">
        <v>2741</v>
      </c>
      <c r="E114" s="3112">
        <v>0.1</v>
      </c>
      <c r="F114" s="3112">
        <v>15</v>
      </c>
    </row>
    <row r="115" spans="1:6" ht="24">
      <c r="A115" s="3112">
        <v>43</v>
      </c>
      <c r="B115" s="3782"/>
      <c r="C115" s="3112" t="s">
        <v>2742</v>
      </c>
      <c r="D115" s="3086" t="s">
        <v>2743</v>
      </c>
      <c r="E115" s="3112">
        <v>0.1</v>
      </c>
      <c r="F115" s="3112">
        <v>15</v>
      </c>
    </row>
    <row r="116" spans="1:6" ht="13.5">
      <c r="A116" s="3112">
        <v>44</v>
      </c>
      <c r="B116" s="3783" t="s">
        <v>2744</v>
      </c>
      <c r="C116" s="3112" t="s">
        <v>2745</v>
      </c>
      <c r="D116" s="3086" t="s">
        <v>2746</v>
      </c>
      <c r="E116" s="3112">
        <v>0.1</v>
      </c>
      <c r="F116" s="3112">
        <v>15</v>
      </c>
    </row>
    <row r="117" spans="1:6" ht="24">
      <c r="A117" s="3112">
        <v>45</v>
      </c>
      <c r="B117" s="3784"/>
      <c r="C117" s="3086" t="s">
        <v>2747</v>
      </c>
      <c r="D117" s="3086" t="s">
        <v>2748</v>
      </c>
      <c r="E117" s="3112">
        <v>0.1</v>
      </c>
      <c r="F117" s="3112">
        <v>15</v>
      </c>
    </row>
    <row r="118" spans="1:6" ht="24">
      <c r="A118" s="3112">
        <v>46</v>
      </c>
      <c r="B118" s="3783" t="s">
        <v>2749</v>
      </c>
      <c r="C118" s="3112" t="s">
        <v>2750</v>
      </c>
      <c r="D118" s="3086" t="s">
        <v>2751</v>
      </c>
      <c r="E118" s="3112">
        <v>0.1</v>
      </c>
      <c r="F118" s="3112">
        <v>15</v>
      </c>
    </row>
    <row r="119" spans="1:6" ht="24">
      <c r="A119" s="3112">
        <v>47</v>
      </c>
      <c r="B119" s="3784"/>
      <c r="C119" s="3112" t="s">
        <v>2752</v>
      </c>
      <c r="D119" s="3086" t="s">
        <v>2753</v>
      </c>
      <c r="E119" s="3112">
        <v>0.1</v>
      </c>
      <c r="F119" s="3112">
        <v>15</v>
      </c>
    </row>
    <row r="120" spans="1:6" ht="13.5">
      <c r="A120" s="3112">
        <v>48</v>
      </c>
      <c r="B120" s="3783" t="s">
        <v>2754</v>
      </c>
      <c r="C120" s="3112" t="s">
        <v>2755</v>
      </c>
      <c r="D120" s="3086" t="s">
        <v>2756</v>
      </c>
      <c r="E120" s="3112">
        <v>0.1</v>
      </c>
      <c r="F120" s="3112">
        <v>15</v>
      </c>
    </row>
    <row r="121" spans="1:6" ht="13.5">
      <c r="A121" s="3112">
        <v>49</v>
      </c>
      <c r="B121" s="3784"/>
      <c r="C121" s="3112" t="s">
        <v>2757</v>
      </c>
      <c r="D121" s="3086" t="s">
        <v>2758</v>
      </c>
      <c r="E121" s="3112">
        <v>0.1</v>
      </c>
      <c r="F121" s="3112">
        <v>15</v>
      </c>
    </row>
    <row r="122" spans="1:6" ht="24">
      <c r="A122" s="3112">
        <v>50</v>
      </c>
      <c r="B122" s="3782" t="s">
        <v>2759</v>
      </c>
      <c r="C122" s="3112" t="s">
        <v>2760</v>
      </c>
      <c r="D122" s="3086" t="s">
        <v>2761</v>
      </c>
      <c r="E122" s="3112">
        <v>0.1</v>
      </c>
      <c r="F122" s="3112">
        <v>15</v>
      </c>
    </row>
    <row r="123" spans="1:6" ht="24">
      <c r="A123" s="3112">
        <v>51</v>
      </c>
      <c r="B123" s="3782"/>
      <c r="C123" s="3112" t="s">
        <v>2762</v>
      </c>
      <c r="D123" s="3086" t="s">
        <v>2763</v>
      </c>
      <c r="E123" s="3112">
        <v>0.1</v>
      </c>
      <c r="F123" s="3112">
        <v>15</v>
      </c>
    </row>
    <row r="124" spans="1:6" ht="24">
      <c r="A124" s="3112">
        <v>52</v>
      </c>
      <c r="B124" s="3782" t="s">
        <v>2764</v>
      </c>
      <c r="C124" s="3112" t="s">
        <v>2765</v>
      </c>
      <c r="D124" s="3086" t="s">
        <v>2766</v>
      </c>
      <c r="E124" s="3112">
        <v>0.1</v>
      </c>
      <c r="F124" s="3112">
        <v>15</v>
      </c>
    </row>
    <row r="125" spans="1:6" ht="24">
      <c r="A125" s="3112">
        <v>53</v>
      </c>
      <c r="B125" s="3782"/>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782" t="s">
        <v>2772</v>
      </c>
      <c r="C127" s="3112" t="s">
        <v>2773</v>
      </c>
      <c r="D127" s="3086" t="s">
        <v>2774</v>
      </c>
      <c r="E127" s="3112">
        <v>0.1</v>
      </c>
      <c r="F127" s="3112">
        <v>15</v>
      </c>
    </row>
    <row r="128" spans="1:6" ht="13.5">
      <c r="A128" s="3112">
        <v>56</v>
      </c>
      <c r="B128" s="3782"/>
      <c r="C128" s="3112" t="s">
        <v>2775</v>
      </c>
      <c r="D128" s="3086" t="s">
        <v>2776</v>
      </c>
      <c r="E128" s="3112">
        <v>0.1</v>
      </c>
      <c r="F128" s="3112">
        <v>15</v>
      </c>
    </row>
    <row r="129" spans="1:6" ht="24">
      <c r="A129" s="3112">
        <v>57</v>
      </c>
      <c r="B129" s="3782"/>
      <c r="C129" s="3112" t="s">
        <v>2777</v>
      </c>
      <c r="D129" s="3086" t="s">
        <v>2778</v>
      </c>
      <c r="E129" s="3112">
        <v>0.1</v>
      </c>
      <c r="F129" s="3112">
        <v>15</v>
      </c>
    </row>
    <row r="130" spans="1:6" ht="24">
      <c r="A130" s="3112">
        <v>58</v>
      </c>
      <c r="B130" s="3782" t="s">
        <v>2779</v>
      </c>
      <c r="C130" s="3112" t="s">
        <v>2780</v>
      </c>
      <c r="D130" s="3086" t="s">
        <v>2781</v>
      </c>
      <c r="E130" s="3112">
        <v>0.1</v>
      </c>
      <c r="F130" s="3112">
        <v>15</v>
      </c>
    </row>
    <row r="131" spans="1:6" ht="13.5">
      <c r="A131" s="3112">
        <v>59</v>
      </c>
      <c r="B131" s="3782"/>
      <c r="C131" s="3112" t="s">
        <v>2782</v>
      </c>
      <c r="D131" s="3086" t="s">
        <v>2783</v>
      </c>
      <c r="E131" s="3112">
        <v>0.1</v>
      </c>
      <c r="F131" s="3112">
        <v>15</v>
      </c>
    </row>
    <row r="132" spans="1:6" ht="13.5">
      <c r="A132" s="3112">
        <v>60</v>
      </c>
      <c r="B132" s="3783" t="s">
        <v>2784</v>
      </c>
      <c r="C132" s="3112" t="s">
        <v>2785</v>
      </c>
      <c r="D132" s="3086" t="s">
        <v>2786</v>
      </c>
      <c r="E132" s="3112">
        <v>0.1</v>
      </c>
      <c r="F132" s="3112">
        <v>15</v>
      </c>
    </row>
    <row r="133" spans="1:6" ht="13.5">
      <c r="A133" s="3112">
        <v>61</v>
      </c>
      <c r="B133" s="3784"/>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782" t="s">
        <v>2792</v>
      </c>
      <c r="C135" s="3112" t="s">
        <v>2793</v>
      </c>
      <c r="D135" s="3086" t="s">
        <v>2794</v>
      </c>
      <c r="E135" s="3112">
        <v>0.1</v>
      </c>
      <c r="F135" s="3112">
        <v>15</v>
      </c>
    </row>
    <row r="136" spans="1:6" ht="13.5">
      <c r="A136" s="3112">
        <v>64</v>
      </c>
      <c r="B136" s="3782"/>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2801</v>
      </c>
      <c r="B1" s="3121"/>
      <c r="C1" s="3121"/>
      <c r="D1" s="3121"/>
      <c r="E1" s="3121"/>
      <c r="F1" s="3121"/>
      <c r="G1" s="3121"/>
      <c r="H1" s="3121"/>
      <c r="I1" s="3121"/>
      <c r="J1" s="3121"/>
      <c r="K1" s="3121"/>
      <c r="L1" s="3121"/>
      <c r="M1" s="3121"/>
      <c r="N1" s="749"/>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50" t="e">
        <f>SUMPRODUCT((A95:A184=ROUNDDOWN(#REF!,1))*(B94:M94=#REF!)*(B95:M184))</f>
        <v>#REF!</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50" t="e">
        <f>SUMPRODUCT((A371:A460=ROUNDDOWN(#REF!,1))*(B370:M370=#REF!)*(B371:M460))</f>
        <v>#REF!</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72792</v>
      </c>
      <c r="C2" s="2" t="s">
        <v>106</v>
      </c>
      <c r="D2" s="199"/>
      <c r="E2" s="199"/>
      <c r="F2" s="199"/>
      <c r="G2" s="199"/>
    </row>
    <row r="3" spans="1:7" s="200" customFormat="1" ht="18" customHeight="1" thickBot="1">
      <c r="A3" s="203" t="s">
        <v>58</v>
      </c>
      <c r="B3" s="204">
        <f ca="1">ROUND(B2*10000/'数据-汇总表'!E3,0)</f>
        <v>8701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117</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3637</v>
      </c>
      <c r="D27" s="235">
        <f>C29</f>
        <v>3.2000000000000002E-3</v>
      </c>
      <c r="E27" s="236" t="s">
        <v>99</v>
      </c>
      <c r="F27" s="246">
        <f>'数据-取费表'!Q16</f>
        <v>0.16</v>
      </c>
      <c r="G27" s="247" t="s">
        <v>431</v>
      </c>
    </row>
    <row r="28" spans="1:7" s="214" customFormat="1" ht="13.5" customHeight="1">
      <c r="A28" s="779" t="s">
        <v>349</v>
      </c>
      <c r="B28" s="248" t="s">
        <v>424</v>
      </c>
      <c r="C28" s="249">
        <f>ROUND((C5+C19+C20)*F27*'数据-取费表'!B21/'数据-取费表'!B20,0)</f>
        <v>3637</v>
      </c>
      <c r="D28" s="235"/>
      <c r="E28" s="236"/>
      <c r="F28" s="246"/>
      <c r="G28" s="247"/>
    </row>
    <row r="29" spans="1:7" s="214" customFormat="1" ht="13.5" customHeight="1">
      <c r="A29" s="779" t="s">
        <v>347</v>
      </c>
      <c r="B29" s="248" t="s">
        <v>425</v>
      </c>
      <c r="C29" s="238">
        <f>ROUND(C21*F27*'数据-取费表'!B21/'数据-取费表'!B20,4)</f>
        <v>3.2000000000000002E-3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30253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35582</v>
      </c>
      <c r="D34" s="217"/>
      <c r="E34" s="220"/>
      <c r="F34" s="257">
        <f>IF('数据-取费表'!B24=0,1,'数据-取费表'!N16)</f>
        <v>1</v>
      </c>
      <c r="G34" s="219" t="s">
        <v>89</v>
      </c>
    </row>
    <row r="35" spans="1:7" ht="13.5" customHeight="1">
      <c r="A35" s="779" t="s">
        <v>351</v>
      </c>
      <c r="B35" s="215" t="s">
        <v>33</v>
      </c>
      <c r="C35" s="220">
        <f>ROUND(C34*F35,0)</f>
        <v>1067</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534</v>
      </c>
      <c r="D38" s="220"/>
      <c r="E38" s="220"/>
      <c r="F38" s="259">
        <f>'数据-取费表'!B36</f>
        <v>1.4999999999999999E-2</v>
      </c>
      <c r="G38" s="219" t="s">
        <v>90</v>
      </c>
    </row>
    <row r="39" spans="1:7" s="214" customFormat="1" ht="13.5" customHeight="1">
      <c r="A39" s="776" t="s">
        <v>338</v>
      </c>
      <c r="B39" s="210" t="s">
        <v>77</v>
      </c>
      <c r="C39" s="232">
        <f>ROUND(C33*F20,0)</f>
        <v>777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1368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1341</v>
      </c>
      <c r="D42" s="238"/>
      <c r="E42" s="238"/>
      <c r="F42" s="239"/>
      <c r="G42" s="3704" t="s">
        <v>94</v>
      </c>
    </row>
    <row r="43" spans="1:7" ht="13.5" customHeight="1">
      <c r="A43" s="779" t="s">
        <v>347</v>
      </c>
      <c r="B43" s="215" t="s">
        <v>426</v>
      </c>
      <c r="C43" s="238">
        <f ca="1">ROUND(IF('数据-取费表'!B22&lt;=1,C39*F22*'数据-取费表'!B21/2,C39*(POWER((1+F22),'数据-取费表'!B21/2)-1)),0)</f>
        <v>27</v>
      </c>
      <c r="D43" s="238"/>
      <c r="E43" s="238"/>
      <c r="F43" s="239"/>
      <c r="G43" s="3705"/>
    </row>
    <row r="44" spans="1:7" ht="13.5" customHeight="1">
      <c r="A44" s="779"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6" t="s">
        <v>341</v>
      </c>
      <c r="B45" s="244" t="s">
        <v>85</v>
      </c>
      <c r="C45" s="245">
        <f>C46</f>
        <v>6341</v>
      </c>
      <c r="D45" s="235">
        <f>C47</f>
        <v>3.2000000000000002E-3</v>
      </c>
      <c r="E45" s="236" t="s">
        <v>102</v>
      </c>
      <c r="F45" s="246"/>
      <c r="G45" s="247" t="s">
        <v>434</v>
      </c>
    </row>
    <row r="46" spans="1:7" s="214" customFormat="1" ht="13.5" customHeight="1">
      <c r="A46" s="779" t="s">
        <v>349</v>
      </c>
      <c r="B46" s="248" t="s">
        <v>427</v>
      </c>
      <c r="C46" s="249">
        <f>ROUND((C33+C39)*F27,0)</f>
        <v>6341</v>
      </c>
      <c r="D46" s="263"/>
      <c r="E46" s="236"/>
      <c r="F46" s="246"/>
      <c r="G46" s="247"/>
    </row>
    <row r="47" spans="1:7" s="214" customFormat="1" ht="13.5" customHeight="1">
      <c r="A47" s="779" t="s">
        <v>347</v>
      </c>
      <c r="B47" s="248" t="s">
        <v>429</v>
      </c>
      <c r="C47" s="238">
        <f>ROUND(C40*F27,4)</f>
        <v>3.2000000000000002E-3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51252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42539</v>
      </c>
      <c r="D51" s="232"/>
      <c r="E51" s="232"/>
      <c r="F51" s="264"/>
      <c r="G51" s="234" t="s">
        <v>37</v>
      </c>
    </row>
    <row r="52" spans="1:7" s="208" customFormat="1" ht="16.5" thickBot="1">
      <c r="A52" s="265" t="s">
        <v>38</v>
      </c>
      <c r="B52" s="266"/>
      <c r="C52" s="267">
        <f ca="1">C31+C51</f>
        <v>72792</v>
      </c>
      <c r="D52" s="266"/>
      <c r="E52" s="266"/>
      <c r="F52" s="266"/>
      <c r="G52" s="268"/>
    </row>
    <row r="55" spans="1:7" ht="15">
      <c r="B55" s="270" t="s">
        <v>39</v>
      </c>
      <c r="C55" s="271"/>
    </row>
    <row r="56" spans="1:7">
      <c r="B56" s="273" t="s">
        <v>40</v>
      </c>
      <c r="C56" s="274">
        <f ca="1">ROUND(C51/C52,3)</f>
        <v>0.58399999999999996</v>
      </c>
    </row>
    <row r="57" spans="1:7">
      <c r="B57" s="273" t="s">
        <v>41</v>
      </c>
      <c r="C57" s="275">
        <f ca="1">1-C56</f>
        <v>0.41600000000000004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6" t="s">
        <v>2844</v>
      </c>
      <c r="B1" s="3796"/>
      <c r="C1" s="3796"/>
      <c r="D1" s="3796"/>
      <c r="E1" s="3796"/>
      <c r="F1" s="3796"/>
      <c r="G1" s="3797"/>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794" t="s">
        <v>2871</v>
      </c>
      <c r="B3" s="3224"/>
      <c r="C3" s="3225" t="s">
        <v>2814</v>
      </c>
      <c r="D3" s="3225" t="s">
        <v>2872</v>
      </c>
      <c r="E3" s="3225" t="s">
        <v>2816</v>
      </c>
      <c r="F3" s="3225" t="s">
        <v>2873</v>
      </c>
      <c r="G3" s="3225" t="s">
        <v>2634</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795"/>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8" t="s">
        <v>3186</v>
      </c>
      <c r="B1" s="3798"/>
    </row>
    <row r="2" spans="1:7" ht="14.25" thickBot="1">
      <c r="A2" s="3249"/>
      <c r="B2" s="3249"/>
    </row>
    <row r="3" spans="1:7" ht="14.25" thickBot="1">
      <c r="A3" s="3249"/>
      <c r="B3" s="3249"/>
      <c r="C3" s="3250" t="s">
        <v>2814</v>
      </c>
      <c r="D3" s="3250" t="s">
        <v>2872</v>
      </c>
      <c r="E3" s="3250" t="s">
        <v>2816</v>
      </c>
      <c r="F3" s="3250" t="s">
        <v>2873</v>
      </c>
      <c r="G3" s="3250" t="s">
        <v>2634</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ht="15">
      <c r="A1" s="3799" t="s">
        <v>3237</v>
      </c>
      <c r="B1" s="3799"/>
      <c r="C1" s="3799"/>
      <c r="D1" s="3799"/>
      <c r="E1" s="3799"/>
      <c r="F1" s="3800"/>
    </row>
    <row r="2" spans="1:6" ht="15">
      <c r="A2" s="3285" t="s">
        <v>3238</v>
      </c>
      <c r="B2" s="3286"/>
      <c r="C2" s="3286"/>
      <c r="D2" s="3286"/>
      <c r="E2" s="3286"/>
      <c r="F2" s="3286"/>
    </row>
    <row r="3" spans="1:6" ht="15">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t="e">
        <f>#REF!</f>
        <v>#REF!</v>
      </c>
      <c r="B1" s="3204" t="s">
        <v>2843</v>
      </c>
      <c r="C1" s="3205"/>
      <c r="D1" s="3205"/>
      <c r="E1" s="3205"/>
      <c r="F1" s="3205"/>
      <c r="G1" s="3205"/>
      <c r="H1" s="3205"/>
      <c r="I1" s="3205"/>
      <c r="J1" s="3159"/>
      <c r="K1" s="3205" t="s">
        <v>454</v>
      </c>
      <c r="L1" s="3205"/>
      <c r="M1" s="3205"/>
      <c r="N1" s="3205"/>
      <c r="O1" s="3205"/>
      <c r="P1" s="3205"/>
      <c r="Q1" s="3159"/>
      <c r="R1" s="3801" t="s">
        <v>456</v>
      </c>
      <c r="S1" s="3802"/>
      <c r="T1" s="3802"/>
      <c r="U1" s="3802"/>
      <c r="V1" s="3802"/>
      <c r="W1" s="3802"/>
      <c r="X1" s="3159"/>
      <c r="Y1" s="3801" t="s">
        <v>457</v>
      </c>
      <c r="Z1" s="3802"/>
      <c r="AA1" s="3802"/>
      <c r="AB1" s="3802"/>
      <c r="AC1" s="3802"/>
      <c r="AD1" s="3802"/>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3334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3335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3339</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3338</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3336</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3330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3321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5" customFormat="1" ht="14.25" thickTop="1"/>
    <row r="18" spans="1:30" s="3005" customFormat="1">
      <c r="A18" s="3439" t="s">
        <v>3332</v>
      </c>
    </row>
    <row r="19" spans="1:30" s="3005" customFormat="1">
      <c r="I19" s="3202" t="s">
        <v>2828</v>
      </c>
    </row>
    <row r="20" spans="1:30" s="3005"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801" t="s">
        <v>2831</v>
      </c>
      <c r="S21" s="3802"/>
      <c r="T21" s="3802"/>
      <c r="U21" s="3802"/>
      <c r="V21" s="3802"/>
      <c r="W21" s="3802"/>
      <c r="X21" s="3159"/>
      <c r="Y21" s="3801" t="s">
        <v>2832</v>
      </c>
      <c r="Z21" s="3802"/>
      <c r="AA21" s="3802"/>
      <c r="AB21" s="3802"/>
      <c r="AC21" s="3802"/>
      <c r="AD21" s="3802"/>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3334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1.0396000000000001</v>
      </c>
      <c r="T25" s="3177">
        <f>ROUND(IF([3]项目基本情况!$B$8="出让",SUMPRODUCT(PRODUCT(1+M25:M$36)),SUMPRODUCT(PRODUCT(1+M25:M$35))),4)</f>
        <v>1.0269999999999999</v>
      </c>
      <c r="U25" s="3177">
        <f>ROUND(IF([3]项目基本情况!$B$8="出让",SUMPRODUCT(PRODUCT(1+N25:N$36)),SUMPRODUCT(PRODUCT(1+N25:N$35))),4)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3335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1.0396000000000001</v>
      </c>
      <c r="T26" s="3177">
        <f>ROUND(IF([3]项目基本情况!$B$8="出让",SUMPRODUCT(PRODUCT(1+M26:M$36)),SUMPRODUCT(PRODUCT(1+M26:M$35))),4)</f>
        <v>1.0269999999999999</v>
      </c>
      <c r="U26" s="3177">
        <f>ROUND(IF([3]项目基本情况!$B$8="出让",SUMPRODUCT(PRODUCT(1+N26:N$36)),SUMPRODUCT(PRODUCT(1+N26:N$35))),4)</f>
        <v>1.0668</v>
      </c>
      <c r="V26" s="3177"/>
      <c r="W26" s="3177">
        <f t="shared" ref="W26:W28" si="32">T26</f>
        <v>1.0269999999999999</v>
      </c>
      <c r="X26" s="3175"/>
      <c r="Y26" s="3178"/>
      <c r="Z26" s="3206"/>
      <c r="AA26" s="3440"/>
      <c r="AB26" s="3440"/>
      <c r="AC26" s="3207"/>
      <c r="AD26" s="3178"/>
    </row>
    <row r="27" spans="1:30" s="3189" customFormat="1" ht="12.75">
      <c r="A27" s="3180" t="s">
        <v>3337</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ROUND(IF([3]项目基本情况!$B$8="出让",SUMPRODUCT(PRODUCT(1+L27:L$36)),SUMPRODUCT(PRODUCT(1+L27:L$35))),4)</f>
        <v>1.0396000000000001</v>
      </c>
      <c r="T27" s="3186">
        <f>ROUND(IF([3]项目基本情况!$B$8="出让",SUMPRODUCT(PRODUCT(1+M27:M$36)),SUMPRODUCT(PRODUCT(1+M27:M$35))),4)</f>
        <v>1.0269999999999999</v>
      </c>
      <c r="U27" s="3186">
        <f>ROUND(IF([3]项目基本情况!$B$8="出让",SUMPRODUCT(PRODUCT(1+N27:N$36)),SUMPRODUCT(PRODUCT(1+N27:N$35))),4)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3338</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ROUND(IF([3]项目基本情况!$B$8="出让",SUMPRODUCT(PRODUCT(1+L28:L$36)),SUMPRODUCT(PRODUCT(1+L28:L$35))),4)</f>
        <v>1.0344</v>
      </c>
      <c r="T28" s="3177">
        <f>ROUND(IF([3]项目基本情况!$B$8="出让",SUMPRODUCT(PRODUCT(1+M28:M$36)),SUMPRODUCT(PRODUCT(1+M28:M$35))),4)</f>
        <v>1.0224</v>
      </c>
      <c r="U28" s="3177">
        <f>ROUND(IF([3]项目基本情况!$B$8="出让",SUMPRODUCT(PRODUCT(1+N28:N$36)),SUMPRODUCT(PRODUCT(1+N28:N$35))),4)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3336</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3331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3321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39" t="s">
        <v>3333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3329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3326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3327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3328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45159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100595</v>
      </c>
      <c r="E4" s="853">
        <f ca="1">结果表!E118</f>
        <v>12025</v>
      </c>
      <c r="F4" s="853">
        <f ca="1">结果表!F118</f>
        <v>31941</v>
      </c>
      <c r="G4" s="853">
        <f ca="1">结果表!G118</f>
        <v>3818</v>
      </c>
      <c r="H4" s="853">
        <f ca="1">结果表!H118</f>
        <v>132536</v>
      </c>
      <c r="I4" s="853">
        <f ca="1">结果表!I118</f>
        <v>15843</v>
      </c>
    </row>
    <row r="5" spans="1:9" ht="30" customHeight="1">
      <c r="A5" s="3489" t="s">
        <v>927</v>
      </c>
      <c r="B5" s="3489"/>
      <c r="C5" s="3489"/>
      <c r="D5" s="3489" t="str">
        <f ca="1">结果表!D119</f>
        <v>壹拾亿零伍佰玖拾伍万元整</v>
      </c>
      <c r="E5" s="3489"/>
      <c r="F5" s="3489" t="str">
        <f ca="1">结果表!F119</f>
        <v>叁亿壹仟玖佰肆拾壹万元整</v>
      </c>
      <c r="G5" s="3489"/>
      <c r="H5" s="3489" t="str">
        <f ca="1">结果表!H119</f>
        <v>壹拾叁亿贰仟伍佰叁拾陆万元整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132536</v>
      </c>
      <c r="E8" s="3488"/>
      <c r="F8" s="3488"/>
      <c r="G8" s="3488"/>
      <c r="H8" s="3488"/>
      <c r="I8" s="3488"/>
    </row>
    <row r="9" spans="1:9" ht="15">
      <c r="A9" s="3489" t="s">
        <v>927</v>
      </c>
      <c r="B9" s="3489"/>
      <c r="C9" s="3489"/>
      <c r="D9" s="3489" t="str">
        <f ca="1">结果表!D123</f>
        <v>壹拾叁亿贰仟伍佰叁拾陆万元整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45160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2440</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39"/>
      <c r="E18" s="3514" t="s">
        <v>2161</v>
      </c>
      <c r="F18" s="3513"/>
      <c r="G18" s="3513"/>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土地案例</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2023-08-22T01:26:25Z</dcterms:modified>
</cp:coreProperties>
</file>