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066上地数码广场\F03\最终\"/>
    </mc:Choice>
  </mc:AlternateContent>
  <bookViews>
    <workbookView xWindow="480" yWindow="216" windowWidth="12120" windowHeight="7620"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81" r:id="rId19"/>
    <sheet name="成本法" sheetId="68" state="hidden" r:id="rId20"/>
    <sheet name="成本法 (元)" sheetId="69" state="hidden" r:id="rId21"/>
    <sheet name="假设开发法" sheetId="12" state="hidden" r:id="rId22"/>
    <sheet name="收益法-车库" sheetId="80" state="hidden" r:id="rId23"/>
    <sheet name="收益法-出租" sheetId="78" state="hidden" r:id="rId24"/>
    <sheet name="收益法-自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7" r:id="rId48"/>
    <sheet name="租赁情况"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_FilterDatabase" localSheetId="48" hidden="1">租赁情况!$A$1:$G$1</definedName>
    <definedName name="_xlnm.Print_Area" localSheetId="8">估价师及机构信息!$A$1:$F$29</definedName>
    <definedName name="_xlnm.Print_Area" localSheetId="25">'收益法 (元)'!$A$1:$AK$69</definedName>
    <definedName name="_xlnm.Print_Area" localSheetId="22">'收益法-车库'!$A$1:$AK$69</definedName>
    <definedName name="_xlnm.Print_Area" localSheetId="23">'收益法-出租'!$A$1:$AK$69</definedName>
    <definedName name="_xlnm.Print_Area" localSheetId="2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E92" i="37"/>
  <c r="F92" i="37"/>
  <c r="G92" i="37" s="1"/>
  <c r="D92" i="37"/>
  <c r="E53" i="37" l="1"/>
  <c r="F53" i="37"/>
  <c r="G53" i="37" s="1"/>
  <c r="D53" i="37"/>
  <c r="B21" i="1" l="1"/>
  <c r="AN13" i="3"/>
  <c r="L14" i="1" l="1"/>
  <c r="G20" i="6"/>
  <c r="J3" i="79" l="1"/>
  <c r="J4" i="79"/>
  <c r="J5" i="79"/>
  <c r="J6" i="79"/>
  <c r="J7" i="79"/>
  <c r="J8" i="79"/>
  <c r="J9" i="79"/>
  <c r="J10" i="79"/>
  <c r="J11" i="79"/>
  <c r="J12" i="79"/>
  <c r="J13" i="79"/>
  <c r="J14" i="79"/>
  <c r="J15" i="79"/>
  <c r="J16" i="79"/>
  <c r="J17" i="79"/>
  <c r="J18" i="79"/>
  <c r="J19" i="79"/>
  <c r="J20" i="79"/>
  <c r="J21" i="79"/>
  <c r="J22" i="79"/>
  <c r="J23" i="79"/>
  <c r="J2" i="79"/>
  <c r="J24" i="79" s="1"/>
  <c r="F24" i="79" s="1"/>
  <c r="I3" i="79"/>
  <c r="I4" i="79"/>
  <c r="I5" i="79"/>
  <c r="I6" i="79"/>
  <c r="I7" i="79"/>
  <c r="I8" i="79"/>
  <c r="I9" i="79"/>
  <c r="I10" i="79"/>
  <c r="I11" i="79"/>
  <c r="I12" i="79"/>
  <c r="I13" i="79"/>
  <c r="I14" i="79"/>
  <c r="I15" i="79"/>
  <c r="I16" i="79"/>
  <c r="I17" i="79"/>
  <c r="I18" i="79"/>
  <c r="I19" i="79"/>
  <c r="I20" i="79"/>
  <c r="I21" i="79"/>
  <c r="I22" i="79"/>
  <c r="I23" i="79"/>
  <c r="I2" i="79"/>
  <c r="I24" i="79" s="1"/>
  <c r="E24" i="79" s="1"/>
  <c r="H3" i="79"/>
  <c r="H4" i="79"/>
  <c r="H5" i="79"/>
  <c r="H6" i="79"/>
  <c r="H7" i="79"/>
  <c r="H8" i="79"/>
  <c r="H9" i="79"/>
  <c r="H10" i="79"/>
  <c r="H11" i="79"/>
  <c r="H12" i="79"/>
  <c r="H13" i="79"/>
  <c r="H14" i="79"/>
  <c r="H15" i="79"/>
  <c r="H16" i="79"/>
  <c r="H17" i="79"/>
  <c r="H18" i="79"/>
  <c r="H19" i="79"/>
  <c r="H20" i="79"/>
  <c r="H21" i="79"/>
  <c r="H22" i="79"/>
  <c r="H23" i="79"/>
  <c r="H2" i="79"/>
  <c r="C24" i="79"/>
  <c r="Q72" i="80"/>
  <c r="Q59" i="80"/>
  <c r="K59" i="80"/>
  <c r="P74" i="80" s="1"/>
  <c r="F59" i="80"/>
  <c r="Q58" i="80"/>
  <c r="Q51" i="80"/>
  <c r="J50" i="80"/>
  <c r="M47" i="80"/>
  <c r="D46" i="80"/>
  <c r="F33" i="80"/>
  <c r="F61" i="80" s="1"/>
  <c r="F31" i="80"/>
  <c r="F23" i="80"/>
  <c r="D24" i="80" s="1"/>
  <c r="F21" i="80"/>
  <c r="F20" i="80"/>
  <c r="M19" i="80"/>
  <c r="F18" i="80"/>
  <c r="M17" i="80"/>
  <c r="F17" i="80"/>
  <c r="F15" i="80"/>
  <c r="D22" i="80" l="1"/>
  <c r="F26" i="79"/>
  <c r="D23" i="80"/>
  <c r="P61" i="80"/>
  <c r="D29" i="43" l="1"/>
  <c r="N14" i="1"/>
  <c r="F60" i="37" l="1"/>
  <c r="G60" i="37" s="1"/>
  <c r="H10" i="37"/>
  <c r="AB10" i="37" s="1"/>
  <c r="C17" i="9"/>
  <c r="D17" i="9"/>
  <c r="A6" i="1"/>
  <c r="A7" i="1"/>
  <c r="E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D13" i="3"/>
  <c r="BE13" i="3"/>
  <c r="BF13" i="3"/>
  <c r="BG13" i="3"/>
  <c r="BH13" i="3"/>
  <c r="BI13" i="3"/>
  <c r="BJ13" i="3"/>
  <c r="BK13" i="3"/>
  <c r="BM13" i="3"/>
  <c r="BN13" i="3"/>
  <c r="BO13" i="3"/>
  <c r="BP13" i="3"/>
  <c r="BB14" i="3"/>
  <c r="BC14" i="3"/>
  <c r="BD14" i="3"/>
  <c r="BE14" i="3"/>
  <c r="BF14" i="3"/>
  <c r="BG14" i="3"/>
  <c r="BH14" i="3"/>
  <c r="BI14" i="3"/>
  <c r="BJ14" i="3"/>
  <c r="BK14" i="3"/>
  <c r="BM14" i="3"/>
  <c r="BN14" i="3"/>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D17" i="3"/>
  <c r="BE17" i="3"/>
  <c r="BF17" i="3"/>
  <c r="BG17" i="3"/>
  <c r="BH17" i="3"/>
  <c r="BI17" i="3"/>
  <c r="BJ17" i="3"/>
  <c r="BK17" i="3"/>
  <c r="BM17" i="3"/>
  <c r="BN17" i="3"/>
  <c r="BO17" i="3"/>
  <c r="BP17" i="3"/>
  <c r="BB18" i="3"/>
  <c r="BC18" i="3"/>
  <c r="BD18" i="3"/>
  <c r="BE18" i="3"/>
  <c r="BF18" i="3"/>
  <c r="BG18" i="3"/>
  <c r="BH18" i="3"/>
  <c r="BI18" i="3"/>
  <c r="BJ18" i="3"/>
  <c r="BK18" i="3"/>
  <c r="BM18" i="3"/>
  <c r="BN18" i="3"/>
  <c r="BO18" i="3"/>
  <c r="BP18" i="3"/>
  <c r="BB19" i="3"/>
  <c r="BC19" i="3"/>
  <c r="BD19" i="3"/>
  <c r="BE19" i="3"/>
  <c r="BF19" i="3"/>
  <c r="BG19" i="3"/>
  <c r="BH19" i="3"/>
  <c r="BI19" i="3"/>
  <c r="BJ19" i="3"/>
  <c r="BK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O22" i="3"/>
  <c r="BP22" i="3"/>
  <c r="BB23" i="3"/>
  <c r="BC23" i="3"/>
  <c r="BD23" i="3"/>
  <c r="BE23" i="3"/>
  <c r="BF23" i="3"/>
  <c r="BG23" i="3"/>
  <c r="BH23" i="3"/>
  <c r="BI23" i="3"/>
  <c r="BJ23" i="3"/>
  <c r="BK23" i="3"/>
  <c r="BM23" i="3"/>
  <c r="BN23" i="3"/>
  <c r="BO23" i="3"/>
  <c r="BP23" i="3"/>
  <c r="BB24" i="3"/>
  <c r="BC24" i="3"/>
  <c r="BD24" i="3"/>
  <c r="BE24" i="3"/>
  <c r="BF24" i="3"/>
  <c r="BG24" i="3"/>
  <c r="BH24" i="3"/>
  <c r="BI24" i="3"/>
  <c r="BJ24" i="3"/>
  <c r="BK24" i="3"/>
  <c r="BM24" i="3"/>
  <c r="BN24" i="3"/>
  <c r="BO24" i="3"/>
  <c r="BP24" i="3"/>
  <c r="BB25" i="3"/>
  <c r="BC25" i="3"/>
  <c r="BD25" i="3"/>
  <c r="BE25" i="3"/>
  <c r="BF25" i="3"/>
  <c r="BG25" i="3"/>
  <c r="BH25" i="3"/>
  <c r="BI25" i="3"/>
  <c r="BJ25" i="3"/>
  <c r="BK25" i="3"/>
  <c r="BM25" i="3"/>
  <c r="BN25" i="3"/>
  <c r="BO25" i="3"/>
  <c r="BP25" i="3"/>
  <c r="BB26" i="3"/>
  <c r="BC26" i="3"/>
  <c r="BD26" i="3"/>
  <c r="BE26" i="3"/>
  <c r="BF26" i="3"/>
  <c r="BG26" i="3"/>
  <c r="BH26" i="3"/>
  <c r="BI26" i="3"/>
  <c r="BJ26" i="3"/>
  <c r="BK26" i="3"/>
  <c r="BM26" i="3"/>
  <c r="BN26" i="3"/>
  <c r="BO26" i="3"/>
  <c r="BP26" i="3"/>
  <c r="BL26" i="3"/>
  <c r="BB27" i="3"/>
  <c r="BC27" i="3"/>
  <c r="BD27" i="3"/>
  <c r="BE27" i="3"/>
  <c r="BF27" i="3"/>
  <c r="BG27" i="3"/>
  <c r="BH27" i="3"/>
  <c r="BI27" i="3"/>
  <c r="BJ27" i="3"/>
  <c r="BK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M29" i="3"/>
  <c r="BN29" i="3"/>
  <c r="BO29" i="3"/>
  <c r="BP29" i="3"/>
  <c r="BB30" i="3"/>
  <c r="BC30" i="3"/>
  <c r="BD30" i="3"/>
  <c r="BE30" i="3"/>
  <c r="BF30" i="3"/>
  <c r="BG30" i="3"/>
  <c r="BH30" i="3"/>
  <c r="BI30" i="3"/>
  <c r="BJ30" i="3"/>
  <c r="BK30" i="3"/>
  <c r="BM30" i="3"/>
  <c r="BN30" i="3"/>
  <c r="BO30" i="3"/>
  <c r="BP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D33" i="3"/>
  <c r="BE33" i="3"/>
  <c r="BF33" i="3"/>
  <c r="BG33" i="3"/>
  <c r="BH33" i="3"/>
  <c r="BI33" i="3"/>
  <c r="BJ33" i="3"/>
  <c r="BK33" i="3"/>
  <c r="BM33" i="3"/>
  <c r="BN33" i="3"/>
  <c r="BO33" i="3"/>
  <c r="BP33" i="3"/>
  <c r="BB34" i="3"/>
  <c r="BC34" i="3"/>
  <c r="BD34" i="3"/>
  <c r="BE34" i="3"/>
  <c r="BF34" i="3"/>
  <c r="BG34" i="3"/>
  <c r="BH34" i="3"/>
  <c r="BI34" i="3"/>
  <c r="BJ34" i="3"/>
  <c r="BK34" i="3"/>
  <c r="BM34" i="3"/>
  <c r="BN34" i="3"/>
  <c r="BO34" i="3"/>
  <c r="BP34" i="3"/>
  <c r="BB35" i="3"/>
  <c r="BC35" i="3"/>
  <c r="BD35" i="3"/>
  <c r="BE35" i="3"/>
  <c r="BF35" i="3"/>
  <c r="BG35" i="3"/>
  <c r="BH35" i="3"/>
  <c r="BI35" i="3"/>
  <c r="BJ35" i="3"/>
  <c r="BK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O38" i="3"/>
  <c r="BP38" i="3"/>
  <c r="BB39" i="3"/>
  <c r="BC39" i="3"/>
  <c r="BD39" i="3"/>
  <c r="BE39" i="3"/>
  <c r="BF39" i="3"/>
  <c r="BG39" i="3"/>
  <c r="BH39" i="3"/>
  <c r="BI39" i="3"/>
  <c r="BJ39" i="3"/>
  <c r="BK39" i="3"/>
  <c r="BM39" i="3"/>
  <c r="BN39" i="3"/>
  <c r="BO39" i="3"/>
  <c r="BP39" i="3"/>
  <c r="BB40" i="3"/>
  <c r="BC40" i="3"/>
  <c r="BD40" i="3"/>
  <c r="BE40" i="3"/>
  <c r="BF40" i="3"/>
  <c r="BG40" i="3"/>
  <c r="BH40" i="3"/>
  <c r="BI40" i="3"/>
  <c r="BJ40" i="3"/>
  <c r="BK40" i="3"/>
  <c r="BM40" i="3"/>
  <c r="BN40" i="3"/>
  <c r="BO40" i="3"/>
  <c r="BP40" i="3"/>
  <c r="BB41" i="3"/>
  <c r="BC41" i="3"/>
  <c r="BD41" i="3"/>
  <c r="BE41" i="3"/>
  <c r="BF41" i="3"/>
  <c r="BG41" i="3"/>
  <c r="BH41" i="3"/>
  <c r="BI41" i="3"/>
  <c r="BJ41" i="3"/>
  <c r="BK41" i="3"/>
  <c r="BM41" i="3"/>
  <c r="BN41" i="3"/>
  <c r="BO41" i="3"/>
  <c r="BP41" i="3"/>
  <c r="BB42" i="3"/>
  <c r="BC42" i="3"/>
  <c r="BD42" i="3"/>
  <c r="BE42" i="3"/>
  <c r="BF42" i="3"/>
  <c r="BG42" i="3"/>
  <c r="BH42" i="3"/>
  <c r="BI42" i="3"/>
  <c r="BJ42" i="3"/>
  <c r="BK42" i="3"/>
  <c r="BM42" i="3"/>
  <c r="BN42" i="3"/>
  <c r="BO42" i="3"/>
  <c r="BP42" i="3"/>
  <c r="BL42" i="3"/>
  <c r="BB43" i="3"/>
  <c r="BC43" i="3"/>
  <c r="BD43" i="3"/>
  <c r="BE43" i="3"/>
  <c r="BF43" i="3"/>
  <c r="BG43" i="3"/>
  <c r="BH43" i="3"/>
  <c r="BI43" i="3"/>
  <c r="BJ43" i="3"/>
  <c r="BK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M45" i="3"/>
  <c r="BN45" i="3"/>
  <c r="BO45" i="3"/>
  <c r="BP45" i="3"/>
  <c r="BB46" i="3"/>
  <c r="BC46" i="3"/>
  <c r="BD46" i="3"/>
  <c r="BE46" i="3"/>
  <c r="BF46" i="3"/>
  <c r="BG46" i="3"/>
  <c r="BH46" i="3"/>
  <c r="BI46" i="3"/>
  <c r="BJ46" i="3"/>
  <c r="BK46" i="3"/>
  <c r="BM46" i="3"/>
  <c r="BN46" i="3"/>
  <c r="BO46" i="3"/>
  <c r="BP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D49" i="3"/>
  <c r="BE49" i="3"/>
  <c r="BF49" i="3"/>
  <c r="BG49" i="3"/>
  <c r="BH49" i="3"/>
  <c r="BI49" i="3"/>
  <c r="BJ49" i="3"/>
  <c r="BK49" i="3"/>
  <c r="BM49" i="3"/>
  <c r="BN49" i="3"/>
  <c r="BO49" i="3"/>
  <c r="BP49" i="3"/>
  <c r="BB50" i="3"/>
  <c r="BC50" i="3"/>
  <c r="BD50" i="3"/>
  <c r="BE50" i="3"/>
  <c r="BF50" i="3"/>
  <c r="BG50" i="3"/>
  <c r="BH50" i="3"/>
  <c r="BI50" i="3"/>
  <c r="BJ50" i="3"/>
  <c r="BK50" i="3"/>
  <c r="BM50" i="3"/>
  <c r="BN50" i="3"/>
  <c r="BO50" i="3"/>
  <c r="BP50" i="3"/>
  <c r="BB51" i="3"/>
  <c r="BC51" i="3"/>
  <c r="BD51" i="3"/>
  <c r="BE51" i="3"/>
  <c r="BF51" i="3"/>
  <c r="BG51" i="3"/>
  <c r="BH51" i="3"/>
  <c r="BI51" i="3"/>
  <c r="BJ51" i="3"/>
  <c r="BK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O54" i="3"/>
  <c r="BP54" i="3"/>
  <c r="BB55" i="3"/>
  <c r="BC55" i="3"/>
  <c r="BD55" i="3"/>
  <c r="BE55" i="3"/>
  <c r="BF55" i="3"/>
  <c r="BG55" i="3"/>
  <c r="BH55" i="3"/>
  <c r="BI55" i="3"/>
  <c r="BJ55" i="3"/>
  <c r="BK55" i="3"/>
  <c r="BM55" i="3"/>
  <c r="BN55" i="3"/>
  <c r="BO55" i="3"/>
  <c r="BP55" i="3"/>
  <c r="BB56" i="3"/>
  <c r="BC56" i="3"/>
  <c r="BD56" i="3"/>
  <c r="BE56" i="3"/>
  <c r="BF56" i="3"/>
  <c r="BG56" i="3"/>
  <c r="BH56" i="3"/>
  <c r="BI56" i="3"/>
  <c r="BJ56" i="3"/>
  <c r="BK56" i="3"/>
  <c r="BM56" i="3"/>
  <c r="BN56" i="3"/>
  <c r="BO56" i="3"/>
  <c r="BP56" i="3"/>
  <c r="BB57" i="3"/>
  <c r="BC57" i="3"/>
  <c r="BD57" i="3"/>
  <c r="BE57" i="3"/>
  <c r="BF57" i="3"/>
  <c r="BG57" i="3"/>
  <c r="BH57" i="3"/>
  <c r="BI57" i="3"/>
  <c r="BJ57" i="3"/>
  <c r="BK57" i="3"/>
  <c r="BM57" i="3"/>
  <c r="BN57" i="3"/>
  <c r="BO57" i="3"/>
  <c r="BP57" i="3"/>
  <c r="BB58" i="3"/>
  <c r="BC58" i="3"/>
  <c r="BD58" i="3"/>
  <c r="BE58" i="3"/>
  <c r="BF58" i="3"/>
  <c r="BG58" i="3"/>
  <c r="BH58" i="3"/>
  <c r="BI58" i="3"/>
  <c r="BJ58" i="3"/>
  <c r="BK58" i="3"/>
  <c r="BM58" i="3"/>
  <c r="BN58" i="3"/>
  <c r="BO58" i="3"/>
  <c r="BP58" i="3"/>
  <c r="BL58" i="3"/>
  <c r="BB59" i="3"/>
  <c r="BC59" i="3"/>
  <c r="BD59" i="3"/>
  <c r="BE59" i="3"/>
  <c r="BF59" i="3"/>
  <c r="BG59" i="3"/>
  <c r="BH59" i="3"/>
  <c r="BI59" i="3"/>
  <c r="BJ59" i="3"/>
  <c r="BK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M61" i="3"/>
  <c r="BN61" i="3"/>
  <c r="BO61" i="3"/>
  <c r="BP61" i="3"/>
  <c r="BB62" i="3"/>
  <c r="BC62" i="3"/>
  <c r="BD62" i="3"/>
  <c r="BE62" i="3"/>
  <c r="BF62" i="3"/>
  <c r="BG62" i="3"/>
  <c r="BH62" i="3"/>
  <c r="BI62" i="3"/>
  <c r="BJ62" i="3"/>
  <c r="BK62" i="3"/>
  <c r="BM62" i="3"/>
  <c r="BN62" i="3"/>
  <c r="BO62" i="3"/>
  <c r="BP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D65" i="3"/>
  <c r="BE65" i="3"/>
  <c r="BF65" i="3"/>
  <c r="BG65" i="3"/>
  <c r="BH65" i="3"/>
  <c r="BI65" i="3"/>
  <c r="BJ65" i="3"/>
  <c r="BK65" i="3"/>
  <c r="BM65" i="3"/>
  <c r="BN65" i="3"/>
  <c r="BO65" i="3"/>
  <c r="BP65" i="3"/>
  <c r="BB66" i="3"/>
  <c r="BC66" i="3"/>
  <c r="BD66" i="3"/>
  <c r="BE66" i="3"/>
  <c r="BF66" i="3"/>
  <c r="BG66" i="3"/>
  <c r="BH66" i="3"/>
  <c r="BI66" i="3"/>
  <c r="BJ66" i="3"/>
  <c r="BK66" i="3"/>
  <c r="BM66" i="3"/>
  <c r="BN66" i="3"/>
  <c r="BO66" i="3"/>
  <c r="BP66" i="3"/>
  <c r="BB67" i="3"/>
  <c r="BC67" i="3"/>
  <c r="BD67" i="3"/>
  <c r="BE67" i="3"/>
  <c r="BF67" i="3"/>
  <c r="BG67" i="3"/>
  <c r="BH67" i="3"/>
  <c r="BI67" i="3"/>
  <c r="BJ67" i="3"/>
  <c r="BK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O70" i="3"/>
  <c r="BP70" i="3"/>
  <c r="BB71" i="3"/>
  <c r="BC71" i="3"/>
  <c r="BD71" i="3"/>
  <c r="BE71" i="3"/>
  <c r="BF71" i="3"/>
  <c r="BG71" i="3"/>
  <c r="BH71" i="3"/>
  <c r="BI71" i="3"/>
  <c r="BJ71" i="3"/>
  <c r="BK71" i="3"/>
  <c r="BM71" i="3"/>
  <c r="BN71" i="3"/>
  <c r="BO71" i="3"/>
  <c r="BP71" i="3"/>
  <c r="BB72" i="3"/>
  <c r="BC72" i="3"/>
  <c r="BD72" i="3"/>
  <c r="BE72" i="3"/>
  <c r="BF72" i="3"/>
  <c r="BG72" i="3"/>
  <c r="BH72" i="3"/>
  <c r="BI72" i="3"/>
  <c r="BJ72" i="3"/>
  <c r="BK72" i="3"/>
  <c r="BM72" i="3"/>
  <c r="BN72" i="3"/>
  <c r="BO72" i="3"/>
  <c r="BP72" i="3"/>
  <c r="BB73" i="3"/>
  <c r="BC73" i="3"/>
  <c r="BD73" i="3"/>
  <c r="BE73" i="3"/>
  <c r="BF73" i="3"/>
  <c r="BG73" i="3"/>
  <c r="BH73" i="3"/>
  <c r="BI73" i="3"/>
  <c r="BJ73" i="3"/>
  <c r="BK73" i="3"/>
  <c r="BM73" i="3"/>
  <c r="BN73" i="3"/>
  <c r="BO73" i="3"/>
  <c r="BP73" i="3"/>
  <c r="BB74" i="3"/>
  <c r="BC74" i="3"/>
  <c r="BD74" i="3"/>
  <c r="BE74" i="3"/>
  <c r="BF74" i="3"/>
  <c r="BG74" i="3"/>
  <c r="BH74" i="3"/>
  <c r="BI74" i="3"/>
  <c r="BJ74" i="3"/>
  <c r="BK74" i="3"/>
  <c r="BM74" i="3"/>
  <c r="BN74" i="3"/>
  <c r="BO74" i="3"/>
  <c r="BP74" i="3"/>
  <c r="BL74" i="3"/>
  <c r="BB75" i="3"/>
  <c r="BC75" i="3"/>
  <c r="BD75" i="3"/>
  <c r="BE75" i="3"/>
  <c r="BF75" i="3"/>
  <c r="BG75" i="3"/>
  <c r="BH75" i="3"/>
  <c r="BI75" i="3"/>
  <c r="BJ75" i="3"/>
  <c r="BK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M77" i="3"/>
  <c r="BN77" i="3"/>
  <c r="BO77" i="3"/>
  <c r="BP77" i="3"/>
  <c r="BB78" i="3"/>
  <c r="BC78" i="3"/>
  <c r="BD78" i="3"/>
  <c r="BE78" i="3"/>
  <c r="BF78" i="3"/>
  <c r="BG78" i="3"/>
  <c r="BH78" i="3"/>
  <c r="BI78" i="3"/>
  <c r="BJ78" i="3"/>
  <c r="BK78" i="3"/>
  <c r="BM78" i="3"/>
  <c r="BN78" i="3"/>
  <c r="BO78" i="3"/>
  <c r="BP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D81" i="3"/>
  <c r="BE81" i="3"/>
  <c r="BF81" i="3"/>
  <c r="BG81" i="3"/>
  <c r="BH81" i="3"/>
  <c r="BI81" i="3"/>
  <c r="BJ81" i="3"/>
  <c r="BK81" i="3"/>
  <c r="BM81" i="3"/>
  <c r="BN81" i="3"/>
  <c r="BO81" i="3"/>
  <c r="BP81" i="3"/>
  <c r="BB82" i="3"/>
  <c r="BC82" i="3"/>
  <c r="BD82" i="3"/>
  <c r="BE82" i="3"/>
  <c r="BF82" i="3"/>
  <c r="BG82" i="3"/>
  <c r="BH82" i="3"/>
  <c r="BI82" i="3"/>
  <c r="BJ82" i="3"/>
  <c r="BK82" i="3"/>
  <c r="BM82" i="3"/>
  <c r="BN82" i="3"/>
  <c r="BO82" i="3"/>
  <c r="BP82" i="3"/>
  <c r="BB83" i="3"/>
  <c r="BC83" i="3"/>
  <c r="BD83" i="3"/>
  <c r="BE83" i="3"/>
  <c r="BF83" i="3"/>
  <c r="BG83" i="3"/>
  <c r="BH83" i="3"/>
  <c r="BI83" i="3"/>
  <c r="BJ83" i="3"/>
  <c r="BK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O86" i="3"/>
  <c r="BP86" i="3"/>
  <c r="BB87" i="3"/>
  <c r="BC87" i="3"/>
  <c r="BD87" i="3"/>
  <c r="BE87" i="3"/>
  <c r="BF87" i="3"/>
  <c r="BG87" i="3"/>
  <c r="BH87" i="3"/>
  <c r="BI87" i="3"/>
  <c r="BJ87" i="3"/>
  <c r="BK87" i="3"/>
  <c r="BM87" i="3"/>
  <c r="BN87" i="3"/>
  <c r="BO87" i="3"/>
  <c r="BP87" i="3"/>
  <c r="BB88" i="3"/>
  <c r="BC88" i="3"/>
  <c r="BD88" i="3"/>
  <c r="BE88" i="3"/>
  <c r="BF88" i="3"/>
  <c r="BG88" i="3"/>
  <c r="BH88" i="3"/>
  <c r="BI88" i="3"/>
  <c r="BJ88" i="3"/>
  <c r="BK88" i="3"/>
  <c r="BM88" i="3"/>
  <c r="BN88" i="3"/>
  <c r="BO88" i="3"/>
  <c r="BP88" i="3"/>
  <c r="BB89" i="3"/>
  <c r="BC89" i="3"/>
  <c r="BD89" i="3"/>
  <c r="BE89" i="3"/>
  <c r="BF89" i="3"/>
  <c r="BG89" i="3"/>
  <c r="BH89" i="3"/>
  <c r="BI89" i="3"/>
  <c r="BJ89" i="3"/>
  <c r="BK89" i="3"/>
  <c r="BM89" i="3"/>
  <c r="BN89" i="3"/>
  <c r="BO89" i="3"/>
  <c r="BP89" i="3"/>
  <c r="BB90" i="3"/>
  <c r="BC90" i="3"/>
  <c r="BD90" i="3"/>
  <c r="BE90" i="3"/>
  <c r="BF90" i="3"/>
  <c r="BG90" i="3"/>
  <c r="BH90" i="3"/>
  <c r="BI90" i="3"/>
  <c r="BJ90" i="3"/>
  <c r="BK90" i="3"/>
  <c r="BM90" i="3"/>
  <c r="BN90" i="3"/>
  <c r="BO90" i="3"/>
  <c r="BP90" i="3"/>
  <c r="BL90" i="3"/>
  <c r="BB91" i="3"/>
  <c r="BC91" i="3"/>
  <c r="BD91" i="3"/>
  <c r="BE91" i="3"/>
  <c r="BF91" i="3"/>
  <c r="BG91" i="3"/>
  <c r="BH91" i="3"/>
  <c r="BI91" i="3"/>
  <c r="BJ91" i="3"/>
  <c r="BK91" i="3"/>
  <c r="BM91" i="3"/>
  <c r="BN91" i="3"/>
  <c r="BO91" i="3"/>
  <c r="BP91" i="3"/>
  <c r="BB92" i="3"/>
  <c r="BC92" i="3"/>
  <c r="BD92" i="3"/>
  <c r="BE92" i="3"/>
  <c r="BF92" i="3"/>
  <c r="BG92" i="3"/>
  <c r="BH92" i="3"/>
  <c r="BI92" i="3"/>
  <c r="BJ92" i="3"/>
  <c r="BK92" i="3"/>
  <c r="BM92" i="3"/>
  <c r="BN92" i="3"/>
  <c r="BO92" i="3"/>
  <c r="BP92" i="3"/>
  <c r="BB93" i="3"/>
  <c r="BC93" i="3"/>
  <c r="BD93" i="3"/>
  <c r="BE93" i="3"/>
  <c r="BF93" i="3"/>
  <c r="BG93" i="3"/>
  <c r="BH93" i="3"/>
  <c r="BI93" i="3"/>
  <c r="BJ93" i="3"/>
  <c r="BK93" i="3"/>
  <c r="BM93" i="3"/>
  <c r="BN93" i="3"/>
  <c r="BO93" i="3"/>
  <c r="BP93" i="3"/>
  <c r="BB94" i="3"/>
  <c r="BC94" i="3"/>
  <c r="BD94" i="3"/>
  <c r="BE94" i="3"/>
  <c r="BF94" i="3"/>
  <c r="BG94" i="3"/>
  <c r="BH94" i="3"/>
  <c r="BI94" i="3"/>
  <c r="BJ94" i="3"/>
  <c r="BK94" i="3"/>
  <c r="BM94" i="3"/>
  <c r="BN94" i="3"/>
  <c r="BO94" i="3"/>
  <c r="BP94" i="3"/>
  <c r="BL94" i="3"/>
  <c r="BB95" i="3"/>
  <c r="BC95" i="3"/>
  <c r="BD95" i="3"/>
  <c r="BE95" i="3"/>
  <c r="BF95" i="3"/>
  <c r="BG95" i="3"/>
  <c r="BH95" i="3"/>
  <c r="BI95" i="3"/>
  <c r="BJ95" i="3"/>
  <c r="BK95" i="3"/>
  <c r="BM95" i="3"/>
  <c r="BN95" i="3"/>
  <c r="BO95" i="3"/>
  <c r="BP95" i="3"/>
  <c r="BB96" i="3"/>
  <c r="BC96" i="3"/>
  <c r="BD96" i="3"/>
  <c r="BE96" i="3"/>
  <c r="BF96" i="3"/>
  <c r="BG96" i="3"/>
  <c r="BH96" i="3"/>
  <c r="BI96" i="3"/>
  <c r="BJ96" i="3"/>
  <c r="BK96" i="3"/>
  <c r="BM96" i="3"/>
  <c r="BN96" i="3"/>
  <c r="BO96" i="3"/>
  <c r="BP96" i="3"/>
  <c r="BB97" i="3"/>
  <c r="BC97" i="3"/>
  <c r="BD97" i="3"/>
  <c r="BE97" i="3"/>
  <c r="BF97" i="3"/>
  <c r="BG97" i="3"/>
  <c r="BH97" i="3"/>
  <c r="BI97" i="3"/>
  <c r="BJ97" i="3"/>
  <c r="BK97" i="3"/>
  <c r="BM97" i="3"/>
  <c r="BN97" i="3"/>
  <c r="BO97" i="3"/>
  <c r="BP97" i="3"/>
  <c r="BB98" i="3"/>
  <c r="BC98" i="3"/>
  <c r="BD98" i="3"/>
  <c r="BE98" i="3"/>
  <c r="BF98" i="3"/>
  <c r="BG98" i="3"/>
  <c r="BH98" i="3"/>
  <c r="BI98" i="3"/>
  <c r="BJ98" i="3"/>
  <c r="BK98" i="3"/>
  <c r="BM98" i="3"/>
  <c r="BN98" i="3"/>
  <c r="BO98" i="3"/>
  <c r="BP98" i="3"/>
  <c r="BL98" i="3"/>
  <c r="BB99" i="3"/>
  <c r="BC99" i="3"/>
  <c r="BD99" i="3"/>
  <c r="BE99" i="3"/>
  <c r="BF99" i="3"/>
  <c r="BG99" i="3"/>
  <c r="BH99" i="3"/>
  <c r="BI99" i="3"/>
  <c r="BJ99" i="3"/>
  <c r="BK99" i="3"/>
  <c r="BM99" i="3"/>
  <c r="BN99" i="3"/>
  <c r="BO99" i="3"/>
  <c r="BP99" i="3"/>
  <c r="BB100" i="3"/>
  <c r="BC100" i="3"/>
  <c r="BD100" i="3"/>
  <c r="BE100" i="3"/>
  <c r="BF100" i="3"/>
  <c r="BG100" i="3"/>
  <c r="BH100" i="3"/>
  <c r="BI100" i="3"/>
  <c r="BJ100" i="3"/>
  <c r="BK100" i="3"/>
  <c r="BM100" i="3"/>
  <c r="BN100" i="3"/>
  <c r="BO100" i="3"/>
  <c r="BP100" i="3"/>
  <c r="BB101" i="3"/>
  <c r="BC101" i="3"/>
  <c r="BD101" i="3"/>
  <c r="BE101" i="3"/>
  <c r="BF101" i="3"/>
  <c r="BG101" i="3"/>
  <c r="BH101" i="3"/>
  <c r="BI101" i="3"/>
  <c r="BJ101" i="3"/>
  <c r="BK101" i="3"/>
  <c r="BM101" i="3"/>
  <c r="BN101" i="3"/>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M103" i="3"/>
  <c r="BN103" i="3"/>
  <c r="BO103" i="3"/>
  <c r="BP103" i="3"/>
  <c r="BB104" i="3"/>
  <c r="BC104" i="3"/>
  <c r="BD104" i="3"/>
  <c r="BE104" i="3"/>
  <c r="BF104" i="3"/>
  <c r="BG104" i="3"/>
  <c r="BH104" i="3"/>
  <c r="BI104" i="3"/>
  <c r="BJ104" i="3"/>
  <c r="BK104" i="3"/>
  <c r="BM104" i="3"/>
  <c r="BN104" i="3"/>
  <c r="BO104" i="3"/>
  <c r="BP104" i="3"/>
  <c r="BB105" i="3"/>
  <c r="BC105" i="3"/>
  <c r="BD105" i="3"/>
  <c r="BE105" i="3"/>
  <c r="BF105" i="3"/>
  <c r="BG105" i="3"/>
  <c r="BH105" i="3"/>
  <c r="BI105" i="3"/>
  <c r="BJ105" i="3"/>
  <c r="BK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M107" i="3"/>
  <c r="BN107" i="3"/>
  <c r="BO107" i="3"/>
  <c r="BP107" i="3"/>
  <c r="BB108" i="3"/>
  <c r="BC108" i="3"/>
  <c r="BD108" i="3"/>
  <c r="BE108" i="3"/>
  <c r="BF108" i="3"/>
  <c r="BG108" i="3"/>
  <c r="BH108" i="3"/>
  <c r="BI108" i="3"/>
  <c r="BJ108" i="3"/>
  <c r="BK108" i="3"/>
  <c r="BM108" i="3"/>
  <c r="BN108" i="3"/>
  <c r="BO108" i="3"/>
  <c r="BP108" i="3"/>
  <c r="BB109" i="3"/>
  <c r="BC109" i="3"/>
  <c r="BD109" i="3"/>
  <c r="BE109" i="3"/>
  <c r="BF109" i="3"/>
  <c r="BG109" i="3"/>
  <c r="BH109" i="3"/>
  <c r="BI109" i="3"/>
  <c r="BJ109" i="3"/>
  <c r="BK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M111" i="3"/>
  <c r="BN111" i="3"/>
  <c r="BO111" i="3"/>
  <c r="BP111" i="3"/>
  <c r="BB112" i="3"/>
  <c r="BC112" i="3"/>
  <c r="BD112" i="3"/>
  <c r="BE112" i="3"/>
  <c r="BF112" i="3"/>
  <c r="BG112" i="3"/>
  <c r="BH112" i="3"/>
  <c r="BI112" i="3"/>
  <c r="BJ112" i="3"/>
  <c r="BK112" i="3"/>
  <c r="BM112" i="3"/>
  <c r="BN112" i="3"/>
  <c r="BO112" i="3"/>
  <c r="BP112" i="3"/>
  <c r="BB113" i="3"/>
  <c r="BC113" i="3"/>
  <c r="BD113" i="3"/>
  <c r="BE113" i="3"/>
  <c r="BF113" i="3"/>
  <c r="BG113" i="3"/>
  <c r="BH113" i="3"/>
  <c r="BI113" i="3"/>
  <c r="BJ113" i="3"/>
  <c r="BK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M115" i="3"/>
  <c r="BN115" i="3"/>
  <c r="BO115" i="3"/>
  <c r="BP115" i="3"/>
  <c r="BB116" i="3"/>
  <c r="BC116" i="3"/>
  <c r="BD116" i="3"/>
  <c r="BE116" i="3"/>
  <c r="BF116" i="3"/>
  <c r="BG116" i="3"/>
  <c r="BH116" i="3"/>
  <c r="BI116" i="3"/>
  <c r="BJ116" i="3"/>
  <c r="BK116" i="3"/>
  <c r="BM116" i="3"/>
  <c r="BN116" i="3"/>
  <c r="BO116" i="3"/>
  <c r="BP116" i="3"/>
  <c r="BB117" i="3"/>
  <c r="BC117" i="3"/>
  <c r="BD117" i="3"/>
  <c r="BE117" i="3"/>
  <c r="BF117" i="3"/>
  <c r="BG117" i="3"/>
  <c r="BH117" i="3"/>
  <c r="BI117" i="3"/>
  <c r="BJ117" i="3"/>
  <c r="BK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M119" i="3"/>
  <c r="BN119" i="3"/>
  <c r="BO119" i="3"/>
  <c r="BP119" i="3"/>
  <c r="BB120" i="3"/>
  <c r="BC120" i="3"/>
  <c r="BD120" i="3"/>
  <c r="BE120" i="3"/>
  <c r="BF120" i="3"/>
  <c r="BG120" i="3"/>
  <c r="BH120" i="3"/>
  <c r="BI120" i="3"/>
  <c r="BJ120" i="3"/>
  <c r="BK120" i="3"/>
  <c r="BM120" i="3"/>
  <c r="BN120" i="3"/>
  <c r="BO120" i="3"/>
  <c r="BP120" i="3"/>
  <c r="BB121" i="3"/>
  <c r="BC121" i="3"/>
  <c r="BD121" i="3"/>
  <c r="BE121" i="3"/>
  <c r="BF121" i="3"/>
  <c r="BG121" i="3"/>
  <c r="BH121" i="3"/>
  <c r="BI121" i="3"/>
  <c r="BJ121" i="3"/>
  <c r="BK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M123" i="3"/>
  <c r="BN123" i="3"/>
  <c r="BO123" i="3"/>
  <c r="BP123" i="3"/>
  <c r="BB124" i="3"/>
  <c r="BC124" i="3"/>
  <c r="BD124" i="3"/>
  <c r="BE124" i="3"/>
  <c r="BF124" i="3"/>
  <c r="BG124" i="3"/>
  <c r="BH124" i="3"/>
  <c r="BI124" i="3"/>
  <c r="BJ124" i="3"/>
  <c r="BK124" i="3"/>
  <c r="BM124" i="3"/>
  <c r="BN124" i="3"/>
  <c r="BO124" i="3"/>
  <c r="BP124" i="3"/>
  <c r="BB125" i="3"/>
  <c r="BC125" i="3"/>
  <c r="BD125" i="3"/>
  <c r="BE125" i="3"/>
  <c r="BF125" i="3"/>
  <c r="BG125" i="3"/>
  <c r="BH125" i="3"/>
  <c r="BI125" i="3"/>
  <c r="BJ125" i="3"/>
  <c r="BK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M127" i="3"/>
  <c r="BN127" i="3"/>
  <c r="BO127" i="3"/>
  <c r="BP127" i="3"/>
  <c r="BB128" i="3"/>
  <c r="BC128" i="3"/>
  <c r="BD128" i="3"/>
  <c r="BE128" i="3"/>
  <c r="BF128" i="3"/>
  <c r="BG128" i="3"/>
  <c r="BH128" i="3"/>
  <c r="BI128" i="3"/>
  <c r="BJ128" i="3"/>
  <c r="BK128" i="3"/>
  <c r="BM128" i="3"/>
  <c r="BN128" i="3"/>
  <c r="BO128" i="3"/>
  <c r="BP128" i="3"/>
  <c r="BB129" i="3"/>
  <c r="BC129" i="3"/>
  <c r="BD129" i="3"/>
  <c r="BE129" i="3"/>
  <c r="BF129" i="3"/>
  <c r="BG129" i="3"/>
  <c r="BH129" i="3"/>
  <c r="BI129" i="3"/>
  <c r="BJ129" i="3"/>
  <c r="BK129" i="3"/>
  <c r="BM129" i="3"/>
  <c r="BN129" i="3"/>
  <c r="BO129" i="3"/>
  <c r="BP129" i="3"/>
  <c r="BB130" i="3"/>
  <c r="BC130" i="3"/>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M131" i="3"/>
  <c r="BN131" i="3"/>
  <c r="BO131" i="3"/>
  <c r="BP131" i="3"/>
  <c r="BB132" i="3"/>
  <c r="BC132" i="3"/>
  <c r="BD132" i="3"/>
  <c r="BE132" i="3"/>
  <c r="BF132" i="3"/>
  <c r="BG132" i="3"/>
  <c r="BH132" i="3"/>
  <c r="BI132" i="3"/>
  <c r="BJ132" i="3"/>
  <c r="BK132" i="3"/>
  <c r="BM132" i="3"/>
  <c r="BN132" i="3"/>
  <c r="BO132" i="3"/>
  <c r="BP132" i="3"/>
  <c r="BB133" i="3"/>
  <c r="BC133" i="3"/>
  <c r="BD133" i="3"/>
  <c r="BE133" i="3"/>
  <c r="BF133" i="3"/>
  <c r="BG133" i="3"/>
  <c r="BH133" i="3"/>
  <c r="BI133" i="3"/>
  <c r="BJ133" i="3"/>
  <c r="BK133" i="3"/>
  <c r="BM133" i="3"/>
  <c r="BN133" i="3"/>
  <c r="BO133" i="3"/>
  <c r="BP133" i="3"/>
  <c r="BB134" i="3"/>
  <c r="BC134" i="3"/>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M135" i="3"/>
  <c r="BN135" i="3"/>
  <c r="BO135" i="3"/>
  <c r="BP135" i="3"/>
  <c r="BB136" i="3"/>
  <c r="BC136" i="3"/>
  <c r="BD136" i="3"/>
  <c r="BE136" i="3"/>
  <c r="BF136" i="3"/>
  <c r="BG136" i="3"/>
  <c r="BH136" i="3"/>
  <c r="BI136" i="3"/>
  <c r="BJ136" i="3"/>
  <c r="BK136" i="3"/>
  <c r="BM136" i="3"/>
  <c r="BN136" i="3"/>
  <c r="BO136" i="3"/>
  <c r="BP136" i="3"/>
  <c r="BB137" i="3"/>
  <c r="BC137" i="3"/>
  <c r="BD137" i="3"/>
  <c r="BE137" i="3"/>
  <c r="BF137" i="3"/>
  <c r="BG137" i="3"/>
  <c r="BH137" i="3"/>
  <c r="BI137" i="3"/>
  <c r="BJ137" i="3"/>
  <c r="BK137" i="3"/>
  <c r="BM137" i="3"/>
  <c r="BN137" i="3"/>
  <c r="BO137" i="3"/>
  <c r="BP137" i="3"/>
  <c r="BB138" i="3"/>
  <c r="BC138" i="3"/>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M139" i="3"/>
  <c r="BN139" i="3"/>
  <c r="BO139" i="3"/>
  <c r="BP139" i="3"/>
  <c r="BB140" i="3"/>
  <c r="BC140" i="3"/>
  <c r="BD140" i="3"/>
  <c r="BE140" i="3"/>
  <c r="BF140" i="3"/>
  <c r="BG140" i="3"/>
  <c r="BH140" i="3"/>
  <c r="BI140" i="3"/>
  <c r="BJ140" i="3"/>
  <c r="BK140" i="3"/>
  <c r="BM140" i="3"/>
  <c r="BN140" i="3"/>
  <c r="BO140" i="3"/>
  <c r="BP140" i="3"/>
  <c r="BB141" i="3"/>
  <c r="BC141" i="3"/>
  <c r="BD141" i="3"/>
  <c r="BE141" i="3"/>
  <c r="BF141" i="3"/>
  <c r="BG141" i="3"/>
  <c r="BH141" i="3"/>
  <c r="BI141" i="3"/>
  <c r="BJ141" i="3"/>
  <c r="BK141" i="3"/>
  <c r="BM141" i="3"/>
  <c r="BN141" i="3"/>
  <c r="BO141" i="3"/>
  <c r="BP141" i="3"/>
  <c r="BB142" i="3"/>
  <c r="BC142" i="3"/>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M143" i="3"/>
  <c r="BN143" i="3"/>
  <c r="BO143" i="3"/>
  <c r="BP143" i="3"/>
  <c r="BB144" i="3"/>
  <c r="BC144" i="3"/>
  <c r="BD144" i="3"/>
  <c r="BE144" i="3"/>
  <c r="BF144" i="3"/>
  <c r="BG144" i="3"/>
  <c r="BH144" i="3"/>
  <c r="BI144" i="3"/>
  <c r="BJ144" i="3"/>
  <c r="BK144" i="3"/>
  <c r="BM144" i="3"/>
  <c r="BN144" i="3"/>
  <c r="BO144" i="3"/>
  <c r="BP144" i="3"/>
  <c r="BB145" i="3"/>
  <c r="BC145" i="3"/>
  <c r="BD145" i="3"/>
  <c r="BE145" i="3"/>
  <c r="BF145" i="3"/>
  <c r="BG145" i="3"/>
  <c r="BH145" i="3"/>
  <c r="BI145" i="3"/>
  <c r="BJ145" i="3"/>
  <c r="BK145" i="3"/>
  <c r="BM145" i="3"/>
  <c r="BN145" i="3"/>
  <c r="BO145" i="3"/>
  <c r="BP145" i="3"/>
  <c r="BB146" i="3"/>
  <c r="BC146" i="3"/>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M147" i="3"/>
  <c r="BN147" i="3"/>
  <c r="BO147" i="3"/>
  <c r="BP147" i="3"/>
  <c r="BB148" i="3"/>
  <c r="BC148" i="3"/>
  <c r="BD148" i="3"/>
  <c r="BE148" i="3"/>
  <c r="BF148" i="3"/>
  <c r="BG148" i="3"/>
  <c r="BH148" i="3"/>
  <c r="BI148" i="3"/>
  <c r="BJ148" i="3"/>
  <c r="BK148" i="3"/>
  <c r="BM148" i="3"/>
  <c r="BN148" i="3"/>
  <c r="BO148" i="3"/>
  <c r="BP148" i="3"/>
  <c r="BB149" i="3"/>
  <c r="BC149" i="3"/>
  <c r="BD149" i="3"/>
  <c r="BE149" i="3"/>
  <c r="BF149" i="3"/>
  <c r="BG149" i="3"/>
  <c r="BH149" i="3"/>
  <c r="BI149" i="3"/>
  <c r="BJ149" i="3"/>
  <c r="BK149" i="3"/>
  <c r="BM149" i="3"/>
  <c r="BN149" i="3"/>
  <c r="BO149" i="3"/>
  <c r="BP149" i="3"/>
  <c r="BB150" i="3"/>
  <c r="BC150" i="3"/>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M151" i="3"/>
  <c r="BN151" i="3"/>
  <c r="BO151" i="3"/>
  <c r="BP151" i="3"/>
  <c r="BB152" i="3"/>
  <c r="BC152" i="3"/>
  <c r="BD152" i="3"/>
  <c r="BE152" i="3"/>
  <c r="BF152" i="3"/>
  <c r="BG152" i="3"/>
  <c r="BH152" i="3"/>
  <c r="BI152" i="3"/>
  <c r="BJ152" i="3"/>
  <c r="BK152" i="3"/>
  <c r="BM152" i="3"/>
  <c r="BN152" i="3"/>
  <c r="BO152" i="3"/>
  <c r="BP152" i="3"/>
  <c r="BB153" i="3"/>
  <c r="BC153" i="3"/>
  <c r="BD153" i="3"/>
  <c r="BE153" i="3"/>
  <c r="BF153" i="3"/>
  <c r="BG153" i="3"/>
  <c r="BH153" i="3"/>
  <c r="BI153" i="3"/>
  <c r="BJ153" i="3"/>
  <c r="BK153" i="3"/>
  <c r="BM153" i="3"/>
  <c r="BN153" i="3"/>
  <c r="BO153" i="3"/>
  <c r="BP153" i="3"/>
  <c r="BB154" i="3"/>
  <c r="BC154" i="3"/>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M155" i="3"/>
  <c r="BN155" i="3"/>
  <c r="BO155" i="3"/>
  <c r="BP155" i="3"/>
  <c r="BB156" i="3"/>
  <c r="BC156" i="3"/>
  <c r="BD156" i="3"/>
  <c r="BE156" i="3"/>
  <c r="BF156" i="3"/>
  <c r="BG156" i="3"/>
  <c r="BH156" i="3"/>
  <c r="BI156" i="3"/>
  <c r="BJ156" i="3"/>
  <c r="BK156" i="3"/>
  <c r="BM156" i="3"/>
  <c r="BN156" i="3"/>
  <c r="BO156" i="3"/>
  <c r="BP156" i="3"/>
  <c r="BB157" i="3"/>
  <c r="BC157" i="3"/>
  <c r="BD157" i="3"/>
  <c r="BE157" i="3"/>
  <c r="BF157" i="3"/>
  <c r="BG157" i="3"/>
  <c r="BH157" i="3"/>
  <c r="BI157" i="3"/>
  <c r="BJ157" i="3"/>
  <c r="BK157" i="3"/>
  <c r="BM157" i="3"/>
  <c r="BN157" i="3"/>
  <c r="BO157" i="3"/>
  <c r="BP157" i="3"/>
  <c r="BB158" i="3"/>
  <c r="BC158" i="3"/>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M159" i="3"/>
  <c r="BN159" i="3"/>
  <c r="BO159" i="3"/>
  <c r="BP159" i="3"/>
  <c r="BB160" i="3"/>
  <c r="BC160" i="3"/>
  <c r="BD160" i="3"/>
  <c r="BE160" i="3"/>
  <c r="BF160" i="3"/>
  <c r="BG160" i="3"/>
  <c r="BH160" i="3"/>
  <c r="BI160" i="3"/>
  <c r="BJ160" i="3"/>
  <c r="BK160" i="3"/>
  <c r="BM160" i="3"/>
  <c r="BN160" i="3"/>
  <c r="BO160" i="3"/>
  <c r="BP160" i="3"/>
  <c r="BB161" i="3"/>
  <c r="BC161" i="3"/>
  <c r="BD161" i="3"/>
  <c r="BE161" i="3"/>
  <c r="BF161" i="3"/>
  <c r="BG161" i="3"/>
  <c r="BH161" i="3"/>
  <c r="BI161" i="3"/>
  <c r="BJ161" i="3"/>
  <c r="BK161" i="3"/>
  <c r="BM161" i="3"/>
  <c r="BN161" i="3"/>
  <c r="BO161" i="3"/>
  <c r="BP161" i="3"/>
  <c r="BB162" i="3"/>
  <c r="BC162" i="3"/>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M163" i="3"/>
  <c r="BN163" i="3"/>
  <c r="BO163" i="3"/>
  <c r="BP163" i="3"/>
  <c r="BB164" i="3"/>
  <c r="BC164" i="3"/>
  <c r="BD164" i="3"/>
  <c r="BE164" i="3"/>
  <c r="BF164" i="3"/>
  <c r="BG164" i="3"/>
  <c r="BH164" i="3"/>
  <c r="BI164" i="3"/>
  <c r="BJ164" i="3"/>
  <c r="BK164" i="3"/>
  <c r="BM164" i="3"/>
  <c r="BN164" i="3"/>
  <c r="BO164" i="3"/>
  <c r="BP164" i="3"/>
  <c r="BB165" i="3"/>
  <c r="BC165" i="3"/>
  <c r="BD165" i="3"/>
  <c r="BE165" i="3"/>
  <c r="BF165" i="3"/>
  <c r="BG165" i="3"/>
  <c r="BH165" i="3"/>
  <c r="BI165" i="3"/>
  <c r="BJ165" i="3"/>
  <c r="BK165" i="3"/>
  <c r="BM165" i="3"/>
  <c r="BN165" i="3"/>
  <c r="BO165" i="3"/>
  <c r="BP165" i="3"/>
  <c r="BB166" i="3"/>
  <c r="BC166" i="3"/>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M167" i="3"/>
  <c r="BN167" i="3"/>
  <c r="BO167" i="3"/>
  <c r="BP167" i="3"/>
  <c r="BB168" i="3"/>
  <c r="BC168" i="3"/>
  <c r="BD168" i="3"/>
  <c r="BE168" i="3"/>
  <c r="BF168" i="3"/>
  <c r="BG168" i="3"/>
  <c r="BH168" i="3"/>
  <c r="BI168" i="3"/>
  <c r="BJ168" i="3"/>
  <c r="BK168" i="3"/>
  <c r="BM168" i="3"/>
  <c r="BN168" i="3"/>
  <c r="BO168" i="3"/>
  <c r="BP168" i="3"/>
  <c r="BB169" i="3"/>
  <c r="BC169" i="3"/>
  <c r="BD169" i="3"/>
  <c r="BE169" i="3"/>
  <c r="BF169" i="3"/>
  <c r="BG169" i="3"/>
  <c r="BH169" i="3"/>
  <c r="BI169" i="3"/>
  <c r="BJ169" i="3"/>
  <c r="BK169" i="3"/>
  <c r="BM169" i="3"/>
  <c r="BN169" i="3"/>
  <c r="BO169" i="3"/>
  <c r="BP169" i="3"/>
  <c r="BB170" i="3"/>
  <c r="BC170" i="3"/>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M171" i="3"/>
  <c r="BN171" i="3"/>
  <c r="BO171" i="3"/>
  <c r="BP171" i="3"/>
  <c r="BB172" i="3"/>
  <c r="BC172" i="3"/>
  <c r="BD172" i="3"/>
  <c r="BE172" i="3"/>
  <c r="BF172" i="3"/>
  <c r="BG172" i="3"/>
  <c r="BH172" i="3"/>
  <c r="BI172" i="3"/>
  <c r="BJ172" i="3"/>
  <c r="BK172" i="3"/>
  <c r="BM172" i="3"/>
  <c r="BN172" i="3"/>
  <c r="BO172" i="3"/>
  <c r="BP172" i="3"/>
  <c r="BB173" i="3"/>
  <c r="BC173" i="3"/>
  <c r="BD173" i="3"/>
  <c r="BE173" i="3"/>
  <c r="BF173" i="3"/>
  <c r="BG173" i="3"/>
  <c r="BH173" i="3"/>
  <c r="BI173" i="3"/>
  <c r="BJ173" i="3"/>
  <c r="BK173" i="3"/>
  <c r="BM173" i="3"/>
  <c r="BN173" i="3"/>
  <c r="BO173" i="3"/>
  <c r="BP173" i="3"/>
  <c r="BB174" i="3"/>
  <c r="BC174" i="3"/>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M175" i="3"/>
  <c r="BN175" i="3"/>
  <c r="BO175" i="3"/>
  <c r="BP175" i="3"/>
  <c r="BB176" i="3"/>
  <c r="BC176" i="3"/>
  <c r="BD176" i="3"/>
  <c r="BE176" i="3"/>
  <c r="BF176" i="3"/>
  <c r="BG176" i="3"/>
  <c r="BH176" i="3"/>
  <c r="BI176" i="3"/>
  <c r="BJ176" i="3"/>
  <c r="BK176" i="3"/>
  <c r="BM176" i="3"/>
  <c r="BN176" i="3"/>
  <c r="BO176" i="3"/>
  <c r="BP176" i="3"/>
  <c r="BB177" i="3"/>
  <c r="BC177" i="3"/>
  <c r="BD177" i="3"/>
  <c r="BE177" i="3"/>
  <c r="BF177" i="3"/>
  <c r="BG177" i="3"/>
  <c r="BH177" i="3"/>
  <c r="BI177" i="3"/>
  <c r="BJ177" i="3"/>
  <c r="BK177" i="3"/>
  <c r="BM177" i="3"/>
  <c r="BN177" i="3"/>
  <c r="BO177" i="3"/>
  <c r="BP177" i="3"/>
  <c r="BB178" i="3"/>
  <c r="BC178" i="3"/>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M179" i="3"/>
  <c r="BN179" i="3"/>
  <c r="BO179" i="3"/>
  <c r="BP179" i="3"/>
  <c r="BB180" i="3"/>
  <c r="BC180" i="3"/>
  <c r="BD180" i="3"/>
  <c r="BE180" i="3"/>
  <c r="BF180" i="3"/>
  <c r="BG180" i="3"/>
  <c r="BH180" i="3"/>
  <c r="BI180" i="3"/>
  <c r="BJ180" i="3"/>
  <c r="BK180" i="3"/>
  <c r="BM180" i="3"/>
  <c r="BN180" i="3"/>
  <c r="BO180" i="3"/>
  <c r="BP180" i="3"/>
  <c r="BB181" i="3"/>
  <c r="BC181" i="3"/>
  <c r="BD181" i="3"/>
  <c r="BE181" i="3"/>
  <c r="BF181" i="3"/>
  <c r="BG181" i="3"/>
  <c r="BH181" i="3"/>
  <c r="BI181" i="3"/>
  <c r="BJ181" i="3"/>
  <c r="BK181" i="3"/>
  <c r="BM181" i="3"/>
  <c r="BN181" i="3"/>
  <c r="BO181" i="3"/>
  <c r="BP181" i="3"/>
  <c r="BB182" i="3"/>
  <c r="BC182" i="3"/>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M183" i="3"/>
  <c r="BN183" i="3"/>
  <c r="BO183" i="3"/>
  <c r="BP183" i="3"/>
  <c r="BB184" i="3"/>
  <c r="BC184" i="3"/>
  <c r="BD184" i="3"/>
  <c r="BE184" i="3"/>
  <c r="BF184" i="3"/>
  <c r="BG184" i="3"/>
  <c r="BH184" i="3"/>
  <c r="BI184" i="3"/>
  <c r="BJ184" i="3"/>
  <c r="BK184" i="3"/>
  <c r="BM184" i="3"/>
  <c r="BN184" i="3"/>
  <c r="BO184" i="3"/>
  <c r="BP184" i="3"/>
  <c r="BB185" i="3"/>
  <c r="BC185" i="3"/>
  <c r="BD185" i="3"/>
  <c r="BE185" i="3"/>
  <c r="BF185" i="3"/>
  <c r="BG185" i="3"/>
  <c r="BH185" i="3"/>
  <c r="BI185" i="3"/>
  <c r="BJ185" i="3"/>
  <c r="BK185" i="3"/>
  <c r="BM185" i="3"/>
  <c r="BN185" i="3"/>
  <c r="BO185" i="3"/>
  <c r="BP185" i="3"/>
  <c r="BB186" i="3"/>
  <c r="BC186" i="3"/>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M187" i="3"/>
  <c r="BN187" i="3"/>
  <c r="BO187" i="3"/>
  <c r="BP187" i="3"/>
  <c r="BB188" i="3"/>
  <c r="BC188" i="3"/>
  <c r="BD188" i="3"/>
  <c r="BE188" i="3"/>
  <c r="BF188" i="3"/>
  <c r="BG188" i="3"/>
  <c r="BH188" i="3"/>
  <c r="BI188" i="3"/>
  <c r="BJ188" i="3"/>
  <c r="BK188" i="3"/>
  <c r="BM188" i="3"/>
  <c r="BN188" i="3"/>
  <c r="BO188" i="3"/>
  <c r="BP188" i="3"/>
  <c r="BB189" i="3"/>
  <c r="BC189" i="3"/>
  <c r="BD189" i="3"/>
  <c r="BE189" i="3"/>
  <c r="BF189" i="3"/>
  <c r="BG189" i="3"/>
  <c r="BH189" i="3"/>
  <c r="BI189" i="3"/>
  <c r="BJ189" i="3"/>
  <c r="BK189" i="3"/>
  <c r="BM189" i="3"/>
  <c r="BN189" i="3"/>
  <c r="BO189" i="3"/>
  <c r="BP189" i="3"/>
  <c r="BB190" i="3"/>
  <c r="BC190" i="3"/>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M191" i="3"/>
  <c r="BN191" i="3"/>
  <c r="BO191" i="3"/>
  <c r="BP191" i="3"/>
  <c r="BB192" i="3"/>
  <c r="BC192" i="3"/>
  <c r="BD192" i="3"/>
  <c r="BE192" i="3"/>
  <c r="BF192" i="3"/>
  <c r="BG192" i="3"/>
  <c r="BH192" i="3"/>
  <c r="BI192" i="3"/>
  <c r="BJ192" i="3"/>
  <c r="BK192" i="3"/>
  <c r="BM192" i="3"/>
  <c r="BN192" i="3"/>
  <c r="BO192" i="3"/>
  <c r="BP192" i="3"/>
  <c r="BB193" i="3"/>
  <c r="BC193" i="3"/>
  <c r="BD193" i="3"/>
  <c r="BE193" i="3"/>
  <c r="BF193" i="3"/>
  <c r="BG193" i="3"/>
  <c r="BH193" i="3"/>
  <c r="BI193" i="3"/>
  <c r="BJ193" i="3"/>
  <c r="BK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M195" i="3"/>
  <c r="BN195" i="3"/>
  <c r="BO195" i="3"/>
  <c r="BP195" i="3"/>
  <c r="BB196" i="3"/>
  <c r="BC196" i="3"/>
  <c r="BD196" i="3"/>
  <c r="BE196" i="3"/>
  <c r="BF196" i="3"/>
  <c r="BG196" i="3"/>
  <c r="BH196" i="3"/>
  <c r="BI196" i="3"/>
  <c r="BJ196" i="3"/>
  <c r="BK196" i="3"/>
  <c r="BM196" i="3"/>
  <c r="BN196" i="3"/>
  <c r="BO196" i="3"/>
  <c r="BP196" i="3"/>
  <c r="BB197" i="3"/>
  <c r="BC197" i="3"/>
  <c r="BD197" i="3"/>
  <c r="BE197" i="3"/>
  <c r="BF197" i="3"/>
  <c r="BG197" i="3"/>
  <c r="BH197" i="3"/>
  <c r="BI197" i="3"/>
  <c r="BJ197" i="3"/>
  <c r="BK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M199" i="3"/>
  <c r="BN199" i="3"/>
  <c r="BO199" i="3"/>
  <c r="BP199" i="3"/>
  <c r="BB200" i="3"/>
  <c r="BC200" i="3"/>
  <c r="BD200" i="3"/>
  <c r="BE200" i="3"/>
  <c r="BF200" i="3"/>
  <c r="BG200" i="3"/>
  <c r="BH200" i="3"/>
  <c r="BI200" i="3"/>
  <c r="BJ200" i="3"/>
  <c r="BK200" i="3"/>
  <c r="BM200" i="3"/>
  <c r="BN200" i="3"/>
  <c r="BO200" i="3"/>
  <c r="BP200" i="3"/>
  <c r="BB201" i="3"/>
  <c r="BC201" i="3"/>
  <c r="BD201" i="3"/>
  <c r="BE201" i="3"/>
  <c r="BF201" i="3"/>
  <c r="BG201" i="3"/>
  <c r="BH201" i="3"/>
  <c r="BI201" i="3"/>
  <c r="BJ201" i="3"/>
  <c r="BK201" i="3"/>
  <c r="BM201" i="3"/>
  <c r="BN201" i="3"/>
  <c r="BO201" i="3"/>
  <c r="BP201" i="3"/>
  <c r="BB202" i="3"/>
  <c r="BC202" i="3"/>
  <c r="BD202" i="3"/>
  <c r="BE202" i="3"/>
  <c r="BF202" i="3"/>
  <c r="BG202" i="3"/>
  <c r="BH202" i="3"/>
  <c r="BI202" i="3"/>
  <c r="BJ202" i="3"/>
  <c r="BK202" i="3"/>
  <c r="BM202" i="3"/>
  <c r="BN202" i="3"/>
  <c r="BO202" i="3"/>
  <c r="BP202" i="3"/>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s="1"/>
  <c r="BB205" i="3"/>
  <c r="BC205" i="3"/>
  <c r="BA205" i="3" s="1"/>
  <c r="BD205" i="3"/>
  <c r="BE205" i="3"/>
  <c r="BF205" i="3"/>
  <c r="BG205" i="3"/>
  <c r="BH205" i="3"/>
  <c r="BI205" i="3"/>
  <c r="BJ205" i="3"/>
  <c r="BK205" i="3"/>
  <c r="BM205" i="3"/>
  <c r="BN205" i="3"/>
  <c r="BO205" i="3"/>
  <c r="BP205" i="3"/>
  <c r="BB206" i="3"/>
  <c r="BC206" i="3"/>
  <c r="BD206" i="3"/>
  <c r="BE206" i="3"/>
  <c r="BF206" i="3"/>
  <c r="BG206" i="3"/>
  <c r="BH206" i="3"/>
  <c r="BI206" i="3"/>
  <c r="BJ206" i="3"/>
  <c r="BK206" i="3"/>
  <c r="BM206" i="3"/>
  <c r="BN206" i="3"/>
  <c r="BO206" i="3"/>
  <c r="BP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L208" i="3" s="1"/>
  <c r="BO208" i="3"/>
  <c r="BP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L210" i="3" s="1"/>
  <c r="BO210" i="3"/>
  <c r="BP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s="1"/>
  <c r="BB213" i="3"/>
  <c r="BC213" i="3"/>
  <c r="BA213" i="3" s="1"/>
  <c r="BD213" i="3"/>
  <c r="BE213" i="3"/>
  <c r="BF213" i="3"/>
  <c r="BG213" i="3"/>
  <c r="BH213" i="3"/>
  <c r="BI213" i="3"/>
  <c r="BJ213" i="3"/>
  <c r="BK213" i="3"/>
  <c r="BM213" i="3"/>
  <c r="BN213" i="3"/>
  <c r="BO213" i="3"/>
  <c r="BP213" i="3"/>
  <c r="BB214" i="3"/>
  <c r="BC214" i="3"/>
  <c r="BD214" i="3"/>
  <c r="BE214" i="3"/>
  <c r="BF214" i="3"/>
  <c r="BG214" i="3"/>
  <c r="BH214" i="3"/>
  <c r="BI214" i="3"/>
  <c r="BJ214" i="3"/>
  <c r="BK214" i="3"/>
  <c r="BM214" i="3"/>
  <c r="BN214" i="3"/>
  <c r="BO214" i="3"/>
  <c r="BP214" i="3"/>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s="1"/>
  <c r="BB217" i="3"/>
  <c r="BC217" i="3"/>
  <c r="BA217" i="3" s="1"/>
  <c r="BD217" i="3"/>
  <c r="BE217" i="3"/>
  <c r="BF217" i="3"/>
  <c r="BG217" i="3"/>
  <c r="BH217" i="3"/>
  <c r="BI217" i="3"/>
  <c r="BJ217" i="3"/>
  <c r="BK217" i="3"/>
  <c r="BM217" i="3"/>
  <c r="BN217" i="3"/>
  <c r="BO217" i="3"/>
  <c r="BP217" i="3"/>
  <c r="BB218" i="3"/>
  <c r="BC218" i="3"/>
  <c r="BD218" i="3"/>
  <c r="BE218" i="3"/>
  <c r="BF218" i="3"/>
  <c r="BG218" i="3"/>
  <c r="BH218" i="3"/>
  <c r="BI218" i="3"/>
  <c r="BJ218" i="3"/>
  <c r="BK218" i="3"/>
  <c r="BM218" i="3"/>
  <c r="BN218" i="3"/>
  <c r="BO218" i="3"/>
  <c r="BP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L220" i="3" s="1"/>
  <c r="BO220" i="3"/>
  <c r="BP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s="1"/>
  <c r="BB223" i="3"/>
  <c r="BC223" i="3"/>
  <c r="BA223" i="3" s="1"/>
  <c r="BD223" i="3"/>
  <c r="BE223" i="3"/>
  <c r="BF223" i="3"/>
  <c r="BG223" i="3"/>
  <c r="BH223" i="3"/>
  <c r="BI223" i="3"/>
  <c r="BJ223" i="3"/>
  <c r="BK223" i="3"/>
  <c r="BM223" i="3"/>
  <c r="BN223" i="3"/>
  <c r="BO223" i="3"/>
  <c r="BP223" i="3"/>
  <c r="BB224" i="3"/>
  <c r="BC224" i="3"/>
  <c r="BD224" i="3"/>
  <c r="BE224" i="3"/>
  <c r="BF224" i="3"/>
  <c r="BG224" i="3"/>
  <c r="BH224" i="3"/>
  <c r="BI224" i="3"/>
  <c r="BJ224" i="3"/>
  <c r="BK224" i="3"/>
  <c r="BM224" i="3"/>
  <c r="BN224" i="3"/>
  <c r="BO224" i="3"/>
  <c r="BP224" i="3"/>
  <c r="BL224" i="3"/>
  <c r="BB225" i="3"/>
  <c r="BC225" i="3"/>
  <c r="BA225" i="3" s="1"/>
  <c r="BD225" i="3"/>
  <c r="BE225" i="3"/>
  <c r="BF225" i="3"/>
  <c r="BG225" i="3"/>
  <c r="BH225" i="3"/>
  <c r="BI225" i="3"/>
  <c r="BJ225" i="3"/>
  <c r="BK225" i="3"/>
  <c r="BM225" i="3"/>
  <c r="BN225" i="3"/>
  <c r="BO225" i="3"/>
  <c r="BP225" i="3"/>
  <c r="BB226" i="3"/>
  <c r="BC226" i="3"/>
  <c r="BD226" i="3"/>
  <c r="BE226" i="3"/>
  <c r="BF226" i="3"/>
  <c r="BG226" i="3"/>
  <c r="BH226" i="3"/>
  <c r="BI226" i="3"/>
  <c r="BJ226" i="3"/>
  <c r="BK226" i="3"/>
  <c r="BM226" i="3"/>
  <c r="BN226" i="3"/>
  <c r="BO226" i="3"/>
  <c r="BP226" i="3"/>
  <c r="BL226" i="3"/>
  <c r="BB227" i="3"/>
  <c r="BC227" i="3"/>
  <c r="BA227" i="3" s="1"/>
  <c r="BD227" i="3"/>
  <c r="BE227" i="3"/>
  <c r="BF227" i="3"/>
  <c r="BG227" i="3"/>
  <c r="BH227" i="3"/>
  <c r="BI227" i="3"/>
  <c r="BJ227" i="3"/>
  <c r="BK227" i="3"/>
  <c r="BM227" i="3"/>
  <c r="BN227" i="3"/>
  <c r="BO227" i="3"/>
  <c r="BP227" i="3"/>
  <c r="BB228" i="3"/>
  <c r="BC228" i="3"/>
  <c r="BD228" i="3"/>
  <c r="BE228" i="3"/>
  <c r="BF228" i="3"/>
  <c r="BG228" i="3"/>
  <c r="BH228" i="3"/>
  <c r="BI228" i="3"/>
  <c r="BJ228" i="3"/>
  <c r="BK228" i="3"/>
  <c r="BM228" i="3"/>
  <c r="BN228" i="3"/>
  <c r="BO228" i="3"/>
  <c r="BP228" i="3"/>
  <c r="BL228" i="3"/>
  <c r="BB229" i="3"/>
  <c r="BC229" i="3"/>
  <c r="BA229" i="3" s="1"/>
  <c r="BD229" i="3"/>
  <c r="BE229" i="3"/>
  <c r="BF229" i="3"/>
  <c r="BG229" i="3"/>
  <c r="BH229" i="3"/>
  <c r="BI229" i="3"/>
  <c r="BJ229" i="3"/>
  <c r="BK229" i="3"/>
  <c r="BM229" i="3"/>
  <c r="BN229" i="3"/>
  <c r="BO229" i="3"/>
  <c r="BP229" i="3"/>
  <c r="BB230" i="3"/>
  <c r="BC230" i="3"/>
  <c r="BD230" i="3"/>
  <c r="BE230" i="3"/>
  <c r="BF230" i="3"/>
  <c r="BG230" i="3"/>
  <c r="BH230" i="3"/>
  <c r="BI230" i="3"/>
  <c r="BJ230" i="3"/>
  <c r="BK230" i="3"/>
  <c r="BM230" i="3"/>
  <c r="BN230" i="3"/>
  <c r="BO230" i="3"/>
  <c r="BP230" i="3"/>
  <c r="BL230" i="3"/>
  <c r="BB231" i="3"/>
  <c r="BC231" i="3"/>
  <c r="BA231" i="3" s="1"/>
  <c r="BD231" i="3"/>
  <c r="BE231" i="3"/>
  <c r="BF231" i="3"/>
  <c r="BG231" i="3"/>
  <c r="BH231" i="3"/>
  <c r="BI231" i="3"/>
  <c r="BJ231" i="3"/>
  <c r="BK231" i="3"/>
  <c r="BM231" i="3"/>
  <c r="BN231" i="3"/>
  <c r="BO231" i="3"/>
  <c r="BP231" i="3"/>
  <c r="BB232" i="3"/>
  <c r="BC232" i="3"/>
  <c r="BD232" i="3"/>
  <c r="BE232" i="3"/>
  <c r="BF232" i="3"/>
  <c r="BG232" i="3"/>
  <c r="BH232" i="3"/>
  <c r="BI232" i="3"/>
  <c r="BJ232" i="3"/>
  <c r="BK232" i="3"/>
  <c r="BM232" i="3"/>
  <c r="BN232" i="3"/>
  <c r="BO232" i="3"/>
  <c r="BP232" i="3"/>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L234" i="3" s="1"/>
  <c r="BO234" i="3"/>
  <c r="BP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L236" i="3" s="1"/>
  <c r="BO236" i="3"/>
  <c r="BP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s="1"/>
  <c r="BB239" i="3"/>
  <c r="BC239" i="3"/>
  <c r="BA239" i="3" s="1"/>
  <c r="BD239" i="3"/>
  <c r="BE239" i="3"/>
  <c r="BF239" i="3"/>
  <c r="BG239" i="3"/>
  <c r="BH239" i="3"/>
  <c r="BI239" i="3"/>
  <c r="BJ239" i="3"/>
  <c r="BK239" i="3"/>
  <c r="BM239" i="3"/>
  <c r="BN239" i="3"/>
  <c r="BO239" i="3"/>
  <c r="BP239" i="3"/>
  <c r="BB240" i="3"/>
  <c r="BC240" i="3"/>
  <c r="BD240" i="3"/>
  <c r="BE240" i="3"/>
  <c r="BF240" i="3"/>
  <c r="BG240" i="3"/>
  <c r="BH240" i="3"/>
  <c r="BI240" i="3"/>
  <c r="BJ240" i="3"/>
  <c r="BK240" i="3"/>
  <c r="BM240" i="3"/>
  <c r="BN240" i="3"/>
  <c r="BO240" i="3"/>
  <c r="BP240" i="3"/>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L242" i="3" s="1"/>
  <c r="BO242" i="3"/>
  <c r="BP242" i="3"/>
  <c r="BB243" i="3"/>
  <c r="BC243" i="3"/>
  <c r="BD243" i="3"/>
  <c r="BE243" i="3"/>
  <c r="BF243" i="3"/>
  <c r="BG243" i="3"/>
  <c r="BH243" i="3"/>
  <c r="BI243" i="3"/>
  <c r="BJ243" i="3"/>
  <c r="BK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M245" i="3"/>
  <c r="BN245" i="3"/>
  <c r="BO245" i="3"/>
  <c r="BP245" i="3"/>
  <c r="BB246" i="3"/>
  <c r="BC246" i="3"/>
  <c r="BD246" i="3"/>
  <c r="BE246" i="3"/>
  <c r="BF246" i="3"/>
  <c r="BG246" i="3"/>
  <c r="BH246" i="3"/>
  <c r="BI246" i="3"/>
  <c r="BJ246" i="3"/>
  <c r="BK246" i="3"/>
  <c r="BM246" i="3"/>
  <c r="BN246" i="3"/>
  <c r="BL246" i="3" s="1"/>
  <c r="BO246" i="3"/>
  <c r="BP246" i="3"/>
  <c r="BB247" i="3"/>
  <c r="BC247" i="3"/>
  <c r="BD247" i="3"/>
  <c r="BE247" i="3"/>
  <c r="BF247" i="3"/>
  <c r="BG247" i="3"/>
  <c r="BH247" i="3"/>
  <c r="BI247" i="3"/>
  <c r="BJ247" i="3"/>
  <c r="BK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M249" i="3"/>
  <c r="BN249" i="3"/>
  <c r="BO249" i="3"/>
  <c r="BP249" i="3"/>
  <c r="BB250" i="3"/>
  <c r="BC250" i="3"/>
  <c r="BD250" i="3"/>
  <c r="BE250" i="3"/>
  <c r="BF250" i="3"/>
  <c r="BG250" i="3"/>
  <c r="BH250" i="3"/>
  <c r="BI250" i="3"/>
  <c r="BJ250" i="3"/>
  <c r="BK250" i="3"/>
  <c r="BM250" i="3"/>
  <c r="BN250" i="3"/>
  <c r="BL250" i="3" s="1"/>
  <c r="BO250" i="3"/>
  <c r="BP250" i="3"/>
  <c r="BB251" i="3"/>
  <c r="BC251" i="3"/>
  <c r="BD251" i="3"/>
  <c r="BE251" i="3"/>
  <c r="BF251" i="3"/>
  <c r="BG251" i="3"/>
  <c r="BH251" i="3"/>
  <c r="BI251" i="3"/>
  <c r="BJ251" i="3"/>
  <c r="BK251" i="3"/>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s="1"/>
  <c r="BM253" i="3"/>
  <c r="BN253" i="3"/>
  <c r="BO253" i="3"/>
  <c r="BP253" i="3"/>
  <c r="BB254" i="3"/>
  <c r="BC254" i="3"/>
  <c r="BD254" i="3"/>
  <c r="BE254" i="3"/>
  <c r="BF254" i="3"/>
  <c r="BG254" i="3"/>
  <c r="BH254" i="3"/>
  <c r="BI254" i="3"/>
  <c r="BJ254" i="3"/>
  <c r="BK254" i="3"/>
  <c r="BM254" i="3"/>
  <c r="BN254" i="3"/>
  <c r="BL254" i="3" s="1"/>
  <c r="BO254" i="3"/>
  <c r="BP254" i="3"/>
  <c r="BB255" i="3"/>
  <c r="BC255" i="3"/>
  <c r="BD255" i="3"/>
  <c r="BE255" i="3"/>
  <c r="BF255" i="3"/>
  <c r="BG255" i="3"/>
  <c r="BH255" i="3"/>
  <c r="BI255" i="3"/>
  <c r="BJ255" i="3"/>
  <c r="BK255" i="3"/>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s="1"/>
  <c r="BM257" i="3"/>
  <c r="BN257" i="3"/>
  <c r="BO257" i="3"/>
  <c r="BP257" i="3"/>
  <c r="BB258" i="3"/>
  <c r="BC258" i="3"/>
  <c r="BD258" i="3"/>
  <c r="BE258" i="3"/>
  <c r="BF258" i="3"/>
  <c r="BG258" i="3"/>
  <c r="BH258" i="3"/>
  <c r="BI258" i="3"/>
  <c r="BJ258" i="3"/>
  <c r="BK258" i="3"/>
  <c r="BM258" i="3"/>
  <c r="BN258" i="3"/>
  <c r="BL258" i="3" s="1"/>
  <c r="BO258" i="3"/>
  <c r="BP258" i="3"/>
  <c r="BB259" i="3"/>
  <c r="BC259" i="3"/>
  <c r="BD259" i="3"/>
  <c r="BE259" i="3"/>
  <c r="BF259" i="3"/>
  <c r="BG259" i="3"/>
  <c r="BH259" i="3"/>
  <c r="BI259" i="3"/>
  <c r="BJ259" i="3"/>
  <c r="BK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M261" i="3"/>
  <c r="BN261" i="3"/>
  <c r="BO261" i="3"/>
  <c r="BP261" i="3"/>
  <c r="BB262" i="3"/>
  <c r="BC262" i="3"/>
  <c r="BD262" i="3"/>
  <c r="BE262" i="3"/>
  <c r="BF262" i="3"/>
  <c r="BG262" i="3"/>
  <c r="BH262" i="3"/>
  <c r="BI262" i="3"/>
  <c r="BJ262" i="3"/>
  <c r="BK262" i="3"/>
  <c r="BM262" i="3"/>
  <c r="BN262" i="3"/>
  <c r="BL262" i="3" s="1"/>
  <c r="BO262" i="3"/>
  <c r="BP262" i="3"/>
  <c r="BB263" i="3"/>
  <c r="BC263" i="3"/>
  <c r="BD263" i="3"/>
  <c r="BE263" i="3"/>
  <c r="BF263" i="3"/>
  <c r="BG263" i="3"/>
  <c r="BH263" i="3"/>
  <c r="BI263" i="3"/>
  <c r="BJ263" i="3"/>
  <c r="BK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M265" i="3"/>
  <c r="BN265" i="3"/>
  <c r="BO265" i="3"/>
  <c r="BP265" i="3"/>
  <c r="BB266" i="3"/>
  <c r="BC266" i="3"/>
  <c r="BD266" i="3"/>
  <c r="BE266" i="3"/>
  <c r="BF266" i="3"/>
  <c r="BG266" i="3"/>
  <c r="BH266" i="3"/>
  <c r="BI266" i="3"/>
  <c r="BJ266" i="3"/>
  <c r="BK266" i="3"/>
  <c r="BM266" i="3"/>
  <c r="BN266" i="3"/>
  <c r="BL266" i="3" s="1"/>
  <c r="BO266" i="3"/>
  <c r="BP266" i="3"/>
  <c r="BB267" i="3"/>
  <c r="BC267" i="3"/>
  <c r="BD267" i="3"/>
  <c r="BE267" i="3"/>
  <c r="BF267" i="3"/>
  <c r="BG267" i="3"/>
  <c r="BH267" i="3"/>
  <c r="BI267" i="3"/>
  <c r="BJ267" i="3"/>
  <c r="BK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M269" i="3"/>
  <c r="BN269" i="3"/>
  <c r="BO269" i="3"/>
  <c r="BP269" i="3"/>
  <c r="BB270" i="3"/>
  <c r="BC270" i="3"/>
  <c r="BD270" i="3"/>
  <c r="BE270" i="3"/>
  <c r="BF270" i="3"/>
  <c r="BG270" i="3"/>
  <c r="BH270" i="3"/>
  <c r="BI270" i="3"/>
  <c r="BJ270" i="3"/>
  <c r="BK270" i="3"/>
  <c r="BM270" i="3"/>
  <c r="BN270" i="3"/>
  <c r="BL270" i="3" s="1"/>
  <c r="BO270" i="3"/>
  <c r="BP270" i="3"/>
  <c r="BB271" i="3"/>
  <c r="BC271" i="3"/>
  <c r="BD271" i="3"/>
  <c r="BE271" i="3"/>
  <c r="BF271" i="3"/>
  <c r="BG271" i="3"/>
  <c r="BH271" i="3"/>
  <c r="BI271" i="3"/>
  <c r="BJ271" i="3"/>
  <c r="BK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M273" i="3"/>
  <c r="BN273" i="3"/>
  <c r="BO273" i="3"/>
  <c r="BP273" i="3"/>
  <c r="BB274" i="3"/>
  <c r="BC274" i="3"/>
  <c r="BD274" i="3"/>
  <c r="BE274" i="3"/>
  <c r="BF274" i="3"/>
  <c r="BG274" i="3"/>
  <c r="BH274" i="3"/>
  <c r="BI274" i="3"/>
  <c r="BJ274" i="3"/>
  <c r="BK274" i="3"/>
  <c r="BM274" i="3"/>
  <c r="BN274" i="3"/>
  <c r="BL274" i="3" s="1"/>
  <c r="BO274" i="3"/>
  <c r="BP274" i="3"/>
  <c r="BB275" i="3"/>
  <c r="BC275" i="3"/>
  <c r="BD275" i="3"/>
  <c r="BE275" i="3"/>
  <c r="BF275" i="3"/>
  <c r="BG275" i="3"/>
  <c r="BH275" i="3"/>
  <c r="BI275" i="3"/>
  <c r="BJ275" i="3"/>
  <c r="BK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M277" i="3"/>
  <c r="BN277" i="3"/>
  <c r="BO277" i="3"/>
  <c r="BP277" i="3"/>
  <c r="BB278" i="3"/>
  <c r="BC278" i="3"/>
  <c r="BD278" i="3"/>
  <c r="BE278" i="3"/>
  <c r="BF278" i="3"/>
  <c r="BG278" i="3"/>
  <c r="BH278" i="3"/>
  <c r="BI278" i="3"/>
  <c r="BJ278" i="3"/>
  <c r="BK278" i="3"/>
  <c r="BM278" i="3"/>
  <c r="BN278" i="3"/>
  <c r="BL278" i="3" s="1"/>
  <c r="BO278" i="3"/>
  <c r="BP278" i="3"/>
  <c r="BB279" i="3"/>
  <c r="BC279" i="3"/>
  <c r="BD279" i="3"/>
  <c r="BE279" i="3"/>
  <c r="BF279" i="3"/>
  <c r="BG279" i="3"/>
  <c r="BH279" i="3"/>
  <c r="BI279" i="3"/>
  <c r="BJ279" i="3"/>
  <c r="BK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M281" i="3"/>
  <c r="BN281" i="3"/>
  <c r="BO281" i="3"/>
  <c r="BP281" i="3"/>
  <c r="BB282" i="3"/>
  <c r="BC282" i="3"/>
  <c r="BD282" i="3"/>
  <c r="BE282" i="3"/>
  <c r="BF282" i="3"/>
  <c r="BG282" i="3"/>
  <c r="BH282" i="3"/>
  <c r="BI282" i="3"/>
  <c r="BJ282" i="3"/>
  <c r="BK282" i="3"/>
  <c r="BM282" i="3"/>
  <c r="BN282" i="3"/>
  <c r="BL282" i="3" s="1"/>
  <c r="BO282" i="3"/>
  <c r="BP282" i="3"/>
  <c r="BB283" i="3"/>
  <c r="BC283" i="3"/>
  <c r="BD283" i="3"/>
  <c r="BE283" i="3"/>
  <c r="BF283" i="3"/>
  <c r="BG283" i="3"/>
  <c r="BH283" i="3"/>
  <c r="BI283" i="3"/>
  <c r="BJ283" i="3"/>
  <c r="BK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M285" i="3"/>
  <c r="BN285" i="3"/>
  <c r="BO285" i="3"/>
  <c r="BP285" i="3"/>
  <c r="BB286" i="3"/>
  <c r="BC286" i="3"/>
  <c r="BD286" i="3"/>
  <c r="BE286" i="3"/>
  <c r="BF286" i="3"/>
  <c r="BG286" i="3"/>
  <c r="BH286" i="3"/>
  <c r="BI286" i="3"/>
  <c r="BJ286" i="3"/>
  <c r="BK286" i="3"/>
  <c r="BM286" i="3"/>
  <c r="BN286" i="3"/>
  <c r="BL286" i="3" s="1"/>
  <c r="BO286" i="3"/>
  <c r="BP286" i="3"/>
  <c r="BB287" i="3"/>
  <c r="BC287" i="3"/>
  <c r="BD287" i="3"/>
  <c r="BE287" i="3"/>
  <c r="BF287" i="3"/>
  <c r="BG287" i="3"/>
  <c r="BH287" i="3"/>
  <c r="BI287" i="3"/>
  <c r="BJ287" i="3"/>
  <c r="BK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M289" i="3"/>
  <c r="BN289" i="3"/>
  <c r="BO289" i="3"/>
  <c r="BP289" i="3"/>
  <c r="BB290" i="3"/>
  <c r="BC290" i="3"/>
  <c r="BD290" i="3"/>
  <c r="BE290" i="3"/>
  <c r="BF290" i="3"/>
  <c r="BG290" i="3"/>
  <c r="BH290" i="3"/>
  <c r="BI290" i="3"/>
  <c r="BJ290" i="3"/>
  <c r="BK290" i="3"/>
  <c r="BM290" i="3"/>
  <c r="BN290" i="3"/>
  <c r="BL290" i="3" s="1"/>
  <c r="BO290" i="3"/>
  <c r="BP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L292" i="3" s="1"/>
  <c r="BO292" i="3"/>
  <c r="BP292" i="3"/>
  <c r="BB293" i="3"/>
  <c r="BC293" i="3"/>
  <c r="BD293" i="3"/>
  <c r="BE293" i="3"/>
  <c r="BF293" i="3"/>
  <c r="BG293" i="3"/>
  <c r="BH293" i="3"/>
  <c r="BI293" i="3"/>
  <c r="BJ293" i="3"/>
  <c r="BK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M295" i="3"/>
  <c r="BN295" i="3"/>
  <c r="BO295" i="3"/>
  <c r="BP295" i="3"/>
  <c r="BB296" i="3"/>
  <c r="BC296" i="3"/>
  <c r="BD296" i="3"/>
  <c r="BE296" i="3"/>
  <c r="BF296" i="3"/>
  <c r="BG296" i="3"/>
  <c r="BH296" i="3"/>
  <c r="BI296" i="3"/>
  <c r="BJ296" i="3"/>
  <c r="BK296" i="3"/>
  <c r="BM296" i="3"/>
  <c r="BN296" i="3"/>
  <c r="BL296" i="3" s="1"/>
  <c r="BO296" i="3"/>
  <c r="BP296" i="3"/>
  <c r="BB297" i="3"/>
  <c r="BC297" i="3"/>
  <c r="BD297" i="3"/>
  <c r="BE297" i="3"/>
  <c r="BF297" i="3"/>
  <c r="BG297" i="3"/>
  <c r="BH297" i="3"/>
  <c r="BI297" i="3"/>
  <c r="BJ297" i="3"/>
  <c r="BK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M299" i="3"/>
  <c r="BN299" i="3"/>
  <c r="BO299" i="3"/>
  <c r="BP299" i="3"/>
  <c r="BB300" i="3"/>
  <c r="BC300" i="3"/>
  <c r="BD300" i="3"/>
  <c r="BE300" i="3"/>
  <c r="BF300" i="3"/>
  <c r="BG300" i="3"/>
  <c r="BH300" i="3"/>
  <c r="BI300" i="3"/>
  <c r="BJ300" i="3"/>
  <c r="BK300" i="3"/>
  <c r="BM300" i="3"/>
  <c r="BN300" i="3"/>
  <c r="BL300" i="3" s="1"/>
  <c r="BO300" i="3"/>
  <c r="BP300" i="3"/>
  <c r="BB301" i="3"/>
  <c r="BC301" i="3"/>
  <c r="BD301" i="3"/>
  <c r="BE301" i="3"/>
  <c r="BF301" i="3"/>
  <c r="BG301" i="3"/>
  <c r="BH301" i="3"/>
  <c r="BI301" i="3"/>
  <c r="BJ301" i="3"/>
  <c r="BK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M303" i="3"/>
  <c r="BN303" i="3"/>
  <c r="BO303" i="3"/>
  <c r="BP303" i="3"/>
  <c r="BB304" i="3"/>
  <c r="BC304" i="3"/>
  <c r="BD304" i="3"/>
  <c r="BE304" i="3"/>
  <c r="BF304" i="3"/>
  <c r="BG304" i="3"/>
  <c r="BH304" i="3"/>
  <c r="BI304" i="3"/>
  <c r="BJ304" i="3"/>
  <c r="BK304" i="3"/>
  <c r="BM304" i="3"/>
  <c r="BN304" i="3"/>
  <c r="BL304" i="3" s="1"/>
  <c r="BO304" i="3"/>
  <c r="BP304" i="3"/>
  <c r="BB305" i="3"/>
  <c r="BC305" i="3"/>
  <c r="BD305" i="3"/>
  <c r="BE305" i="3"/>
  <c r="BF305" i="3"/>
  <c r="BG305" i="3"/>
  <c r="BH305" i="3"/>
  <c r="BI305" i="3"/>
  <c r="BJ305" i="3"/>
  <c r="BK305" i="3"/>
  <c r="BM305" i="3"/>
  <c r="BN305" i="3"/>
  <c r="BO305" i="3"/>
  <c r="BP305" i="3"/>
  <c r="BB306" i="3"/>
  <c r="BC306" i="3"/>
  <c r="BD306" i="3"/>
  <c r="BE306" i="3"/>
  <c r="BF306" i="3"/>
  <c r="BG306" i="3"/>
  <c r="BH306" i="3"/>
  <c r="BI306" i="3"/>
  <c r="BJ306" i="3"/>
  <c r="BK306" i="3"/>
  <c r="BM306" i="3"/>
  <c r="BN306" i="3"/>
  <c r="BO306" i="3"/>
  <c r="BP306" i="3"/>
  <c r="BL306" i="3"/>
  <c r="BB307" i="3"/>
  <c r="BC307" i="3"/>
  <c r="BA307" i="3" s="1"/>
  <c r="BD307" i="3"/>
  <c r="BE307" i="3"/>
  <c r="BF307" i="3"/>
  <c r="BG307" i="3"/>
  <c r="BH307" i="3"/>
  <c r="BI307" i="3"/>
  <c r="BJ307" i="3"/>
  <c r="BK307" i="3"/>
  <c r="BM307" i="3"/>
  <c r="BN307" i="3"/>
  <c r="BO307" i="3"/>
  <c r="BP307" i="3"/>
  <c r="BB308" i="3"/>
  <c r="BC308" i="3"/>
  <c r="BD308" i="3"/>
  <c r="BE308" i="3"/>
  <c r="BF308" i="3"/>
  <c r="BG308" i="3"/>
  <c r="BH308" i="3"/>
  <c r="BI308" i="3"/>
  <c r="BJ308" i="3"/>
  <c r="BK308" i="3"/>
  <c r="BM308" i="3"/>
  <c r="BN308" i="3"/>
  <c r="BO308" i="3"/>
  <c r="BP308" i="3"/>
  <c r="BL308" i="3"/>
  <c r="BB309" i="3"/>
  <c r="BC309" i="3"/>
  <c r="BA309" i="3" s="1"/>
  <c r="BD309" i="3"/>
  <c r="BE309" i="3"/>
  <c r="BF309" i="3"/>
  <c r="BG309" i="3"/>
  <c r="BH309" i="3"/>
  <c r="BI309" i="3"/>
  <c r="BJ309" i="3"/>
  <c r="BK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s="1"/>
  <c r="BM311" i="3"/>
  <c r="BN311" i="3"/>
  <c r="BO311" i="3"/>
  <c r="BP311" i="3"/>
  <c r="BB312" i="3"/>
  <c r="BC312" i="3"/>
  <c r="BD312" i="3"/>
  <c r="BE312" i="3"/>
  <c r="BF312" i="3"/>
  <c r="BG312" i="3"/>
  <c r="BH312" i="3"/>
  <c r="BI312" i="3"/>
  <c r="BJ312" i="3"/>
  <c r="BK312" i="3"/>
  <c r="BM312" i="3"/>
  <c r="BN312" i="3"/>
  <c r="BL312" i="3" s="1"/>
  <c r="BO312" i="3"/>
  <c r="BP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L314" i="3" s="1"/>
  <c r="BO314" i="3"/>
  <c r="BP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L316" i="3" s="1"/>
  <c r="BO316" i="3"/>
  <c r="BP316" i="3"/>
  <c r="BB317" i="3"/>
  <c r="BC317" i="3"/>
  <c r="BD317" i="3"/>
  <c r="BE317" i="3"/>
  <c r="BF317" i="3"/>
  <c r="BG317" i="3"/>
  <c r="BH317" i="3"/>
  <c r="BI317" i="3"/>
  <c r="BJ317" i="3"/>
  <c r="BK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s="1"/>
  <c r="BM319" i="3"/>
  <c r="BN319" i="3"/>
  <c r="BO319" i="3"/>
  <c r="BP319" i="3"/>
  <c r="BB320" i="3"/>
  <c r="BC320" i="3"/>
  <c r="BD320" i="3"/>
  <c r="BE320" i="3"/>
  <c r="BF320" i="3"/>
  <c r="BG320" i="3"/>
  <c r="BH320" i="3"/>
  <c r="BI320" i="3"/>
  <c r="BJ320" i="3"/>
  <c r="BK320" i="3"/>
  <c r="BM320" i="3"/>
  <c r="BN320" i="3"/>
  <c r="BL320" i="3" s="1"/>
  <c r="BO320" i="3"/>
  <c r="BP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L322" i="3" s="1"/>
  <c r="BO322" i="3"/>
  <c r="BP322" i="3"/>
  <c r="BB323" i="3"/>
  <c r="BC323" i="3"/>
  <c r="BD323" i="3"/>
  <c r="BE323" i="3"/>
  <c r="BF323" i="3"/>
  <c r="BG323" i="3"/>
  <c r="BH323" i="3"/>
  <c r="BI323" i="3"/>
  <c r="BJ323" i="3"/>
  <c r="BK323" i="3"/>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M325" i="3"/>
  <c r="BN325" i="3"/>
  <c r="BO325" i="3"/>
  <c r="BP325" i="3"/>
  <c r="BB326" i="3"/>
  <c r="BC326" i="3"/>
  <c r="BD326" i="3"/>
  <c r="BE326" i="3"/>
  <c r="BF326" i="3"/>
  <c r="BG326" i="3"/>
  <c r="BH326" i="3"/>
  <c r="BI326" i="3"/>
  <c r="BJ326" i="3"/>
  <c r="BK326" i="3"/>
  <c r="BM326" i="3"/>
  <c r="BN326" i="3"/>
  <c r="BL326" i="3" s="1"/>
  <c r="BO326" i="3"/>
  <c r="BP326" i="3"/>
  <c r="BB327" i="3"/>
  <c r="BC327" i="3"/>
  <c r="BD327" i="3"/>
  <c r="BE327" i="3"/>
  <c r="BF327" i="3"/>
  <c r="BG327" i="3"/>
  <c r="BH327" i="3"/>
  <c r="BI327" i="3"/>
  <c r="BJ327" i="3"/>
  <c r="BK327" i="3"/>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M329" i="3"/>
  <c r="BN329" i="3"/>
  <c r="BO329" i="3"/>
  <c r="BP329" i="3"/>
  <c r="BB330" i="3"/>
  <c r="BC330" i="3"/>
  <c r="BD330" i="3"/>
  <c r="BE330" i="3"/>
  <c r="BF330" i="3"/>
  <c r="BG330" i="3"/>
  <c r="BH330" i="3"/>
  <c r="BI330" i="3"/>
  <c r="BJ330" i="3"/>
  <c r="BK330" i="3"/>
  <c r="BM330" i="3"/>
  <c r="BN330" i="3"/>
  <c r="BL330" i="3" s="1"/>
  <c r="BO330" i="3"/>
  <c r="BP330" i="3"/>
  <c r="BB331" i="3"/>
  <c r="BC331" i="3"/>
  <c r="BD331" i="3"/>
  <c r="BE331" i="3"/>
  <c r="BF331" i="3"/>
  <c r="BG331" i="3"/>
  <c r="BH331" i="3"/>
  <c r="BI331" i="3"/>
  <c r="BJ331" i="3"/>
  <c r="BK331" i="3"/>
  <c r="BM331" i="3"/>
  <c r="BN331" i="3"/>
  <c r="BO331" i="3"/>
  <c r="BP331" i="3"/>
  <c r="BB332" i="3"/>
  <c r="BC332" i="3"/>
  <c r="BD332" i="3"/>
  <c r="BE332" i="3"/>
  <c r="BF332" i="3"/>
  <c r="BG332" i="3"/>
  <c r="BH332" i="3"/>
  <c r="BI332" i="3"/>
  <c r="BJ332" i="3"/>
  <c r="BK332" i="3"/>
  <c r="BM332" i="3"/>
  <c r="BN332" i="3"/>
  <c r="BO332" i="3"/>
  <c r="BP332" i="3"/>
  <c r="BL332" i="3"/>
  <c r="BB333" i="3"/>
  <c r="BC333" i="3"/>
  <c r="BA333" i="3" s="1"/>
  <c r="BD333" i="3"/>
  <c r="BE333" i="3"/>
  <c r="BF333" i="3"/>
  <c r="BG333" i="3"/>
  <c r="BH333" i="3"/>
  <c r="BI333" i="3"/>
  <c r="BJ333" i="3"/>
  <c r="BK333" i="3"/>
  <c r="BM333" i="3"/>
  <c r="BN333" i="3"/>
  <c r="BO333" i="3"/>
  <c r="BP333" i="3"/>
  <c r="BB334" i="3"/>
  <c r="BC334" i="3"/>
  <c r="BD334" i="3"/>
  <c r="BE334" i="3"/>
  <c r="BF334" i="3"/>
  <c r="BG334" i="3"/>
  <c r="BH334" i="3"/>
  <c r="BI334" i="3"/>
  <c r="BJ334" i="3"/>
  <c r="BK334" i="3"/>
  <c r="BM334" i="3"/>
  <c r="BN334" i="3"/>
  <c r="BO334" i="3"/>
  <c r="BP334" i="3"/>
  <c r="BL334" i="3"/>
  <c r="BB335" i="3"/>
  <c r="BC335" i="3"/>
  <c r="BA335" i="3" s="1"/>
  <c r="BD335" i="3"/>
  <c r="BE335" i="3"/>
  <c r="BF335" i="3"/>
  <c r="BG335" i="3"/>
  <c r="BH335" i="3"/>
  <c r="BI335" i="3"/>
  <c r="BJ335" i="3"/>
  <c r="BK335" i="3"/>
  <c r="BM335" i="3"/>
  <c r="BN335" i="3"/>
  <c r="BO335" i="3"/>
  <c r="BP335" i="3"/>
  <c r="BB336" i="3"/>
  <c r="BC336" i="3"/>
  <c r="BD336" i="3"/>
  <c r="BE336" i="3"/>
  <c r="BF336" i="3"/>
  <c r="BG336" i="3"/>
  <c r="BH336" i="3"/>
  <c r="BI336" i="3"/>
  <c r="BJ336" i="3"/>
  <c r="BK336" i="3"/>
  <c r="BM336" i="3"/>
  <c r="BN336" i="3"/>
  <c r="BO336" i="3"/>
  <c r="BP336" i="3"/>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L338" i="3" s="1"/>
  <c r="BO338" i="3"/>
  <c r="BP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L340" i="3" s="1"/>
  <c r="BO340" i="3"/>
  <c r="BP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L342" i="3" s="1"/>
  <c r="BO342" i="3"/>
  <c r="BP342" i="3"/>
  <c r="BB343" i="3"/>
  <c r="BC343" i="3"/>
  <c r="BD343" i="3"/>
  <c r="BE343" i="3"/>
  <c r="BF343" i="3"/>
  <c r="BG343" i="3"/>
  <c r="BH343" i="3"/>
  <c r="BI343" i="3"/>
  <c r="BJ343" i="3"/>
  <c r="BK343" i="3"/>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s="1"/>
  <c r="BM345" i="3"/>
  <c r="BN345" i="3"/>
  <c r="BO345" i="3"/>
  <c r="BP345" i="3"/>
  <c r="BB346" i="3"/>
  <c r="BC346" i="3"/>
  <c r="BD346" i="3"/>
  <c r="BE346" i="3"/>
  <c r="BF346" i="3"/>
  <c r="BG346" i="3"/>
  <c r="BH346" i="3"/>
  <c r="BI346" i="3"/>
  <c r="BJ346" i="3"/>
  <c r="BK346" i="3"/>
  <c r="BM346" i="3"/>
  <c r="BN346" i="3"/>
  <c r="BL346" i="3" s="1"/>
  <c r="BO346" i="3"/>
  <c r="BP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L348" i="3" s="1"/>
  <c r="BO348" i="3"/>
  <c r="BP348" i="3"/>
  <c r="BB349" i="3"/>
  <c r="BC349" i="3"/>
  <c r="BD349" i="3"/>
  <c r="BE349" i="3"/>
  <c r="BF349" i="3"/>
  <c r="BG349" i="3"/>
  <c r="BH349" i="3"/>
  <c r="BI349" i="3"/>
  <c r="BJ349" i="3"/>
  <c r="BK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M351" i="3"/>
  <c r="BN351" i="3"/>
  <c r="BO351" i="3"/>
  <c r="BP351" i="3"/>
  <c r="BB352" i="3"/>
  <c r="BC352" i="3"/>
  <c r="BD352" i="3"/>
  <c r="BE352" i="3"/>
  <c r="BF352" i="3"/>
  <c r="BG352" i="3"/>
  <c r="BH352" i="3"/>
  <c r="BI352" i="3"/>
  <c r="BJ352" i="3"/>
  <c r="BK352" i="3"/>
  <c r="BM352" i="3"/>
  <c r="BN352" i="3"/>
  <c r="BL352" i="3" s="1"/>
  <c r="BO352" i="3"/>
  <c r="BP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L354" i="3" s="1"/>
  <c r="BO354" i="3"/>
  <c r="BP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L356" i="3" s="1"/>
  <c r="BO356" i="3"/>
  <c r="BP356" i="3"/>
  <c r="BB357" i="3"/>
  <c r="BC357" i="3"/>
  <c r="BD357" i="3"/>
  <c r="BE357" i="3"/>
  <c r="BF357" i="3"/>
  <c r="BG357" i="3"/>
  <c r="BH357" i="3"/>
  <c r="BI357" i="3"/>
  <c r="BJ357" i="3"/>
  <c r="BK357" i="3"/>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M359" i="3"/>
  <c r="BN359" i="3"/>
  <c r="BO359" i="3"/>
  <c r="BP359" i="3"/>
  <c r="BB360" i="3"/>
  <c r="BC360" i="3"/>
  <c r="BD360" i="3"/>
  <c r="BE360" i="3"/>
  <c r="BF360" i="3"/>
  <c r="BG360" i="3"/>
  <c r="BH360" i="3"/>
  <c r="BI360" i="3"/>
  <c r="BJ360" i="3"/>
  <c r="BK360" i="3"/>
  <c r="BM360" i="3"/>
  <c r="BN360" i="3"/>
  <c r="BL360" i="3" s="1"/>
  <c r="BO360" i="3"/>
  <c r="BP360" i="3"/>
  <c r="BB361" i="3"/>
  <c r="BC361" i="3"/>
  <c r="BD361" i="3"/>
  <c r="BE361" i="3"/>
  <c r="BF361" i="3"/>
  <c r="BG361" i="3"/>
  <c r="BH361" i="3"/>
  <c r="BI361" i="3"/>
  <c r="BJ361" i="3"/>
  <c r="BK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M363" i="3"/>
  <c r="BN363" i="3"/>
  <c r="BO363" i="3"/>
  <c r="BP363" i="3"/>
  <c r="BB364" i="3"/>
  <c r="BC364" i="3"/>
  <c r="BD364" i="3"/>
  <c r="BE364" i="3"/>
  <c r="BF364" i="3"/>
  <c r="BG364" i="3"/>
  <c r="BH364" i="3"/>
  <c r="BI364" i="3"/>
  <c r="BJ364" i="3"/>
  <c r="BK364" i="3"/>
  <c r="BM364" i="3"/>
  <c r="BN364" i="3"/>
  <c r="BL364" i="3" s="1"/>
  <c r="BO364" i="3"/>
  <c r="BP364" i="3"/>
  <c r="BB365" i="3"/>
  <c r="BC365" i="3"/>
  <c r="BD365" i="3"/>
  <c r="BE365" i="3"/>
  <c r="BF365" i="3"/>
  <c r="BG365" i="3"/>
  <c r="BH365" i="3"/>
  <c r="BI365" i="3"/>
  <c r="BJ365" i="3"/>
  <c r="BK365" i="3"/>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s="1"/>
  <c r="BM367" i="3"/>
  <c r="BN367" i="3"/>
  <c r="BO367" i="3"/>
  <c r="BP367" i="3"/>
  <c r="BB368" i="3"/>
  <c r="BC368" i="3"/>
  <c r="BD368" i="3"/>
  <c r="BE368" i="3"/>
  <c r="BF368" i="3"/>
  <c r="BG368" i="3"/>
  <c r="BH368" i="3"/>
  <c r="BI368" i="3"/>
  <c r="BJ368" i="3"/>
  <c r="BK368" i="3"/>
  <c r="BM368" i="3"/>
  <c r="BN368" i="3"/>
  <c r="BL368" i="3" s="1"/>
  <c r="BO368" i="3"/>
  <c r="BP368" i="3"/>
  <c r="BB369" i="3"/>
  <c r="BC369" i="3"/>
  <c r="BD369" i="3"/>
  <c r="BE369" i="3"/>
  <c r="BF369" i="3"/>
  <c r="BG369" i="3"/>
  <c r="BH369" i="3"/>
  <c r="BI369" i="3"/>
  <c r="BJ369" i="3"/>
  <c r="BK369" i="3"/>
  <c r="BM369" i="3"/>
  <c r="BN369" i="3"/>
  <c r="BO369" i="3"/>
  <c r="BP369" i="3"/>
  <c r="BB370" i="3"/>
  <c r="BC370" i="3"/>
  <c r="BD370" i="3"/>
  <c r="BE370" i="3"/>
  <c r="BF370" i="3"/>
  <c r="BG370" i="3"/>
  <c r="BH370" i="3"/>
  <c r="BI370" i="3"/>
  <c r="BJ370" i="3"/>
  <c r="BK370" i="3"/>
  <c r="BM370" i="3"/>
  <c r="BN370" i="3"/>
  <c r="BO370" i="3"/>
  <c r="BP370" i="3"/>
  <c r="BL370" i="3"/>
  <c r="BB371" i="3"/>
  <c r="BC371" i="3"/>
  <c r="BA371" i="3" s="1"/>
  <c r="BD371" i="3"/>
  <c r="BE371" i="3"/>
  <c r="BF371" i="3"/>
  <c r="BG371" i="3"/>
  <c r="BH371" i="3"/>
  <c r="BI371" i="3"/>
  <c r="BJ371" i="3"/>
  <c r="BK371" i="3"/>
  <c r="BM371" i="3"/>
  <c r="BN371" i="3"/>
  <c r="BO371" i="3"/>
  <c r="BP371" i="3"/>
  <c r="BB372" i="3"/>
  <c r="BC372" i="3"/>
  <c r="BD372" i="3"/>
  <c r="BE372" i="3"/>
  <c r="BF372" i="3"/>
  <c r="BG372" i="3"/>
  <c r="BH372" i="3"/>
  <c r="BI372" i="3"/>
  <c r="BJ372" i="3"/>
  <c r="BK372" i="3"/>
  <c r="BM372" i="3"/>
  <c r="BN372" i="3"/>
  <c r="BO372" i="3"/>
  <c r="BP372" i="3"/>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L374" i="3" s="1"/>
  <c r="BO374" i="3"/>
  <c r="BP374" i="3"/>
  <c r="BB375" i="3"/>
  <c r="BC375" i="3"/>
  <c r="BD375" i="3"/>
  <c r="BE375" i="3"/>
  <c r="BF375" i="3"/>
  <c r="BG375" i="3"/>
  <c r="BH375" i="3"/>
  <c r="BI375" i="3"/>
  <c r="BJ375" i="3"/>
  <c r="BK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M377" i="3"/>
  <c r="BN377" i="3"/>
  <c r="BO377" i="3"/>
  <c r="BP377" i="3"/>
  <c r="BB378" i="3"/>
  <c r="BC378" i="3"/>
  <c r="BA378" i="3" s="1"/>
  <c r="BD378" i="3"/>
  <c r="BE378" i="3"/>
  <c r="BF378" i="3"/>
  <c r="BG378" i="3"/>
  <c r="BH378" i="3"/>
  <c r="BI378" i="3"/>
  <c r="BJ378" i="3"/>
  <c r="BK378" i="3"/>
  <c r="BM378" i="3"/>
  <c r="BN378" i="3"/>
  <c r="BO378" i="3"/>
  <c r="BP378" i="3"/>
  <c r="BB379" i="3"/>
  <c r="BC379" i="3"/>
  <c r="BD379" i="3"/>
  <c r="BE379" i="3"/>
  <c r="BF379" i="3"/>
  <c r="BG379" i="3"/>
  <c r="BH379" i="3"/>
  <c r="BI379" i="3"/>
  <c r="BJ379" i="3"/>
  <c r="BK379" i="3"/>
  <c r="BM379" i="3"/>
  <c r="BN379" i="3"/>
  <c r="BO379" i="3"/>
  <c r="BP379" i="3"/>
  <c r="BB380" i="3"/>
  <c r="BC380" i="3"/>
  <c r="BD380" i="3"/>
  <c r="BE380" i="3"/>
  <c r="BF380" i="3"/>
  <c r="BG380" i="3"/>
  <c r="BH380" i="3"/>
  <c r="BI380" i="3"/>
  <c r="BJ380" i="3"/>
  <c r="BK380" i="3"/>
  <c r="BA380" i="3"/>
  <c r="BM380" i="3"/>
  <c r="BN380" i="3"/>
  <c r="BO380" i="3"/>
  <c r="BP380" i="3"/>
  <c r="BB381" i="3"/>
  <c r="BC381" i="3"/>
  <c r="BD381" i="3"/>
  <c r="BE381" i="3"/>
  <c r="BF381" i="3"/>
  <c r="BG381" i="3"/>
  <c r="BH381" i="3"/>
  <c r="BI381" i="3"/>
  <c r="BJ381" i="3"/>
  <c r="BK381" i="3"/>
  <c r="BM381" i="3"/>
  <c r="BN381" i="3"/>
  <c r="BO381" i="3"/>
  <c r="BP381" i="3"/>
  <c r="BB382" i="3"/>
  <c r="BC382" i="3"/>
  <c r="BA382" i="3" s="1"/>
  <c r="BD382" i="3"/>
  <c r="BE382" i="3"/>
  <c r="BF382" i="3"/>
  <c r="BG382" i="3"/>
  <c r="BH382" i="3"/>
  <c r="BI382" i="3"/>
  <c r="BJ382" i="3"/>
  <c r="BK382" i="3"/>
  <c r="BM382" i="3"/>
  <c r="BN382" i="3"/>
  <c r="BO382" i="3"/>
  <c r="BP382" i="3"/>
  <c r="BB383" i="3"/>
  <c r="BC383" i="3"/>
  <c r="BD383" i="3"/>
  <c r="BE383" i="3"/>
  <c r="BF383" i="3"/>
  <c r="BG383" i="3"/>
  <c r="BH383" i="3"/>
  <c r="BI383" i="3"/>
  <c r="BJ383" i="3"/>
  <c r="BK383" i="3"/>
  <c r="BM383" i="3"/>
  <c r="BN383" i="3"/>
  <c r="BO383" i="3"/>
  <c r="BP383" i="3"/>
  <c r="BB384" i="3"/>
  <c r="BC384" i="3"/>
  <c r="BD384" i="3"/>
  <c r="BE384" i="3"/>
  <c r="BF384" i="3"/>
  <c r="BG384" i="3"/>
  <c r="BH384" i="3"/>
  <c r="BI384" i="3"/>
  <c r="BJ384" i="3"/>
  <c r="BK384" i="3"/>
  <c r="BA384" i="3"/>
  <c r="BM384" i="3"/>
  <c r="BN384" i="3"/>
  <c r="BO384" i="3"/>
  <c r="BP384" i="3"/>
  <c r="BB385" i="3"/>
  <c r="BC385" i="3"/>
  <c r="BD385" i="3"/>
  <c r="BE385" i="3"/>
  <c r="BF385" i="3"/>
  <c r="BG385" i="3"/>
  <c r="BH385" i="3"/>
  <c r="BI385" i="3"/>
  <c r="BJ385" i="3"/>
  <c r="BK385" i="3"/>
  <c r="BM385" i="3"/>
  <c r="BN385" i="3"/>
  <c r="BO385" i="3"/>
  <c r="BP385" i="3"/>
  <c r="BB386" i="3"/>
  <c r="BC386" i="3"/>
  <c r="BA386" i="3" s="1"/>
  <c r="BD386" i="3"/>
  <c r="BE386" i="3"/>
  <c r="BF386" i="3"/>
  <c r="BG386" i="3"/>
  <c r="BH386" i="3"/>
  <c r="BI386" i="3"/>
  <c r="BJ386" i="3"/>
  <c r="BK386" i="3"/>
  <c r="BM386" i="3"/>
  <c r="BN386" i="3"/>
  <c r="BO386" i="3"/>
  <c r="BP386" i="3"/>
  <c r="BB387" i="3"/>
  <c r="BC387" i="3"/>
  <c r="BD387" i="3"/>
  <c r="BE387" i="3"/>
  <c r="BF387" i="3"/>
  <c r="BG387" i="3"/>
  <c r="BH387" i="3"/>
  <c r="BI387" i="3"/>
  <c r="BJ387" i="3"/>
  <c r="BK387" i="3"/>
  <c r="BM387" i="3"/>
  <c r="BN387" i="3"/>
  <c r="BO387" i="3"/>
  <c r="BP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O389" i="3"/>
  <c r="BP389" i="3"/>
  <c r="BB390" i="3"/>
  <c r="BC390" i="3"/>
  <c r="BD390" i="3"/>
  <c r="BE390" i="3"/>
  <c r="BF390" i="3"/>
  <c r="BG390" i="3"/>
  <c r="BH390" i="3"/>
  <c r="BI390" i="3"/>
  <c r="BJ390" i="3"/>
  <c r="BK390" i="3"/>
  <c r="BM390" i="3"/>
  <c r="BN390" i="3"/>
  <c r="BO390" i="3"/>
  <c r="BP390" i="3"/>
  <c r="BB391" i="3"/>
  <c r="BC391" i="3"/>
  <c r="BA391" i="3" s="1"/>
  <c r="BD391" i="3"/>
  <c r="BE391" i="3"/>
  <c r="BF391" i="3"/>
  <c r="BG391" i="3"/>
  <c r="BH391" i="3"/>
  <c r="BI391" i="3"/>
  <c r="BJ391" i="3"/>
  <c r="BK391" i="3"/>
  <c r="BM391" i="3"/>
  <c r="BN391" i="3"/>
  <c r="BO391" i="3"/>
  <c r="BP391" i="3"/>
  <c r="BB392" i="3"/>
  <c r="BC392" i="3"/>
  <c r="BD392" i="3"/>
  <c r="BE392" i="3"/>
  <c r="BF392" i="3"/>
  <c r="BG392" i="3"/>
  <c r="BH392" i="3"/>
  <c r="BI392" i="3"/>
  <c r="BJ392" i="3"/>
  <c r="BK392" i="3"/>
  <c r="BM392" i="3"/>
  <c r="BN392" i="3"/>
  <c r="BO392" i="3"/>
  <c r="BP392" i="3"/>
  <c r="BB393" i="3"/>
  <c r="BC393" i="3"/>
  <c r="BD393" i="3"/>
  <c r="BE393" i="3"/>
  <c r="BF393" i="3"/>
  <c r="BG393" i="3"/>
  <c r="BH393" i="3"/>
  <c r="BI393" i="3"/>
  <c r="BJ393" i="3"/>
  <c r="BK393" i="3"/>
  <c r="BA393" i="3"/>
  <c r="BM393" i="3"/>
  <c r="BN393" i="3"/>
  <c r="BO393" i="3"/>
  <c r="BP393" i="3"/>
  <c r="BB394" i="3"/>
  <c r="BC394" i="3"/>
  <c r="BD394" i="3"/>
  <c r="BE394" i="3"/>
  <c r="BF394" i="3"/>
  <c r="BG394" i="3"/>
  <c r="BH394" i="3"/>
  <c r="BI394" i="3"/>
  <c r="BJ394" i="3"/>
  <c r="BK394" i="3"/>
  <c r="BM394" i="3"/>
  <c r="BN394" i="3"/>
  <c r="BO394" i="3"/>
  <c r="BP394" i="3"/>
  <c r="BB395" i="3"/>
  <c r="BC395" i="3"/>
  <c r="BA395" i="3" s="1"/>
  <c r="BD395" i="3"/>
  <c r="BE395" i="3"/>
  <c r="BF395" i="3"/>
  <c r="BG395" i="3"/>
  <c r="BH395" i="3"/>
  <c r="BI395" i="3"/>
  <c r="BJ395" i="3"/>
  <c r="BK395" i="3"/>
  <c r="BM395" i="3"/>
  <c r="BN395" i="3"/>
  <c r="BO395" i="3"/>
  <c r="BP395" i="3"/>
  <c r="BB396" i="3"/>
  <c r="BC396" i="3"/>
  <c r="BD396" i="3"/>
  <c r="BE396" i="3"/>
  <c r="BF396" i="3"/>
  <c r="BG396" i="3"/>
  <c r="BH396" i="3"/>
  <c r="BI396" i="3"/>
  <c r="BJ396" i="3"/>
  <c r="BK396" i="3"/>
  <c r="BM396" i="3"/>
  <c r="BN396" i="3"/>
  <c r="BO396" i="3"/>
  <c r="BP396" i="3"/>
  <c r="BB397" i="3"/>
  <c r="BC397" i="3"/>
  <c r="BD397" i="3"/>
  <c r="BE397" i="3"/>
  <c r="BF397" i="3"/>
  <c r="BG397" i="3"/>
  <c r="BH397" i="3"/>
  <c r="BI397" i="3"/>
  <c r="BJ397" i="3"/>
  <c r="BK397" i="3"/>
  <c r="BA397" i="3"/>
  <c r="BM397" i="3"/>
  <c r="BN397" i="3"/>
  <c r="BO397" i="3"/>
  <c r="BP397" i="3"/>
  <c r="BB398" i="3"/>
  <c r="BC398" i="3"/>
  <c r="BD398" i="3"/>
  <c r="BE398" i="3"/>
  <c r="BF398" i="3"/>
  <c r="BG398" i="3"/>
  <c r="BH398" i="3"/>
  <c r="BI398" i="3"/>
  <c r="BJ398" i="3"/>
  <c r="BK398" i="3"/>
  <c r="BM398" i="3"/>
  <c r="BN398" i="3"/>
  <c r="BO398" i="3"/>
  <c r="BP398" i="3"/>
  <c r="BB399" i="3"/>
  <c r="BC399" i="3"/>
  <c r="BA399" i="3" s="1"/>
  <c r="BD399" i="3"/>
  <c r="BE399" i="3"/>
  <c r="BF399" i="3"/>
  <c r="BG399" i="3"/>
  <c r="BH399" i="3"/>
  <c r="BI399" i="3"/>
  <c r="BJ399" i="3"/>
  <c r="BK399" i="3"/>
  <c r="BM399" i="3"/>
  <c r="BN399" i="3"/>
  <c r="BO399" i="3"/>
  <c r="BP399" i="3"/>
  <c r="BB400" i="3"/>
  <c r="BC400" i="3"/>
  <c r="BD400" i="3"/>
  <c r="BE400" i="3"/>
  <c r="BF400" i="3"/>
  <c r="BG400" i="3"/>
  <c r="BH400" i="3"/>
  <c r="BI400" i="3"/>
  <c r="BJ400" i="3"/>
  <c r="BK400" i="3"/>
  <c r="BM400" i="3"/>
  <c r="BN400" i="3"/>
  <c r="BO400" i="3"/>
  <c r="BP400" i="3"/>
  <c r="BB401" i="3"/>
  <c r="BC401" i="3"/>
  <c r="BD401" i="3"/>
  <c r="BE401" i="3"/>
  <c r="BF401" i="3"/>
  <c r="BG401" i="3"/>
  <c r="BH401" i="3"/>
  <c r="BI401" i="3"/>
  <c r="BJ401" i="3"/>
  <c r="BK401" i="3"/>
  <c r="BA401" i="3"/>
  <c r="BM401" i="3"/>
  <c r="BN401" i="3"/>
  <c r="BO401" i="3"/>
  <c r="BP401" i="3"/>
  <c r="BL401" i="3" s="1"/>
  <c r="AZ401" i="3" s="1"/>
  <c r="BB402" i="3"/>
  <c r="BC402" i="3"/>
  <c r="BD402" i="3"/>
  <c r="BE402" i="3"/>
  <c r="BF402" i="3"/>
  <c r="BG402" i="3"/>
  <c r="BH402" i="3"/>
  <c r="BI402" i="3"/>
  <c r="BJ402" i="3"/>
  <c r="BK402" i="3"/>
  <c r="BM402" i="3"/>
  <c r="BN402" i="3"/>
  <c r="BL402" i="3" s="1"/>
  <c r="BO402" i="3"/>
  <c r="BP402" i="3"/>
  <c r="BB403" i="3"/>
  <c r="BC403" i="3"/>
  <c r="BD403" i="3"/>
  <c r="BE403" i="3"/>
  <c r="BF403" i="3"/>
  <c r="BG403" i="3"/>
  <c r="BH403" i="3"/>
  <c r="BI403" i="3"/>
  <c r="BJ403" i="3"/>
  <c r="BK403" i="3"/>
  <c r="BM403" i="3"/>
  <c r="BN403" i="3"/>
  <c r="BO403" i="3"/>
  <c r="BP403" i="3"/>
  <c r="BL403" i="3"/>
  <c r="BB404" i="3"/>
  <c r="BC404" i="3"/>
  <c r="BD404" i="3"/>
  <c r="BE404" i="3"/>
  <c r="BF404" i="3"/>
  <c r="BG404" i="3"/>
  <c r="BH404" i="3"/>
  <c r="BI404" i="3"/>
  <c r="BJ404" i="3"/>
  <c r="BK404" i="3"/>
  <c r="BM404" i="3"/>
  <c r="BN404" i="3"/>
  <c r="BO404" i="3"/>
  <c r="BP404" i="3"/>
  <c r="BB405" i="3"/>
  <c r="BC405" i="3"/>
  <c r="BD405" i="3"/>
  <c r="BE405" i="3"/>
  <c r="BF405" i="3"/>
  <c r="BG405" i="3"/>
  <c r="BH405" i="3"/>
  <c r="BI405" i="3"/>
  <c r="BJ405" i="3"/>
  <c r="BK405" i="3"/>
  <c r="BM405" i="3"/>
  <c r="BN405" i="3"/>
  <c r="BL405" i="3" s="1"/>
  <c r="BO405" i="3"/>
  <c r="BP405" i="3"/>
  <c r="BB406" i="3"/>
  <c r="BC406" i="3"/>
  <c r="BD406" i="3"/>
  <c r="BE406" i="3"/>
  <c r="BF406" i="3"/>
  <c r="BG406" i="3"/>
  <c r="BH406" i="3"/>
  <c r="BI406" i="3"/>
  <c r="BJ406" i="3"/>
  <c r="BK406" i="3"/>
  <c r="BM406" i="3"/>
  <c r="BN406" i="3"/>
  <c r="BO406" i="3"/>
  <c r="BP406" i="3"/>
  <c r="BB407" i="3"/>
  <c r="BC407" i="3"/>
  <c r="BD407" i="3"/>
  <c r="BE407" i="3"/>
  <c r="BF407" i="3"/>
  <c r="BG407" i="3"/>
  <c r="BH407" i="3"/>
  <c r="BI407" i="3"/>
  <c r="BJ407" i="3"/>
  <c r="BK407" i="3"/>
  <c r="BM407" i="3"/>
  <c r="BN407" i="3"/>
  <c r="BO407" i="3"/>
  <c r="BP407" i="3"/>
  <c r="BL407" i="3"/>
  <c r="BB408" i="3"/>
  <c r="BC408" i="3"/>
  <c r="BD408" i="3"/>
  <c r="BE408" i="3"/>
  <c r="BF408" i="3"/>
  <c r="BG408" i="3"/>
  <c r="BH408" i="3"/>
  <c r="BI408" i="3"/>
  <c r="BJ408" i="3"/>
  <c r="BK408" i="3"/>
  <c r="BM408" i="3"/>
  <c r="BN408" i="3"/>
  <c r="BO408" i="3"/>
  <c r="BP408" i="3"/>
  <c r="BB409" i="3"/>
  <c r="BC409" i="3"/>
  <c r="BD409" i="3"/>
  <c r="BE409" i="3"/>
  <c r="BF409" i="3"/>
  <c r="BG409" i="3"/>
  <c r="BH409" i="3"/>
  <c r="BI409" i="3"/>
  <c r="BJ409" i="3"/>
  <c r="BK409" i="3"/>
  <c r="BM409" i="3"/>
  <c r="BN409" i="3"/>
  <c r="BL409" i="3" s="1"/>
  <c r="BO409" i="3"/>
  <c r="BP409" i="3"/>
  <c r="BB410" i="3"/>
  <c r="BC410" i="3"/>
  <c r="BD410" i="3"/>
  <c r="BE410" i="3"/>
  <c r="BF410" i="3"/>
  <c r="BG410" i="3"/>
  <c r="BH410" i="3"/>
  <c r="BI410" i="3"/>
  <c r="BJ410" i="3"/>
  <c r="BK410" i="3"/>
  <c r="BM410" i="3"/>
  <c r="BN410" i="3"/>
  <c r="BO410" i="3"/>
  <c r="BP410" i="3"/>
  <c r="BB411" i="3"/>
  <c r="BC411" i="3"/>
  <c r="BD411" i="3"/>
  <c r="BE411" i="3"/>
  <c r="BF411" i="3"/>
  <c r="BG411" i="3"/>
  <c r="BH411" i="3"/>
  <c r="BI411" i="3"/>
  <c r="BJ411" i="3"/>
  <c r="BK411" i="3"/>
  <c r="BM411" i="3"/>
  <c r="BN411" i="3"/>
  <c r="BO411" i="3"/>
  <c r="BP411" i="3"/>
  <c r="BL411" i="3"/>
  <c r="BB412" i="3"/>
  <c r="BC412" i="3"/>
  <c r="BD412" i="3"/>
  <c r="BE412" i="3"/>
  <c r="BF412" i="3"/>
  <c r="BG412" i="3"/>
  <c r="BH412" i="3"/>
  <c r="BI412" i="3"/>
  <c r="BJ412" i="3"/>
  <c r="BK412" i="3"/>
  <c r="BM412" i="3"/>
  <c r="BN412" i="3"/>
  <c r="BO412" i="3"/>
  <c r="BP412" i="3"/>
  <c r="BB413" i="3"/>
  <c r="BC413" i="3"/>
  <c r="BD413" i="3"/>
  <c r="BE413" i="3"/>
  <c r="BF413" i="3"/>
  <c r="BG413" i="3"/>
  <c r="BH413" i="3"/>
  <c r="BI413" i="3"/>
  <c r="BJ413" i="3"/>
  <c r="BK413" i="3"/>
  <c r="BM413" i="3"/>
  <c r="BN413" i="3"/>
  <c r="BL413" i="3" s="1"/>
  <c r="BO413" i="3"/>
  <c r="BP413" i="3"/>
  <c r="BB414" i="3"/>
  <c r="BC414" i="3"/>
  <c r="BD414" i="3"/>
  <c r="BE414" i="3"/>
  <c r="BF414" i="3"/>
  <c r="BG414" i="3"/>
  <c r="BH414" i="3"/>
  <c r="BI414" i="3"/>
  <c r="BJ414" i="3"/>
  <c r="BK414" i="3"/>
  <c r="BM414" i="3"/>
  <c r="BN414" i="3"/>
  <c r="BO414" i="3"/>
  <c r="BP414" i="3"/>
  <c r="BB415" i="3"/>
  <c r="BC415" i="3"/>
  <c r="BD415" i="3"/>
  <c r="BE415" i="3"/>
  <c r="BF415" i="3"/>
  <c r="BG415" i="3"/>
  <c r="BH415" i="3"/>
  <c r="BI415" i="3"/>
  <c r="BJ415" i="3"/>
  <c r="BK415" i="3"/>
  <c r="BM415" i="3"/>
  <c r="BN415" i="3"/>
  <c r="BO415" i="3"/>
  <c r="BP415" i="3"/>
  <c r="BL415" i="3"/>
  <c r="BB416" i="3"/>
  <c r="BC416" i="3"/>
  <c r="BD416" i="3"/>
  <c r="BE416" i="3"/>
  <c r="BF416" i="3"/>
  <c r="BG416" i="3"/>
  <c r="BH416" i="3"/>
  <c r="BI416" i="3"/>
  <c r="BJ416" i="3"/>
  <c r="BK416" i="3"/>
  <c r="BM416" i="3"/>
  <c r="BN416" i="3"/>
  <c r="BO416" i="3"/>
  <c r="BP416" i="3"/>
  <c r="BB417" i="3"/>
  <c r="BC417" i="3"/>
  <c r="BD417" i="3"/>
  <c r="BE417" i="3"/>
  <c r="BF417" i="3"/>
  <c r="BG417" i="3"/>
  <c r="BH417" i="3"/>
  <c r="BI417" i="3"/>
  <c r="BJ417" i="3"/>
  <c r="BK417" i="3"/>
  <c r="BM417" i="3"/>
  <c r="BN417" i="3"/>
  <c r="BL417" i="3" s="1"/>
  <c r="BO417" i="3"/>
  <c r="BP417" i="3"/>
  <c r="BB418" i="3"/>
  <c r="BC418" i="3"/>
  <c r="BD418" i="3"/>
  <c r="BE418" i="3"/>
  <c r="BF418" i="3"/>
  <c r="BG418" i="3"/>
  <c r="BH418" i="3"/>
  <c r="BI418" i="3"/>
  <c r="BJ418" i="3"/>
  <c r="BK418" i="3"/>
  <c r="BM418" i="3"/>
  <c r="BN418" i="3"/>
  <c r="BO418" i="3"/>
  <c r="BP418" i="3"/>
  <c r="BB419" i="3"/>
  <c r="BC419" i="3"/>
  <c r="BD419" i="3"/>
  <c r="BE419" i="3"/>
  <c r="BF419" i="3"/>
  <c r="BG419" i="3"/>
  <c r="BH419" i="3"/>
  <c r="BI419" i="3"/>
  <c r="BJ419" i="3"/>
  <c r="BK419" i="3"/>
  <c r="BM419" i="3"/>
  <c r="BN419" i="3"/>
  <c r="BO419" i="3"/>
  <c r="BP419" i="3"/>
  <c r="BL419" i="3"/>
  <c r="BB420" i="3"/>
  <c r="BC420" i="3"/>
  <c r="BD420" i="3"/>
  <c r="BE420" i="3"/>
  <c r="BF420" i="3"/>
  <c r="BG420" i="3"/>
  <c r="BH420" i="3"/>
  <c r="BI420" i="3"/>
  <c r="BJ420" i="3"/>
  <c r="BK420" i="3"/>
  <c r="BM420" i="3"/>
  <c r="BN420" i="3"/>
  <c r="BO420" i="3"/>
  <c r="BP420" i="3"/>
  <c r="BB421" i="3"/>
  <c r="BC421" i="3"/>
  <c r="BD421" i="3"/>
  <c r="BE421" i="3"/>
  <c r="BF421" i="3"/>
  <c r="BG421" i="3"/>
  <c r="BH421" i="3"/>
  <c r="BI421" i="3"/>
  <c r="BJ421" i="3"/>
  <c r="BK421" i="3"/>
  <c r="BM421" i="3"/>
  <c r="BN421" i="3"/>
  <c r="BO421" i="3"/>
  <c r="BP421" i="3"/>
  <c r="BB422" i="3"/>
  <c r="BC422" i="3"/>
  <c r="BD422" i="3"/>
  <c r="BE422" i="3"/>
  <c r="BF422" i="3"/>
  <c r="BG422" i="3"/>
  <c r="BH422" i="3"/>
  <c r="BI422" i="3"/>
  <c r="BJ422" i="3"/>
  <c r="BK422" i="3"/>
  <c r="BM422" i="3"/>
  <c r="BN422" i="3"/>
  <c r="BO422" i="3"/>
  <c r="BP422" i="3"/>
  <c r="BB423" i="3"/>
  <c r="BC423" i="3"/>
  <c r="BD423" i="3"/>
  <c r="BE423" i="3"/>
  <c r="BF423" i="3"/>
  <c r="BG423" i="3"/>
  <c r="BH423" i="3"/>
  <c r="BI423" i="3"/>
  <c r="BJ423" i="3"/>
  <c r="BK423" i="3"/>
  <c r="BM423" i="3"/>
  <c r="BN423" i="3"/>
  <c r="BO423" i="3"/>
  <c r="BP423" i="3"/>
  <c r="BL423" i="3"/>
  <c r="BB424" i="3"/>
  <c r="BC424" i="3"/>
  <c r="BD424" i="3"/>
  <c r="BE424" i="3"/>
  <c r="BF424" i="3"/>
  <c r="BG424" i="3"/>
  <c r="BH424" i="3"/>
  <c r="BI424" i="3"/>
  <c r="BJ424" i="3"/>
  <c r="BK424" i="3"/>
  <c r="BM424" i="3"/>
  <c r="BN424" i="3"/>
  <c r="BO424" i="3"/>
  <c r="BP424" i="3"/>
  <c r="BB425" i="3"/>
  <c r="BC425" i="3"/>
  <c r="BD425" i="3"/>
  <c r="BE425" i="3"/>
  <c r="BF425" i="3"/>
  <c r="BG425" i="3"/>
  <c r="BH425" i="3"/>
  <c r="BI425" i="3"/>
  <c r="BJ425" i="3"/>
  <c r="BK425" i="3"/>
  <c r="BM425" i="3"/>
  <c r="BN425" i="3"/>
  <c r="BO425" i="3"/>
  <c r="BP425" i="3"/>
  <c r="BB426" i="3"/>
  <c r="BC426" i="3"/>
  <c r="BD426" i="3"/>
  <c r="BE426" i="3"/>
  <c r="BF426" i="3"/>
  <c r="BG426" i="3"/>
  <c r="BH426" i="3"/>
  <c r="BI426" i="3"/>
  <c r="BJ426" i="3"/>
  <c r="BK426" i="3"/>
  <c r="BM426" i="3"/>
  <c r="BN426" i="3"/>
  <c r="BO426" i="3"/>
  <c r="BP426" i="3"/>
  <c r="BB427" i="3"/>
  <c r="BC427" i="3"/>
  <c r="BD427" i="3"/>
  <c r="BE427" i="3"/>
  <c r="BF427" i="3"/>
  <c r="BG427" i="3"/>
  <c r="BH427" i="3"/>
  <c r="BI427" i="3"/>
  <c r="BJ427" i="3"/>
  <c r="BK427" i="3"/>
  <c r="BM427" i="3"/>
  <c r="BN427" i="3"/>
  <c r="BO427" i="3"/>
  <c r="BP427" i="3"/>
  <c r="BL427" i="3"/>
  <c r="BB428" i="3"/>
  <c r="BC428" i="3"/>
  <c r="BD428" i="3"/>
  <c r="BE428" i="3"/>
  <c r="BF428" i="3"/>
  <c r="BG428" i="3"/>
  <c r="BH428" i="3"/>
  <c r="BI428" i="3"/>
  <c r="BJ428" i="3"/>
  <c r="BK428" i="3"/>
  <c r="BM428" i="3"/>
  <c r="BN428" i="3"/>
  <c r="BO428" i="3"/>
  <c r="BP428" i="3"/>
  <c r="BB429" i="3"/>
  <c r="BC429" i="3"/>
  <c r="BD429" i="3"/>
  <c r="BE429" i="3"/>
  <c r="BF429" i="3"/>
  <c r="BG429" i="3"/>
  <c r="BH429" i="3"/>
  <c r="BI429" i="3"/>
  <c r="BJ429" i="3"/>
  <c r="BK429" i="3"/>
  <c r="BM429" i="3"/>
  <c r="BN429" i="3"/>
  <c r="BO429" i="3"/>
  <c r="BP429" i="3"/>
  <c r="BB430" i="3"/>
  <c r="BC430" i="3"/>
  <c r="BD430" i="3"/>
  <c r="BE430" i="3"/>
  <c r="BF430" i="3"/>
  <c r="BG430" i="3"/>
  <c r="BH430" i="3"/>
  <c r="BI430" i="3"/>
  <c r="BJ430" i="3"/>
  <c r="BK430" i="3"/>
  <c r="BM430" i="3"/>
  <c r="BN430" i="3"/>
  <c r="BO430" i="3"/>
  <c r="BP430" i="3"/>
  <c r="BB431" i="3"/>
  <c r="BC431" i="3"/>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M432" i="3"/>
  <c r="BN432" i="3"/>
  <c r="BO432" i="3"/>
  <c r="BP432" i="3"/>
  <c r="BB433" i="3"/>
  <c r="BC433" i="3"/>
  <c r="BD433" i="3"/>
  <c r="BE433" i="3"/>
  <c r="BF433" i="3"/>
  <c r="BG433" i="3"/>
  <c r="BH433" i="3"/>
  <c r="BI433" i="3"/>
  <c r="BJ433" i="3"/>
  <c r="BK433" i="3"/>
  <c r="BM433" i="3"/>
  <c r="BN433" i="3"/>
  <c r="BO433" i="3"/>
  <c r="BP433" i="3"/>
  <c r="BB434" i="3"/>
  <c r="BC434" i="3"/>
  <c r="BD434" i="3"/>
  <c r="BE434" i="3"/>
  <c r="BF434" i="3"/>
  <c r="BG434" i="3"/>
  <c r="BH434" i="3"/>
  <c r="BI434" i="3"/>
  <c r="BJ434" i="3"/>
  <c r="BK434" i="3"/>
  <c r="BA434" i="3"/>
  <c r="BM434" i="3"/>
  <c r="BN434" i="3"/>
  <c r="BO434" i="3"/>
  <c r="BP434" i="3"/>
  <c r="BB435" i="3"/>
  <c r="BC435" i="3"/>
  <c r="BD435" i="3"/>
  <c r="BE435" i="3"/>
  <c r="BF435" i="3"/>
  <c r="BG435" i="3"/>
  <c r="BH435" i="3"/>
  <c r="BI435" i="3"/>
  <c r="BJ435" i="3"/>
  <c r="BK435" i="3"/>
  <c r="BM435" i="3"/>
  <c r="BN435" i="3"/>
  <c r="BO435" i="3"/>
  <c r="BP435" i="3"/>
  <c r="BB436" i="3"/>
  <c r="BC436" i="3"/>
  <c r="BD436" i="3"/>
  <c r="BE436" i="3"/>
  <c r="BF436" i="3"/>
  <c r="BG436" i="3"/>
  <c r="BH436" i="3"/>
  <c r="BI436" i="3"/>
  <c r="BJ436" i="3"/>
  <c r="BK436" i="3"/>
  <c r="BM436" i="3"/>
  <c r="BN436" i="3"/>
  <c r="BO436" i="3"/>
  <c r="BP436" i="3"/>
  <c r="BB437" i="3"/>
  <c r="BC437" i="3"/>
  <c r="BD437" i="3"/>
  <c r="BE437" i="3"/>
  <c r="BF437" i="3"/>
  <c r="BG437" i="3"/>
  <c r="BH437" i="3"/>
  <c r="BI437" i="3"/>
  <c r="BJ437" i="3"/>
  <c r="BK437" i="3"/>
  <c r="BM437" i="3"/>
  <c r="BN437" i="3"/>
  <c r="BO437" i="3"/>
  <c r="BP437" i="3"/>
  <c r="BB438" i="3"/>
  <c r="BC438" i="3"/>
  <c r="BD438" i="3"/>
  <c r="BE438" i="3"/>
  <c r="BF438" i="3"/>
  <c r="BG438" i="3"/>
  <c r="BH438" i="3"/>
  <c r="BI438" i="3"/>
  <c r="BJ438" i="3"/>
  <c r="BK438" i="3"/>
  <c r="BA438" i="3"/>
  <c r="BM438" i="3"/>
  <c r="BN438" i="3"/>
  <c r="BO438" i="3"/>
  <c r="BP438" i="3"/>
  <c r="BB439" i="3"/>
  <c r="BC439" i="3"/>
  <c r="BD439" i="3"/>
  <c r="BE439" i="3"/>
  <c r="BF439" i="3"/>
  <c r="BG439" i="3"/>
  <c r="BH439" i="3"/>
  <c r="BI439" i="3"/>
  <c r="BJ439" i="3"/>
  <c r="BK439" i="3"/>
  <c r="BM439" i="3"/>
  <c r="BN439" i="3"/>
  <c r="BO439" i="3"/>
  <c r="BP439" i="3"/>
  <c r="BB440" i="3"/>
  <c r="BC440" i="3"/>
  <c r="BD440" i="3"/>
  <c r="BE440" i="3"/>
  <c r="BF440" i="3"/>
  <c r="BG440" i="3"/>
  <c r="BH440" i="3"/>
  <c r="BI440" i="3"/>
  <c r="BJ440" i="3"/>
  <c r="BK440" i="3"/>
  <c r="BM440" i="3"/>
  <c r="BN440" i="3"/>
  <c r="BO440" i="3"/>
  <c r="BP440" i="3"/>
  <c r="BB441" i="3"/>
  <c r="BC441" i="3"/>
  <c r="BD441" i="3"/>
  <c r="BE441" i="3"/>
  <c r="BF441" i="3"/>
  <c r="BG441" i="3"/>
  <c r="BH441" i="3"/>
  <c r="BI441" i="3"/>
  <c r="BJ441" i="3"/>
  <c r="BK441" i="3"/>
  <c r="BM441" i="3"/>
  <c r="BN441" i="3"/>
  <c r="BO441" i="3"/>
  <c r="BP441" i="3"/>
  <c r="BB442" i="3"/>
  <c r="BC442" i="3"/>
  <c r="BD442" i="3"/>
  <c r="BE442" i="3"/>
  <c r="BF442" i="3"/>
  <c r="BG442" i="3"/>
  <c r="BH442" i="3"/>
  <c r="BI442" i="3"/>
  <c r="BJ442" i="3"/>
  <c r="BK442" i="3"/>
  <c r="BA442" i="3"/>
  <c r="BM442" i="3"/>
  <c r="BN442" i="3"/>
  <c r="BO442" i="3"/>
  <c r="BP442" i="3"/>
  <c r="BB443" i="3"/>
  <c r="BC443" i="3"/>
  <c r="BD443" i="3"/>
  <c r="BE443" i="3"/>
  <c r="BF443" i="3"/>
  <c r="BG443" i="3"/>
  <c r="BH443" i="3"/>
  <c r="BI443" i="3"/>
  <c r="BJ443" i="3"/>
  <c r="BK443" i="3"/>
  <c r="BM443" i="3"/>
  <c r="BN443" i="3"/>
  <c r="BO443" i="3"/>
  <c r="BP443" i="3"/>
  <c r="BB444" i="3"/>
  <c r="BC444" i="3"/>
  <c r="BD444" i="3"/>
  <c r="BE444" i="3"/>
  <c r="BF444" i="3"/>
  <c r="BG444" i="3"/>
  <c r="BH444" i="3"/>
  <c r="BI444" i="3"/>
  <c r="BJ444" i="3"/>
  <c r="BK444" i="3"/>
  <c r="BM444" i="3"/>
  <c r="BN444" i="3"/>
  <c r="BO444" i="3"/>
  <c r="BP444" i="3"/>
  <c r="BB445" i="3"/>
  <c r="BC445" i="3"/>
  <c r="BD445" i="3"/>
  <c r="BE445" i="3"/>
  <c r="BF445" i="3"/>
  <c r="BG445" i="3"/>
  <c r="BH445" i="3"/>
  <c r="BI445" i="3"/>
  <c r="BJ445" i="3"/>
  <c r="BK445" i="3"/>
  <c r="BM445" i="3"/>
  <c r="BN445" i="3"/>
  <c r="BO445" i="3"/>
  <c r="BP445" i="3"/>
  <c r="BB446" i="3"/>
  <c r="BC446" i="3"/>
  <c r="BD446" i="3"/>
  <c r="BE446" i="3"/>
  <c r="BF446" i="3"/>
  <c r="BG446" i="3"/>
  <c r="BH446" i="3"/>
  <c r="BI446" i="3"/>
  <c r="BJ446" i="3"/>
  <c r="BK446" i="3"/>
  <c r="BA446" i="3"/>
  <c r="BM446" i="3"/>
  <c r="BN446" i="3"/>
  <c r="BO446" i="3"/>
  <c r="BP446" i="3"/>
  <c r="BB447" i="3"/>
  <c r="BC447" i="3"/>
  <c r="BD447" i="3"/>
  <c r="BE447" i="3"/>
  <c r="BF447" i="3"/>
  <c r="BG447" i="3"/>
  <c r="BH447" i="3"/>
  <c r="BI447" i="3"/>
  <c r="BJ447" i="3"/>
  <c r="BK447" i="3"/>
  <c r="BM447" i="3"/>
  <c r="BN447" i="3"/>
  <c r="BO447" i="3"/>
  <c r="BP447" i="3"/>
  <c r="BB448" i="3"/>
  <c r="BC448" i="3"/>
  <c r="BD448" i="3"/>
  <c r="BE448" i="3"/>
  <c r="BF448" i="3"/>
  <c r="BG448" i="3"/>
  <c r="BH448" i="3"/>
  <c r="BI448" i="3"/>
  <c r="BJ448" i="3"/>
  <c r="BK448" i="3"/>
  <c r="BM448" i="3"/>
  <c r="BN448" i="3"/>
  <c r="BO448" i="3"/>
  <c r="BP448" i="3"/>
  <c r="BB449" i="3"/>
  <c r="BC449" i="3"/>
  <c r="BD449" i="3"/>
  <c r="BE449" i="3"/>
  <c r="BF449" i="3"/>
  <c r="BG449" i="3"/>
  <c r="BH449" i="3"/>
  <c r="BI449" i="3"/>
  <c r="BJ449" i="3"/>
  <c r="BK449" i="3"/>
  <c r="BM449" i="3"/>
  <c r="BN449" i="3"/>
  <c r="BO449" i="3"/>
  <c r="BP449" i="3"/>
  <c r="BB450" i="3"/>
  <c r="BC450" i="3"/>
  <c r="BD450" i="3"/>
  <c r="BE450" i="3"/>
  <c r="BF450" i="3"/>
  <c r="BG450" i="3"/>
  <c r="BH450" i="3"/>
  <c r="BI450" i="3"/>
  <c r="BA450" i="3" s="1"/>
  <c r="BJ450" i="3"/>
  <c r="BK450" i="3"/>
  <c r="BM450" i="3"/>
  <c r="BN450" i="3"/>
  <c r="BO450" i="3"/>
  <c r="BP450" i="3"/>
  <c r="BB451" i="3"/>
  <c r="BC451" i="3"/>
  <c r="BD451" i="3"/>
  <c r="BE451" i="3"/>
  <c r="BF451" i="3"/>
  <c r="BG451" i="3"/>
  <c r="BH451" i="3"/>
  <c r="BI451" i="3"/>
  <c r="BJ451" i="3"/>
  <c r="BK451" i="3"/>
  <c r="BM451" i="3"/>
  <c r="BN451" i="3"/>
  <c r="BO451" i="3"/>
  <c r="BP451" i="3"/>
  <c r="BB452" i="3"/>
  <c r="BC452" i="3"/>
  <c r="BD452" i="3"/>
  <c r="BE452" i="3"/>
  <c r="BF452" i="3"/>
  <c r="BG452" i="3"/>
  <c r="BH452" i="3"/>
  <c r="BI452" i="3"/>
  <c r="BJ452" i="3"/>
  <c r="BK452" i="3"/>
  <c r="BA452" i="3"/>
  <c r="BM452" i="3"/>
  <c r="BN452" i="3"/>
  <c r="BO452" i="3"/>
  <c r="BP452" i="3"/>
  <c r="BB453" i="3"/>
  <c r="BC453" i="3"/>
  <c r="BD453" i="3"/>
  <c r="BE453" i="3"/>
  <c r="BF453" i="3"/>
  <c r="BG453" i="3"/>
  <c r="BH453" i="3"/>
  <c r="BI453" i="3"/>
  <c r="BJ453" i="3"/>
  <c r="BK453" i="3"/>
  <c r="BM453" i="3"/>
  <c r="BN453" i="3"/>
  <c r="BO453" i="3"/>
  <c r="BP453" i="3"/>
  <c r="BB454" i="3"/>
  <c r="BC454" i="3"/>
  <c r="BD454" i="3"/>
  <c r="BE454" i="3"/>
  <c r="BF454" i="3"/>
  <c r="BG454" i="3"/>
  <c r="BH454" i="3"/>
  <c r="BI454" i="3"/>
  <c r="BJ454" i="3"/>
  <c r="BK454" i="3"/>
  <c r="BA454" i="3"/>
  <c r="BM454" i="3"/>
  <c r="BN454" i="3"/>
  <c r="BO454" i="3"/>
  <c r="BP454" i="3"/>
  <c r="BB455" i="3"/>
  <c r="BC455" i="3"/>
  <c r="BD455" i="3"/>
  <c r="BE455" i="3"/>
  <c r="BF455" i="3"/>
  <c r="BG455" i="3"/>
  <c r="BH455" i="3"/>
  <c r="BI455" i="3"/>
  <c r="BJ455" i="3"/>
  <c r="BK455" i="3"/>
  <c r="BM455" i="3"/>
  <c r="BN455" i="3"/>
  <c r="BO455" i="3"/>
  <c r="BP455" i="3"/>
  <c r="BB456" i="3"/>
  <c r="BC456" i="3"/>
  <c r="BD456" i="3"/>
  <c r="BE456" i="3"/>
  <c r="BF456" i="3"/>
  <c r="BG456" i="3"/>
  <c r="BH456" i="3"/>
  <c r="BI456" i="3"/>
  <c r="BJ456" i="3"/>
  <c r="BK456" i="3"/>
  <c r="BA456" i="3" s="1"/>
  <c r="BM456" i="3"/>
  <c r="BN456" i="3"/>
  <c r="BO456" i="3"/>
  <c r="BP456" i="3"/>
  <c r="BB457" i="3"/>
  <c r="BC457" i="3"/>
  <c r="BD457" i="3"/>
  <c r="BE457" i="3"/>
  <c r="BF457" i="3"/>
  <c r="BG457" i="3"/>
  <c r="BH457" i="3"/>
  <c r="BI457" i="3"/>
  <c r="BJ457" i="3"/>
  <c r="BK457" i="3"/>
  <c r="BM457" i="3"/>
  <c r="BN457" i="3"/>
  <c r="BO457" i="3"/>
  <c r="BP457" i="3"/>
  <c r="BB458" i="3"/>
  <c r="BC458" i="3"/>
  <c r="BD458" i="3"/>
  <c r="BE458" i="3"/>
  <c r="BF458" i="3"/>
  <c r="BG458" i="3"/>
  <c r="BH458" i="3"/>
  <c r="BI458" i="3"/>
  <c r="BJ458" i="3"/>
  <c r="BK458" i="3"/>
  <c r="BA458" i="3"/>
  <c r="BM458" i="3"/>
  <c r="BN458" i="3"/>
  <c r="BO458" i="3"/>
  <c r="BP458" i="3"/>
  <c r="BB459" i="3"/>
  <c r="BC459" i="3"/>
  <c r="BD459" i="3"/>
  <c r="BE459" i="3"/>
  <c r="BF459" i="3"/>
  <c r="BG459" i="3"/>
  <c r="BH459" i="3"/>
  <c r="BI459" i="3"/>
  <c r="BJ459" i="3"/>
  <c r="BK459" i="3"/>
  <c r="BM459" i="3"/>
  <c r="BN459" i="3"/>
  <c r="BO459" i="3"/>
  <c r="BP459" i="3"/>
  <c r="BB460" i="3"/>
  <c r="BC460" i="3"/>
  <c r="BD460" i="3"/>
  <c r="BE460" i="3"/>
  <c r="BF460" i="3"/>
  <c r="BG460" i="3"/>
  <c r="BH460" i="3"/>
  <c r="BI460" i="3"/>
  <c r="BJ460" i="3"/>
  <c r="BK460" i="3"/>
  <c r="BA460" i="3" s="1"/>
  <c r="BM460" i="3"/>
  <c r="BN460" i="3"/>
  <c r="BO460" i="3"/>
  <c r="BP460" i="3"/>
  <c r="BB461" i="3"/>
  <c r="BC461" i="3"/>
  <c r="BD461" i="3"/>
  <c r="BE461" i="3"/>
  <c r="BF461" i="3"/>
  <c r="BG461" i="3"/>
  <c r="BH461" i="3"/>
  <c r="BI461" i="3"/>
  <c r="BJ461" i="3"/>
  <c r="BK461" i="3"/>
  <c r="BM461" i="3"/>
  <c r="BN461" i="3"/>
  <c r="BO461" i="3"/>
  <c r="BP461" i="3"/>
  <c r="BB462" i="3"/>
  <c r="BC462" i="3"/>
  <c r="BD462" i="3"/>
  <c r="BE462" i="3"/>
  <c r="BF462" i="3"/>
  <c r="BG462" i="3"/>
  <c r="BH462" i="3"/>
  <c r="BI462" i="3"/>
  <c r="BJ462" i="3"/>
  <c r="BK462" i="3"/>
  <c r="BA462" i="3"/>
  <c r="BM462" i="3"/>
  <c r="BN462" i="3"/>
  <c r="BO462" i="3"/>
  <c r="BP462" i="3"/>
  <c r="BB463" i="3"/>
  <c r="BC463" i="3"/>
  <c r="BD463" i="3"/>
  <c r="BE463" i="3"/>
  <c r="BF463" i="3"/>
  <c r="BG463" i="3"/>
  <c r="BH463" i="3"/>
  <c r="BI463" i="3"/>
  <c r="BJ463" i="3"/>
  <c r="BK463" i="3"/>
  <c r="BM463" i="3"/>
  <c r="BN463" i="3"/>
  <c r="BO463" i="3"/>
  <c r="BP463" i="3"/>
  <c r="BB464" i="3"/>
  <c r="BC464" i="3"/>
  <c r="BD464" i="3"/>
  <c r="BE464" i="3"/>
  <c r="BF464" i="3"/>
  <c r="BG464" i="3"/>
  <c r="BH464" i="3"/>
  <c r="BI464" i="3"/>
  <c r="BJ464" i="3"/>
  <c r="BK464" i="3"/>
  <c r="BA464" i="3"/>
  <c r="BM464" i="3"/>
  <c r="BN464" i="3"/>
  <c r="BO464" i="3"/>
  <c r="BP464" i="3"/>
  <c r="BB465" i="3"/>
  <c r="BC465" i="3"/>
  <c r="BD465" i="3"/>
  <c r="BE465" i="3"/>
  <c r="BF465" i="3"/>
  <c r="BG465" i="3"/>
  <c r="BH465" i="3"/>
  <c r="BI465" i="3"/>
  <c r="BJ465" i="3"/>
  <c r="BK465" i="3"/>
  <c r="BM465" i="3"/>
  <c r="BN465" i="3"/>
  <c r="BO465" i="3"/>
  <c r="BP465" i="3"/>
  <c r="BB466" i="3"/>
  <c r="BC466" i="3"/>
  <c r="BD466" i="3"/>
  <c r="BE466" i="3"/>
  <c r="BF466" i="3"/>
  <c r="BG466" i="3"/>
  <c r="BH466" i="3"/>
  <c r="BI466" i="3"/>
  <c r="BJ466" i="3"/>
  <c r="BK466" i="3"/>
  <c r="BA466" i="3"/>
  <c r="BM466" i="3"/>
  <c r="BN466" i="3"/>
  <c r="BO466" i="3"/>
  <c r="BP466" i="3"/>
  <c r="BB467" i="3"/>
  <c r="BC467" i="3"/>
  <c r="BD467" i="3"/>
  <c r="BE467" i="3"/>
  <c r="BF467" i="3"/>
  <c r="BG467" i="3"/>
  <c r="BH467" i="3"/>
  <c r="BI467" i="3"/>
  <c r="BJ467" i="3"/>
  <c r="BK467" i="3"/>
  <c r="BM467" i="3"/>
  <c r="BN467" i="3"/>
  <c r="BO467" i="3"/>
  <c r="BP467" i="3"/>
  <c r="BB468" i="3"/>
  <c r="BC468" i="3"/>
  <c r="BD468" i="3"/>
  <c r="BE468" i="3"/>
  <c r="BF468" i="3"/>
  <c r="BG468" i="3"/>
  <c r="BH468" i="3"/>
  <c r="BI468" i="3"/>
  <c r="BJ468" i="3"/>
  <c r="BK468" i="3"/>
  <c r="BA468" i="3" s="1"/>
  <c r="BM468" i="3"/>
  <c r="BN468" i="3"/>
  <c r="BO468" i="3"/>
  <c r="BP468" i="3"/>
  <c r="BB469" i="3"/>
  <c r="BC469" i="3"/>
  <c r="BD469" i="3"/>
  <c r="BE469" i="3"/>
  <c r="BF469" i="3"/>
  <c r="BG469" i="3"/>
  <c r="BH469" i="3"/>
  <c r="BI469" i="3"/>
  <c r="BJ469" i="3"/>
  <c r="BK469" i="3"/>
  <c r="BA469" i="3" s="1"/>
  <c r="BM469" i="3"/>
  <c r="BN469" i="3"/>
  <c r="BO469" i="3"/>
  <c r="BP469" i="3"/>
  <c r="BB470" i="3"/>
  <c r="BC470" i="3"/>
  <c r="BD470" i="3"/>
  <c r="BE470" i="3"/>
  <c r="BF470" i="3"/>
  <c r="BG470" i="3"/>
  <c r="BA470" i="3" s="1"/>
  <c r="BH470" i="3"/>
  <c r="BI470" i="3"/>
  <c r="BJ470" i="3"/>
  <c r="BK470" i="3"/>
  <c r="BM470" i="3"/>
  <c r="BN470" i="3"/>
  <c r="BO470" i="3"/>
  <c r="BP470" i="3"/>
  <c r="BB471" i="3"/>
  <c r="BC471" i="3"/>
  <c r="BD471" i="3"/>
  <c r="BE471" i="3"/>
  <c r="BF471" i="3"/>
  <c r="BG471" i="3"/>
  <c r="BH471" i="3"/>
  <c r="BI471" i="3"/>
  <c r="BJ471" i="3"/>
  <c r="BK471" i="3"/>
  <c r="BM471" i="3"/>
  <c r="BN471" i="3"/>
  <c r="BO471" i="3"/>
  <c r="BP471" i="3"/>
  <c r="BB472" i="3"/>
  <c r="BC472" i="3"/>
  <c r="BD472" i="3"/>
  <c r="BE472" i="3"/>
  <c r="BF472" i="3"/>
  <c r="BG472" i="3"/>
  <c r="BH472" i="3"/>
  <c r="BI472" i="3"/>
  <c r="BJ472" i="3"/>
  <c r="BK472" i="3"/>
  <c r="BA472" i="3" s="1"/>
  <c r="BM472" i="3"/>
  <c r="BN472" i="3"/>
  <c r="BO472" i="3"/>
  <c r="BP472" i="3"/>
  <c r="BB473" i="3"/>
  <c r="BC473" i="3"/>
  <c r="BD473" i="3"/>
  <c r="BE473" i="3"/>
  <c r="BF473" i="3"/>
  <c r="BG473" i="3"/>
  <c r="BH473" i="3"/>
  <c r="BI473" i="3"/>
  <c r="BJ473" i="3"/>
  <c r="BK473" i="3"/>
  <c r="BM473" i="3"/>
  <c r="BN473" i="3"/>
  <c r="BO473" i="3"/>
  <c r="BP473" i="3"/>
  <c r="BL473" i="3" s="1"/>
  <c r="BB474" i="3"/>
  <c r="BC474" i="3"/>
  <c r="BD474" i="3"/>
  <c r="BE474" i="3"/>
  <c r="BF474" i="3"/>
  <c r="BG474" i="3"/>
  <c r="BH474" i="3"/>
  <c r="BI474" i="3"/>
  <c r="BJ474" i="3"/>
  <c r="BK474" i="3"/>
  <c r="BM474" i="3"/>
  <c r="BN474" i="3"/>
  <c r="BO474" i="3"/>
  <c r="BP474" i="3"/>
  <c r="BL474" i="3"/>
  <c r="BB475" i="3"/>
  <c r="BC475" i="3"/>
  <c r="BD475" i="3"/>
  <c r="BE475" i="3"/>
  <c r="BF475" i="3"/>
  <c r="BG475" i="3"/>
  <c r="BH475" i="3"/>
  <c r="BI475" i="3"/>
  <c r="BJ475" i="3"/>
  <c r="BK475" i="3"/>
  <c r="BM475" i="3"/>
  <c r="BN475" i="3"/>
  <c r="BO475" i="3"/>
  <c r="BP475" i="3"/>
  <c r="BB476" i="3"/>
  <c r="BC476" i="3"/>
  <c r="BD476" i="3"/>
  <c r="BE476" i="3"/>
  <c r="BF476" i="3"/>
  <c r="BG476" i="3"/>
  <c r="BH476" i="3"/>
  <c r="BI476" i="3"/>
  <c r="BJ476" i="3"/>
  <c r="BK476" i="3"/>
  <c r="BM476" i="3"/>
  <c r="BN476" i="3"/>
  <c r="BO476" i="3"/>
  <c r="BP476" i="3"/>
  <c r="BL476" i="3"/>
  <c r="BB477" i="3"/>
  <c r="BC477" i="3"/>
  <c r="BD477" i="3"/>
  <c r="BE477" i="3"/>
  <c r="BF477" i="3"/>
  <c r="BG477" i="3"/>
  <c r="BH477" i="3"/>
  <c r="BI477" i="3"/>
  <c r="BJ477" i="3"/>
  <c r="BK477" i="3"/>
  <c r="BM477" i="3"/>
  <c r="BN477" i="3"/>
  <c r="BO477" i="3"/>
  <c r="BP477" i="3"/>
  <c r="BB478" i="3"/>
  <c r="BC478" i="3"/>
  <c r="BD478" i="3"/>
  <c r="BE478" i="3"/>
  <c r="BA478" i="3" s="1"/>
  <c r="BF478" i="3"/>
  <c r="BG478" i="3"/>
  <c r="BH478" i="3"/>
  <c r="BI478" i="3"/>
  <c r="BJ478" i="3"/>
  <c r="BK478" i="3"/>
  <c r="BM478" i="3"/>
  <c r="BN478" i="3"/>
  <c r="BO478" i="3"/>
  <c r="BP478" i="3"/>
  <c r="BB479" i="3"/>
  <c r="BC479" i="3"/>
  <c r="BD479" i="3"/>
  <c r="BE479" i="3"/>
  <c r="BF479" i="3"/>
  <c r="BG479" i="3"/>
  <c r="BH479" i="3"/>
  <c r="BI479" i="3"/>
  <c r="BJ479" i="3"/>
  <c r="BK479" i="3"/>
  <c r="BM479" i="3"/>
  <c r="BN479" i="3"/>
  <c r="BO479" i="3"/>
  <c r="BP479" i="3"/>
  <c r="BB480" i="3"/>
  <c r="BC480" i="3"/>
  <c r="BD480" i="3"/>
  <c r="BE480" i="3"/>
  <c r="BF480" i="3"/>
  <c r="BG480" i="3"/>
  <c r="BH480" i="3"/>
  <c r="BI480" i="3"/>
  <c r="BJ480" i="3"/>
  <c r="BK480" i="3"/>
  <c r="BM480" i="3"/>
  <c r="BN480" i="3"/>
  <c r="BO480" i="3"/>
  <c r="BP480" i="3"/>
  <c r="BL480" i="3"/>
  <c r="BB481" i="3"/>
  <c r="BC481" i="3"/>
  <c r="BD481" i="3"/>
  <c r="BE481" i="3"/>
  <c r="BF481" i="3"/>
  <c r="BG481" i="3"/>
  <c r="BH481" i="3"/>
  <c r="BI481" i="3"/>
  <c r="BJ481" i="3"/>
  <c r="BK481" i="3"/>
  <c r="BM481" i="3"/>
  <c r="BN481" i="3"/>
  <c r="BO481" i="3"/>
  <c r="BP481" i="3"/>
  <c r="BB482" i="3"/>
  <c r="BC482" i="3"/>
  <c r="BD482" i="3"/>
  <c r="BE482" i="3"/>
  <c r="BF482" i="3"/>
  <c r="BG482" i="3"/>
  <c r="BH482" i="3"/>
  <c r="BI482" i="3"/>
  <c r="BA482" i="3" s="1"/>
  <c r="BJ482" i="3"/>
  <c r="BK482" i="3"/>
  <c r="BM482" i="3"/>
  <c r="BN482" i="3"/>
  <c r="BO482" i="3"/>
  <c r="BP482" i="3"/>
  <c r="BB483" i="3"/>
  <c r="BC483" i="3"/>
  <c r="BD483" i="3"/>
  <c r="BE483" i="3"/>
  <c r="BF483" i="3"/>
  <c r="BG483" i="3"/>
  <c r="BH483" i="3"/>
  <c r="BI483" i="3"/>
  <c r="BJ483" i="3"/>
  <c r="BK483" i="3"/>
  <c r="BM483" i="3"/>
  <c r="BN483" i="3"/>
  <c r="BO483" i="3"/>
  <c r="BP483" i="3"/>
  <c r="BL483" i="3"/>
  <c r="BB484" i="3"/>
  <c r="BC484" i="3"/>
  <c r="BD484" i="3"/>
  <c r="BE484" i="3"/>
  <c r="BF484" i="3"/>
  <c r="BG484" i="3"/>
  <c r="BH484" i="3"/>
  <c r="BI484" i="3"/>
  <c r="BJ484" i="3"/>
  <c r="BK484" i="3"/>
  <c r="BA484" i="3"/>
  <c r="BM484" i="3"/>
  <c r="BN484" i="3"/>
  <c r="BO484" i="3"/>
  <c r="BP484" i="3"/>
  <c r="BB485" i="3"/>
  <c r="BC485" i="3"/>
  <c r="BD485" i="3"/>
  <c r="BE485" i="3"/>
  <c r="BF485" i="3"/>
  <c r="BG485" i="3"/>
  <c r="BH485" i="3"/>
  <c r="BI485" i="3"/>
  <c r="BA485" i="3" s="1"/>
  <c r="BJ485" i="3"/>
  <c r="BK485" i="3"/>
  <c r="BM485" i="3"/>
  <c r="BN485" i="3"/>
  <c r="BO485" i="3"/>
  <c r="BP485" i="3"/>
  <c r="BL485" i="3" s="1"/>
  <c r="BB486" i="3"/>
  <c r="BC486" i="3"/>
  <c r="BD486" i="3"/>
  <c r="BE486" i="3"/>
  <c r="BF486" i="3"/>
  <c r="BG486" i="3"/>
  <c r="BH486" i="3"/>
  <c r="BI486" i="3"/>
  <c r="BJ486" i="3"/>
  <c r="BK486" i="3"/>
  <c r="BM486" i="3"/>
  <c r="BN486" i="3"/>
  <c r="BO486" i="3"/>
  <c r="BP486" i="3"/>
  <c r="BB487" i="3"/>
  <c r="BC487" i="3"/>
  <c r="BD487" i="3"/>
  <c r="BE487" i="3"/>
  <c r="BF487" i="3"/>
  <c r="BG487" i="3"/>
  <c r="BA487" i="3" s="1"/>
  <c r="BH487" i="3"/>
  <c r="BI487" i="3"/>
  <c r="BJ487" i="3"/>
  <c r="BK487" i="3"/>
  <c r="BM487" i="3"/>
  <c r="BN487" i="3"/>
  <c r="BO487" i="3"/>
  <c r="BP487" i="3"/>
  <c r="BB488" i="3"/>
  <c r="BC488" i="3"/>
  <c r="BD488" i="3"/>
  <c r="BE488" i="3"/>
  <c r="BF488" i="3"/>
  <c r="BG488" i="3"/>
  <c r="BH488" i="3"/>
  <c r="BI488" i="3"/>
  <c r="BJ488" i="3"/>
  <c r="BK488" i="3"/>
  <c r="BM488" i="3"/>
  <c r="BN488" i="3"/>
  <c r="BO488" i="3"/>
  <c r="BP488" i="3"/>
  <c r="BB489" i="3"/>
  <c r="BC489" i="3"/>
  <c r="BD489" i="3"/>
  <c r="BE489" i="3"/>
  <c r="BF489" i="3"/>
  <c r="BG489" i="3"/>
  <c r="BH489" i="3"/>
  <c r="BI489" i="3"/>
  <c r="BJ489" i="3"/>
  <c r="BK489" i="3"/>
  <c r="BA489" i="3"/>
  <c r="BM489" i="3"/>
  <c r="BN489" i="3"/>
  <c r="BO489" i="3"/>
  <c r="BP489" i="3"/>
  <c r="BL489" i="3" s="1"/>
  <c r="AZ489" i="3" s="1"/>
  <c r="BB490" i="3"/>
  <c r="BC490" i="3"/>
  <c r="BD490" i="3"/>
  <c r="BE490" i="3"/>
  <c r="BF490" i="3"/>
  <c r="BG490" i="3"/>
  <c r="BH490" i="3"/>
  <c r="BI490" i="3"/>
  <c r="BJ490" i="3"/>
  <c r="BK490" i="3"/>
  <c r="BM490" i="3"/>
  <c r="BN490" i="3"/>
  <c r="BL490" i="3" s="1"/>
  <c r="BO490" i="3"/>
  <c r="BP490" i="3"/>
  <c r="BB491" i="3"/>
  <c r="BC491" i="3"/>
  <c r="BD491" i="3"/>
  <c r="BE491" i="3"/>
  <c r="BF491" i="3"/>
  <c r="BG491" i="3"/>
  <c r="BH491" i="3"/>
  <c r="BI491" i="3"/>
  <c r="BJ491" i="3"/>
  <c r="BK491" i="3"/>
  <c r="BA491" i="3"/>
  <c r="BM491" i="3"/>
  <c r="BN491" i="3"/>
  <c r="BO491" i="3"/>
  <c r="BP491" i="3"/>
  <c r="BL491" i="3" s="1"/>
  <c r="AZ491" i="3" s="1"/>
  <c r="BB492" i="3"/>
  <c r="BC492" i="3"/>
  <c r="BD492" i="3"/>
  <c r="BE492" i="3"/>
  <c r="BF492" i="3"/>
  <c r="BG492" i="3"/>
  <c r="BH492" i="3"/>
  <c r="BI492" i="3"/>
  <c r="BJ492" i="3"/>
  <c r="BK492" i="3"/>
  <c r="BM492" i="3"/>
  <c r="BN492" i="3"/>
  <c r="BO492" i="3"/>
  <c r="BP492" i="3"/>
  <c r="BB493" i="3"/>
  <c r="BC493" i="3"/>
  <c r="BA493" i="3" s="1"/>
  <c r="BD493" i="3"/>
  <c r="BE493" i="3"/>
  <c r="BF493" i="3"/>
  <c r="BG493" i="3"/>
  <c r="BH493" i="3"/>
  <c r="BI493" i="3"/>
  <c r="BJ493" i="3"/>
  <c r="BK493" i="3"/>
  <c r="BM493" i="3"/>
  <c r="BN493" i="3"/>
  <c r="BO493" i="3"/>
  <c r="BP493" i="3"/>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M495" i="3"/>
  <c r="BN495" i="3"/>
  <c r="BO495" i="3"/>
  <c r="BP495" i="3"/>
  <c r="BB496" i="3"/>
  <c r="BC496" i="3"/>
  <c r="BA496" i="3" s="1"/>
  <c r="BD496" i="3"/>
  <c r="BE496" i="3"/>
  <c r="BF496" i="3"/>
  <c r="BG496" i="3"/>
  <c r="BH496" i="3"/>
  <c r="BI496" i="3"/>
  <c r="BJ496" i="3"/>
  <c r="BK496" i="3"/>
  <c r="BM496" i="3"/>
  <c r="BN496" i="3"/>
  <c r="BO496" i="3"/>
  <c r="BP496" i="3"/>
  <c r="BB497" i="3"/>
  <c r="BC497" i="3"/>
  <c r="BD497" i="3"/>
  <c r="BE497" i="3"/>
  <c r="BF497" i="3"/>
  <c r="BG497" i="3"/>
  <c r="BH497" i="3"/>
  <c r="BI497" i="3"/>
  <c r="BJ497" i="3"/>
  <c r="BK497" i="3"/>
  <c r="BM497" i="3"/>
  <c r="BN497" i="3"/>
  <c r="BO497" i="3"/>
  <c r="BP497" i="3"/>
  <c r="BB498" i="3"/>
  <c r="BC498" i="3"/>
  <c r="BD498" i="3"/>
  <c r="BE498" i="3"/>
  <c r="BF498" i="3"/>
  <c r="BG498" i="3"/>
  <c r="BH498" i="3"/>
  <c r="BI498" i="3"/>
  <c r="BJ498" i="3"/>
  <c r="BK498" i="3"/>
  <c r="BM498" i="3"/>
  <c r="BN498" i="3"/>
  <c r="BO498" i="3"/>
  <c r="BP498" i="3"/>
  <c r="BB499" i="3"/>
  <c r="BC499" i="3"/>
  <c r="BD499" i="3"/>
  <c r="BE499" i="3"/>
  <c r="BF499" i="3"/>
  <c r="BG499" i="3"/>
  <c r="BH499" i="3"/>
  <c r="BI499" i="3"/>
  <c r="BJ499" i="3"/>
  <c r="BK499" i="3"/>
  <c r="BA499" i="3"/>
  <c r="BM499" i="3"/>
  <c r="BN499" i="3"/>
  <c r="BO499" i="3"/>
  <c r="BP499" i="3"/>
  <c r="BB500" i="3"/>
  <c r="BC500" i="3"/>
  <c r="BD500" i="3"/>
  <c r="BE500" i="3"/>
  <c r="BF500" i="3"/>
  <c r="BG500" i="3"/>
  <c r="BA500" i="3" s="1"/>
  <c r="BH500" i="3"/>
  <c r="BI500" i="3"/>
  <c r="BJ500" i="3"/>
  <c r="BK500" i="3"/>
  <c r="BM500" i="3"/>
  <c r="BN500" i="3"/>
  <c r="BO500" i="3"/>
  <c r="BP500" i="3"/>
  <c r="BB501" i="3"/>
  <c r="BC501" i="3"/>
  <c r="BD501" i="3"/>
  <c r="BE501" i="3"/>
  <c r="BF501" i="3"/>
  <c r="BG501" i="3"/>
  <c r="BH501" i="3"/>
  <c r="BI501" i="3"/>
  <c r="BJ501" i="3"/>
  <c r="BK501" i="3"/>
  <c r="BM501" i="3"/>
  <c r="BN501" i="3"/>
  <c r="BO501" i="3"/>
  <c r="BP501" i="3"/>
  <c r="BB502" i="3"/>
  <c r="BC502" i="3"/>
  <c r="BD502" i="3"/>
  <c r="BE502" i="3"/>
  <c r="BF502" i="3"/>
  <c r="BG502" i="3"/>
  <c r="BH502" i="3"/>
  <c r="BI502" i="3"/>
  <c r="BJ502" i="3"/>
  <c r="BK502" i="3"/>
  <c r="BA502" i="3"/>
  <c r="BM502" i="3"/>
  <c r="BN502" i="3"/>
  <c r="BO502" i="3"/>
  <c r="BP502" i="3"/>
  <c r="BL502" i="3" s="1"/>
  <c r="AZ502" i="3" s="1"/>
  <c r="BB503" i="3"/>
  <c r="BC503" i="3"/>
  <c r="BD503" i="3"/>
  <c r="BE503" i="3"/>
  <c r="BF503" i="3"/>
  <c r="BG503" i="3"/>
  <c r="BH503" i="3"/>
  <c r="BI503" i="3"/>
  <c r="BA503" i="3" s="1"/>
  <c r="BJ503" i="3"/>
  <c r="BK503" i="3"/>
  <c r="BM503" i="3"/>
  <c r="BN503" i="3"/>
  <c r="BO503" i="3"/>
  <c r="BP503" i="3"/>
  <c r="BB504" i="3"/>
  <c r="BC504" i="3"/>
  <c r="BD504" i="3"/>
  <c r="BE504" i="3"/>
  <c r="BF504" i="3"/>
  <c r="BG504" i="3"/>
  <c r="BH504" i="3"/>
  <c r="BI504" i="3"/>
  <c r="BJ504" i="3"/>
  <c r="BK504" i="3"/>
  <c r="BM504" i="3"/>
  <c r="BN504" i="3"/>
  <c r="BL504" i="3" s="1"/>
  <c r="BO504" i="3"/>
  <c r="BP504" i="3"/>
  <c r="BB505" i="3"/>
  <c r="BC505" i="3"/>
  <c r="BD505" i="3"/>
  <c r="BE505" i="3"/>
  <c r="BF505" i="3"/>
  <c r="BG505" i="3"/>
  <c r="BH505" i="3"/>
  <c r="BI505" i="3"/>
  <c r="BJ505" i="3"/>
  <c r="BK505" i="3"/>
  <c r="BM505" i="3"/>
  <c r="BN505" i="3"/>
  <c r="BO505" i="3"/>
  <c r="BP505" i="3"/>
  <c r="BB506" i="3"/>
  <c r="BC506" i="3"/>
  <c r="BD506" i="3"/>
  <c r="BE506" i="3"/>
  <c r="BF506" i="3"/>
  <c r="BG506" i="3"/>
  <c r="BH506" i="3"/>
  <c r="BI506" i="3"/>
  <c r="BJ506" i="3"/>
  <c r="BK506" i="3"/>
  <c r="BA506" i="3" s="1"/>
  <c r="BM506" i="3"/>
  <c r="BN506" i="3"/>
  <c r="BO506" i="3"/>
  <c r="BP506" i="3"/>
  <c r="BL506" i="3" s="1"/>
  <c r="BB507" i="3"/>
  <c r="BC507" i="3"/>
  <c r="BD507" i="3"/>
  <c r="BE507" i="3"/>
  <c r="BF507" i="3"/>
  <c r="BG507" i="3"/>
  <c r="BH507" i="3"/>
  <c r="BI507" i="3"/>
  <c r="BA507" i="3" s="1"/>
  <c r="BJ507" i="3"/>
  <c r="BK507" i="3"/>
  <c r="BM507" i="3"/>
  <c r="BN507" i="3"/>
  <c r="BO507" i="3"/>
  <c r="BP507" i="3"/>
  <c r="BL507" i="3" s="1"/>
  <c r="BB508" i="3"/>
  <c r="BC508" i="3"/>
  <c r="BD508" i="3"/>
  <c r="BE508" i="3"/>
  <c r="BF508" i="3"/>
  <c r="BG508" i="3"/>
  <c r="BH508" i="3"/>
  <c r="BI508" i="3"/>
  <c r="BJ508" i="3"/>
  <c r="BK508" i="3"/>
  <c r="BM508" i="3"/>
  <c r="BN508" i="3"/>
  <c r="BO508" i="3"/>
  <c r="BP508" i="3"/>
  <c r="BB509" i="3"/>
  <c r="BC509" i="3"/>
  <c r="BD509" i="3"/>
  <c r="BE509" i="3"/>
  <c r="BF509" i="3"/>
  <c r="BG509" i="3"/>
  <c r="BH509" i="3"/>
  <c r="BI509" i="3"/>
  <c r="BJ509" i="3"/>
  <c r="BK509" i="3"/>
  <c r="BA509" i="3" s="1"/>
  <c r="BM509" i="3"/>
  <c r="BN509" i="3"/>
  <c r="BO509" i="3"/>
  <c r="BP509" i="3"/>
  <c r="BB510" i="3"/>
  <c r="BC510" i="3"/>
  <c r="BA510" i="3" s="1"/>
  <c r="BD510" i="3"/>
  <c r="BE510" i="3"/>
  <c r="BF510" i="3"/>
  <c r="BG510" i="3"/>
  <c r="BH510" i="3"/>
  <c r="BI510" i="3"/>
  <c r="BJ510" i="3"/>
  <c r="BK510" i="3"/>
  <c r="BM510" i="3"/>
  <c r="BN510" i="3"/>
  <c r="BO510" i="3"/>
  <c r="BP510" i="3"/>
  <c r="BB511" i="3"/>
  <c r="BC511" i="3"/>
  <c r="BD511" i="3"/>
  <c r="BE511" i="3"/>
  <c r="BF511" i="3"/>
  <c r="BG511" i="3"/>
  <c r="BH511" i="3"/>
  <c r="BI511" i="3"/>
  <c r="BJ511" i="3"/>
  <c r="BK511" i="3"/>
  <c r="BM511" i="3"/>
  <c r="BN511" i="3"/>
  <c r="BO511" i="3"/>
  <c r="BP511" i="3"/>
  <c r="BL511" i="3"/>
  <c r="BB512" i="3"/>
  <c r="BC512" i="3"/>
  <c r="BD512" i="3"/>
  <c r="BE512" i="3"/>
  <c r="BF512" i="3"/>
  <c r="BG512" i="3"/>
  <c r="BH512" i="3"/>
  <c r="BI512" i="3"/>
  <c r="BJ512" i="3"/>
  <c r="BK512" i="3"/>
  <c r="BM512" i="3"/>
  <c r="BN512" i="3"/>
  <c r="BO512" i="3"/>
  <c r="BP512" i="3"/>
  <c r="BB513" i="3"/>
  <c r="BC513" i="3"/>
  <c r="BD513" i="3"/>
  <c r="BE513" i="3"/>
  <c r="BF513" i="3"/>
  <c r="BG513" i="3"/>
  <c r="BA513" i="3" s="1"/>
  <c r="BH513" i="3"/>
  <c r="BI513" i="3"/>
  <c r="BJ513" i="3"/>
  <c r="BK513" i="3"/>
  <c r="BM513" i="3"/>
  <c r="BN513" i="3"/>
  <c r="BO513" i="3"/>
  <c r="BP513" i="3"/>
  <c r="BB514" i="3"/>
  <c r="BC514" i="3"/>
  <c r="BD514" i="3"/>
  <c r="BE514" i="3"/>
  <c r="BF514" i="3"/>
  <c r="BG514" i="3"/>
  <c r="BH514" i="3"/>
  <c r="BI514" i="3"/>
  <c r="BJ514" i="3"/>
  <c r="BK514" i="3"/>
  <c r="BM514" i="3"/>
  <c r="BN514" i="3"/>
  <c r="BO514" i="3"/>
  <c r="BP514" i="3"/>
  <c r="BB515" i="3"/>
  <c r="BC515" i="3"/>
  <c r="BD515" i="3"/>
  <c r="BE515" i="3"/>
  <c r="BF515" i="3"/>
  <c r="BG515" i="3"/>
  <c r="BH515" i="3"/>
  <c r="BI515" i="3"/>
  <c r="BJ515" i="3"/>
  <c r="BK515" i="3"/>
  <c r="BA515" i="3"/>
  <c r="BM515" i="3"/>
  <c r="BN515" i="3"/>
  <c r="BO515" i="3"/>
  <c r="BP515" i="3"/>
  <c r="BL515" i="3" s="1"/>
  <c r="AZ515" i="3" s="1"/>
  <c r="BB516" i="3"/>
  <c r="BC516" i="3"/>
  <c r="BD516" i="3"/>
  <c r="BE516" i="3"/>
  <c r="BF516" i="3"/>
  <c r="BG516" i="3"/>
  <c r="BH516" i="3"/>
  <c r="BI516" i="3"/>
  <c r="BJ516" i="3"/>
  <c r="BK516" i="3"/>
  <c r="BM516" i="3"/>
  <c r="BN516" i="3"/>
  <c r="BL516" i="3" s="1"/>
  <c r="BO516" i="3"/>
  <c r="BP516" i="3"/>
  <c r="BB517" i="3"/>
  <c r="BC517" i="3"/>
  <c r="BD517" i="3"/>
  <c r="BE517" i="3"/>
  <c r="BF517" i="3"/>
  <c r="BG517" i="3"/>
  <c r="BH517" i="3"/>
  <c r="BI517" i="3"/>
  <c r="BJ517" i="3"/>
  <c r="BK517" i="3"/>
  <c r="BA517" i="3"/>
  <c r="BM517" i="3"/>
  <c r="BN517" i="3"/>
  <c r="BO517" i="3"/>
  <c r="BP517" i="3"/>
  <c r="BB518" i="3"/>
  <c r="BC518" i="3"/>
  <c r="BA518" i="3" s="1"/>
  <c r="BD518" i="3"/>
  <c r="BE518" i="3"/>
  <c r="BF518" i="3"/>
  <c r="BG518" i="3"/>
  <c r="BH518" i="3"/>
  <c r="BI518" i="3"/>
  <c r="BJ518" i="3"/>
  <c r="BK518" i="3"/>
  <c r="BM518" i="3"/>
  <c r="BN518" i="3"/>
  <c r="BO518" i="3"/>
  <c r="BP518" i="3"/>
  <c r="BB519" i="3"/>
  <c r="BC519" i="3"/>
  <c r="BD519" i="3"/>
  <c r="BE519" i="3"/>
  <c r="BF519" i="3"/>
  <c r="BG519" i="3"/>
  <c r="BH519" i="3"/>
  <c r="BI519" i="3"/>
  <c r="BJ519" i="3"/>
  <c r="BK519" i="3"/>
  <c r="BA519" i="3"/>
  <c r="BM519" i="3"/>
  <c r="BN519" i="3"/>
  <c r="BO519" i="3"/>
  <c r="BP519" i="3"/>
  <c r="BL519" i="3" s="1"/>
  <c r="AZ519" i="3" s="1"/>
  <c r="BB520" i="3"/>
  <c r="BC520" i="3"/>
  <c r="BD520" i="3"/>
  <c r="BE520" i="3"/>
  <c r="BF520" i="3"/>
  <c r="BG520" i="3"/>
  <c r="BH520" i="3"/>
  <c r="BI520" i="3"/>
  <c r="BJ520" i="3"/>
  <c r="BK520" i="3"/>
  <c r="BM520" i="3"/>
  <c r="BN520" i="3"/>
  <c r="BL520" i="3" s="1"/>
  <c r="BO520" i="3"/>
  <c r="BP520" i="3"/>
  <c r="BB521" i="3"/>
  <c r="BC521" i="3"/>
  <c r="BD521" i="3"/>
  <c r="BE521" i="3"/>
  <c r="BF521" i="3"/>
  <c r="BG521" i="3"/>
  <c r="BH521" i="3"/>
  <c r="BI521" i="3"/>
  <c r="BJ521" i="3"/>
  <c r="BK521" i="3"/>
  <c r="BM521" i="3"/>
  <c r="BN521" i="3"/>
  <c r="BO521" i="3"/>
  <c r="BP521" i="3"/>
  <c r="BB522" i="3"/>
  <c r="BC522" i="3"/>
  <c r="BD522" i="3"/>
  <c r="BE522" i="3"/>
  <c r="BF522" i="3"/>
  <c r="BG522" i="3"/>
  <c r="BH522" i="3"/>
  <c r="BI522" i="3"/>
  <c r="BJ522" i="3"/>
  <c r="BK522" i="3"/>
  <c r="BA522" i="3"/>
  <c r="BM522" i="3"/>
  <c r="BN522" i="3"/>
  <c r="BO522" i="3"/>
  <c r="BP522" i="3"/>
  <c r="BB523" i="3"/>
  <c r="BC523" i="3"/>
  <c r="BD523" i="3"/>
  <c r="BE523" i="3"/>
  <c r="BF523" i="3"/>
  <c r="BG523" i="3"/>
  <c r="BH523" i="3"/>
  <c r="BI523" i="3"/>
  <c r="BJ523" i="3"/>
  <c r="BK523" i="3"/>
  <c r="BA523" i="3" s="1"/>
  <c r="BM523" i="3"/>
  <c r="BN523" i="3"/>
  <c r="BO523" i="3"/>
  <c r="BP523" i="3"/>
  <c r="BB524" i="3"/>
  <c r="BC524" i="3"/>
  <c r="BA524" i="3" s="1"/>
  <c r="BD524" i="3"/>
  <c r="BE524" i="3"/>
  <c r="BF524" i="3"/>
  <c r="BG524" i="3"/>
  <c r="BH524" i="3"/>
  <c r="BI524" i="3"/>
  <c r="BJ524" i="3"/>
  <c r="BK524" i="3"/>
  <c r="BM524" i="3"/>
  <c r="BN524" i="3"/>
  <c r="BO524" i="3"/>
  <c r="BP524" i="3"/>
  <c r="BB525" i="3"/>
  <c r="BC525" i="3"/>
  <c r="BD525" i="3"/>
  <c r="BE525" i="3"/>
  <c r="BF525" i="3"/>
  <c r="BG525" i="3"/>
  <c r="BH525" i="3"/>
  <c r="BI525" i="3"/>
  <c r="BJ525" i="3"/>
  <c r="BK525" i="3"/>
  <c r="BM525" i="3"/>
  <c r="BN525" i="3"/>
  <c r="BO525" i="3"/>
  <c r="BP525" i="3"/>
  <c r="BB526" i="3"/>
  <c r="BC526" i="3"/>
  <c r="BD526" i="3"/>
  <c r="BE526" i="3"/>
  <c r="BF526" i="3"/>
  <c r="BG526" i="3"/>
  <c r="BH526" i="3"/>
  <c r="BI526" i="3"/>
  <c r="BJ526" i="3"/>
  <c r="BK526" i="3"/>
  <c r="BA526" i="3"/>
  <c r="BM526" i="3"/>
  <c r="BN526" i="3"/>
  <c r="BO526" i="3"/>
  <c r="BP526" i="3"/>
  <c r="BB527" i="3"/>
  <c r="BC527" i="3"/>
  <c r="BD527" i="3"/>
  <c r="BE527" i="3"/>
  <c r="BF527" i="3"/>
  <c r="BG527" i="3"/>
  <c r="BH527" i="3"/>
  <c r="BI527" i="3"/>
  <c r="BJ527" i="3"/>
  <c r="BK527" i="3"/>
  <c r="BM527" i="3"/>
  <c r="BN527" i="3"/>
  <c r="BL527" i="3" s="1"/>
  <c r="BO527" i="3"/>
  <c r="BP527" i="3"/>
  <c r="BB528" i="3"/>
  <c r="BC528" i="3"/>
  <c r="BD528" i="3"/>
  <c r="BE528" i="3"/>
  <c r="BF528" i="3"/>
  <c r="BG528" i="3"/>
  <c r="BH528" i="3"/>
  <c r="BI528" i="3"/>
  <c r="BJ528" i="3"/>
  <c r="BK528" i="3"/>
  <c r="BM528" i="3"/>
  <c r="BN528" i="3"/>
  <c r="BO528" i="3"/>
  <c r="BP528" i="3"/>
  <c r="BB529" i="3"/>
  <c r="BC529" i="3"/>
  <c r="BD529" i="3"/>
  <c r="BE529" i="3"/>
  <c r="BF529" i="3"/>
  <c r="BG529" i="3"/>
  <c r="BH529" i="3"/>
  <c r="BI529" i="3"/>
  <c r="BJ529" i="3"/>
  <c r="BK529" i="3"/>
  <c r="BA529" i="3"/>
  <c r="BM529" i="3"/>
  <c r="BN529" i="3"/>
  <c r="BO529" i="3"/>
  <c r="BP529" i="3"/>
  <c r="BB530" i="3"/>
  <c r="BC530" i="3"/>
  <c r="BD530" i="3"/>
  <c r="BE530" i="3"/>
  <c r="BF530" i="3"/>
  <c r="BG530" i="3"/>
  <c r="BH530" i="3"/>
  <c r="BI530" i="3"/>
  <c r="BJ530" i="3"/>
  <c r="BK530" i="3"/>
  <c r="BA530" i="3" s="1"/>
  <c r="BM530" i="3"/>
  <c r="BN530" i="3"/>
  <c r="BO530" i="3"/>
  <c r="BP530" i="3"/>
  <c r="BB531" i="3"/>
  <c r="BC531" i="3"/>
  <c r="BD531" i="3"/>
  <c r="BE531" i="3"/>
  <c r="BA531" i="3" s="1"/>
  <c r="BF531" i="3"/>
  <c r="BG531" i="3"/>
  <c r="BH531" i="3"/>
  <c r="BI531" i="3"/>
  <c r="BJ531" i="3"/>
  <c r="BK531" i="3"/>
  <c r="BM531" i="3"/>
  <c r="BN531" i="3"/>
  <c r="BO531" i="3"/>
  <c r="BP531" i="3"/>
  <c r="BB532" i="3"/>
  <c r="BC532" i="3"/>
  <c r="BD532" i="3"/>
  <c r="BE532" i="3"/>
  <c r="BF532" i="3"/>
  <c r="BG532" i="3"/>
  <c r="BH532" i="3"/>
  <c r="BI532" i="3"/>
  <c r="BJ532" i="3"/>
  <c r="BK532" i="3"/>
  <c r="BM532" i="3"/>
  <c r="BN532" i="3"/>
  <c r="BO532" i="3"/>
  <c r="BP532" i="3"/>
  <c r="BL532" i="3"/>
  <c r="BB533" i="3"/>
  <c r="BC533" i="3"/>
  <c r="BD533" i="3"/>
  <c r="BE533" i="3"/>
  <c r="BF533" i="3"/>
  <c r="BG533" i="3"/>
  <c r="BH533" i="3"/>
  <c r="BI533" i="3"/>
  <c r="BJ533" i="3"/>
  <c r="BK533" i="3"/>
  <c r="BA533" i="3"/>
  <c r="BM533" i="3"/>
  <c r="BN533" i="3"/>
  <c r="BO533" i="3"/>
  <c r="BP533" i="3"/>
  <c r="BL533" i="3" s="1"/>
  <c r="AZ533" i="3" s="1"/>
  <c r="BB534" i="3"/>
  <c r="BC534" i="3"/>
  <c r="BD534" i="3"/>
  <c r="BE534" i="3"/>
  <c r="BF534" i="3"/>
  <c r="BG534" i="3"/>
  <c r="BH534" i="3"/>
  <c r="BI534" i="3"/>
  <c r="BJ534" i="3"/>
  <c r="BK534" i="3"/>
  <c r="BM534" i="3"/>
  <c r="BN534" i="3"/>
  <c r="BO534" i="3"/>
  <c r="BP534" i="3"/>
  <c r="BB535" i="3"/>
  <c r="BC535" i="3"/>
  <c r="BD535" i="3"/>
  <c r="BE535" i="3"/>
  <c r="BF535" i="3"/>
  <c r="BG535" i="3"/>
  <c r="BA535" i="3" s="1"/>
  <c r="BH535" i="3"/>
  <c r="BI535" i="3"/>
  <c r="BJ535" i="3"/>
  <c r="BK535" i="3"/>
  <c r="BM535" i="3"/>
  <c r="BN535" i="3"/>
  <c r="BO535" i="3"/>
  <c r="BP535" i="3"/>
  <c r="BB536" i="3"/>
  <c r="BC536" i="3"/>
  <c r="BD536" i="3"/>
  <c r="BE536" i="3"/>
  <c r="BF536" i="3"/>
  <c r="BG536" i="3"/>
  <c r="BH536" i="3"/>
  <c r="BI536" i="3"/>
  <c r="BJ536" i="3"/>
  <c r="BK536" i="3"/>
  <c r="BA536" i="3"/>
  <c r="BM536" i="3"/>
  <c r="BN536" i="3"/>
  <c r="BO536" i="3"/>
  <c r="BP536" i="3"/>
  <c r="BB537" i="3"/>
  <c r="BC537" i="3"/>
  <c r="BD537" i="3"/>
  <c r="BE537" i="3"/>
  <c r="BF537" i="3"/>
  <c r="BG537" i="3"/>
  <c r="BH537" i="3"/>
  <c r="BI537" i="3"/>
  <c r="BJ537" i="3"/>
  <c r="BK537" i="3"/>
  <c r="BA537" i="3" s="1"/>
  <c r="BM537" i="3"/>
  <c r="BN537" i="3"/>
  <c r="BO537" i="3"/>
  <c r="BP537" i="3"/>
  <c r="BL537" i="3" s="1"/>
  <c r="BB538" i="3"/>
  <c r="BC538" i="3"/>
  <c r="BD538" i="3"/>
  <c r="BE538" i="3"/>
  <c r="BF538" i="3"/>
  <c r="BG538" i="3"/>
  <c r="BH538" i="3"/>
  <c r="BI538" i="3"/>
  <c r="BJ538" i="3"/>
  <c r="BK538" i="3"/>
  <c r="BM538" i="3"/>
  <c r="BN538" i="3"/>
  <c r="BL538" i="3" s="1"/>
  <c r="BO538" i="3"/>
  <c r="BP538" i="3"/>
  <c r="BB539" i="3"/>
  <c r="BC539" i="3"/>
  <c r="BD539" i="3"/>
  <c r="BE539" i="3"/>
  <c r="BF539" i="3"/>
  <c r="BG539" i="3"/>
  <c r="BH539" i="3"/>
  <c r="BI539" i="3"/>
  <c r="BJ539" i="3"/>
  <c r="BK539" i="3"/>
  <c r="BM539" i="3"/>
  <c r="BN539" i="3"/>
  <c r="BO539" i="3"/>
  <c r="BP539" i="3"/>
  <c r="BB540" i="3"/>
  <c r="BC540" i="3"/>
  <c r="BD540" i="3"/>
  <c r="BE540" i="3"/>
  <c r="BF540" i="3"/>
  <c r="BG540" i="3"/>
  <c r="BH540" i="3"/>
  <c r="BI540" i="3"/>
  <c r="BJ540" i="3"/>
  <c r="BK540" i="3"/>
  <c r="BA540" i="3" s="1"/>
  <c r="BM540" i="3"/>
  <c r="BN540" i="3"/>
  <c r="BO540" i="3"/>
  <c r="BP540" i="3"/>
  <c r="BL540" i="3" s="1"/>
  <c r="BB541" i="3"/>
  <c r="BC541" i="3"/>
  <c r="BD541" i="3"/>
  <c r="BE541" i="3"/>
  <c r="BF541" i="3"/>
  <c r="BG541" i="3"/>
  <c r="BH541" i="3"/>
  <c r="BI541" i="3"/>
  <c r="BJ541" i="3"/>
  <c r="BK541" i="3"/>
  <c r="BM541" i="3"/>
  <c r="BN541" i="3"/>
  <c r="BO541" i="3"/>
  <c r="BP541" i="3"/>
  <c r="BB542" i="3"/>
  <c r="BC542" i="3"/>
  <c r="BD542" i="3"/>
  <c r="BE542" i="3"/>
  <c r="BF542" i="3"/>
  <c r="BG542" i="3"/>
  <c r="BH542" i="3"/>
  <c r="BI542" i="3"/>
  <c r="BA542" i="3" s="1"/>
  <c r="BJ542" i="3"/>
  <c r="BK542" i="3"/>
  <c r="BM542" i="3"/>
  <c r="BN542" i="3"/>
  <c r="BO542" i="3"/>
  <c r="BP542" i="3"/>
  <c r="BL542" i="3" s="1"/>
  <c r="BB543" i="3"/>
  <c r="BC543" i="3"/>
  <c r="BD543" i="3"/>
  <c r="BE543" i="3"/>
  <c r="BF543" i="3"/>
  <c r="BG543" i="3"/>
  <c r="BH543" i="3"/>
  <c r="BI543" i="3"/>
  <c r="BJ543" i="3"/>
  <c r="BK543" i="3"/>
  <c r="BM543" i="3"/>
  <c r="BN543" i="3"/>
  <c r="BO543" i="3"/>
  <c r="BP543" i="3"/>
  <c r="BB544" i="3"/>
  <c r="BC544" i="3"/>
  <c r="BD544" i="3"/>
  <c r="BE544" i="3"/>
  <c r="BF544" i="3"/>
  <c r="BG544" i="3"/>
  <c r="BH544" i="3"/>
  <c r="BI544" i="3"/>
  <c r="BJ544" i="3"/>
  <c r="BK544" i="3"/>
  <c r="BA544" i="3"/>
  <c r="BM544" i="3"/>
  <c r="BN544" i="3"/>
  <c r="BO544" i="3"/>
  <c r="BP544" i="3"/>
  <c r="BL544" i="3" s="1"/>
  <c r="AZ544" i="3" s="1"/>
  <c r="BB545" i="3"/>
  <c r="BC545" i="3"/>
  <c r="BD545" i="3"/>
  <c r="BE545" i="3"/>
  <c r="BF545" i="3"/>
  <c r="BG545" i="3"/>
  <c r="BH545" i="3"/>
  <c r="BI545" i="3"/>
  <c r="BJ545" i="3"/>
  <c r="BK545" i="3"/>
  <c r="BM545" i="3"/>
  <c r="BN545" i="3"/>
  <c r="BL545" i="3" s="1"/>
  <c r="BO545" i="3"/>
  <c r="BP545" i="3"/>
  <c r="BB546" i="3"/>
  <c r="BC546" i="3"/>
  <c r="BD546" i="3"/>
  <c r="BE546" i="3"/>
  <c r="BF546" i="3"/>
  <c r="BG546" i="3"/>
  <c r="BH546" i="3"/>
  <c r="BI546" i="3"/>
  <c r="BJ546" i="3"/>
  <c r="BK546" i="3"/>
  <c r="BM546" i="3"/>
  <c r="BN546" i="3"/>
  <c r="BO546" i="3"/>
  <c r="BP546" i="3"/>
  <c r="BB547" i="3"/>
  <c r="BC547" i="3"/>
  <c r="BD547" i="3"/>
  <c r="BE547" i="3"/>
  <c r="BF547" i="3"/>
  <c r="BG547" i="3"/>
  <c r="BH547" i="3"/>
  <c r="BI547" i="3"/>
  <c r="BJ547" i="3"/>
  <c r="BK547" i="3"/>
  <c r="BA547" i="3"/>
  <c r="BM547" i="3"/>
  <c r="BN547" i="3"/>
  <c r="BO547" i="3"/>
  <c r="BP547" i="3"/>
  <c r="BL547" i="3" s="1"/>
  <c r="AZ547" i="3" s="1"/>
  <c r="BB548" i="3"/>
  <c r="BC548" i="3"/>
  <c r="BD548" i="3"/>
  <c r="BE548" i="3"/>
  <c r="BF548" i="3"/>
  <c r="BG548" i="3"/>
  <c r="BH548" i="3"/>
  <c r="BI548" i="3"/>
  <c r="BJ548" i="3"/>
  <c r="BK548" i="3"/>
  <c r="BM548" i="3"/>
  <c r="BN548" i="3"/>
  <c r="BO548" i="3"/>
  <c r="BP548" i="3"/>
  <c r="BB549" i="3"/>
  <c r="BC549" i="3"/>
  <c r="BD549" i="3"/>
  <c r="BE549" i="3"/>
  <c r="BF549" i="3"/>
  <c r="BG549" i="3"/>
  <c r="BH549" i="3"/>
  <c r="BI549" i="3"/>
  <c r="BJ549" i="3"/>
  <c r="BK549" i="3"/>
  <c r="BM549" i="3"/>
  <c r="BN549" i="3"/>
  <c r="BL549" i="3" s="1"/>
  <c r="BO549" i="3"/>
  <c r="BP549" i="3"/>
  <c r="BB550" i="3"/>
  <c r="BC550" i="3"/>
  <c r="BD550" i="3"/>
  <c r="BE550" i="3"/>
  <c r="BF550" i="3"/>
  <c r="BG550" i="3"/>
  <c r="BH550" i="3"/>
  <c r="BI550" i="3"/>
  <c r="BJ550" i="3"/>
  <c r="BK550" i="3"/>
  <c r="BM550" i="3"/>
  <c r="BN550" i="3"/>
  <c r="BO550" i="3"/>
  <c r="BP550" i="3"/>
  <c r="BB551" i="3"/>
  <c r="BC551" i="3"/>
  <c r="BD551" i="3"/>
  <c r="BE551" i="3"/>
  <c r="BF551" i="3"/>
  <c r="BG551" i="3"/>
  <c r="BH551" i="3"/>
  <c r="BI551" i="3"/>
  <c r="BJ551" i="3"/>
  <c r="BK551" i="3"/>
  <c r="BA551" i="3"/>
  <c r="BM551" i="3"/>
  <c r="BN551" i="3"/>
  <c r="BO551" i="3"/>
  <c r="BP551" i="3"/>
  <c r="BL551" i="3" s="1"/>
  <c r="AZ551" i="3" s="1"/>
  <c r="BB552" i="3"/>
  <c r="BC552" i="3"/>
  <c r="BD552" i="3"/>
  <c r="BE552" i="3"/>
  <c r="BF552" i="3"/>
  <c r="BG552" i="3"/>
  <c r="BH552" i="3"/>
  <c r="BI552" i="3"/>
  <c r="BJ552" i="3"/>
  <c r="BK552" i="3"/>
  <c r="BM552" i="3"/>
  <c r="BN552" i="3"/>
  <c r="BO552" i="3"/>
  <c r="BP552" i="3"/>
  <c r="BB553" i="3"/>
  <c r="BC553" i="3"/>
  <c r="BA553" i="3" s="1"/>
  <c r="BD553" i="3"/>
  <c r="BE553" i="3"/>
  <c r="BF553" i="3"/>
  <c r="BG553" i="3"/>
  <c r="BH553" i="3"/>
  <c r="BI553" i="3"/>
  <c r="BJ553" i="3"/>
  <c r="BK553" i="3"/>
  <c r="BM553" i="3"/>
  <c r="BN553" i="3"/>
  <c r="BO553" i="3"/>
  <c r="BP553" i="3"/>
  <c r="BB554" i="3"/>
  <c r="BC554" i="3"/>
  <c r="BD554" i="3"/>
  <c r="BE554" i="3"/>
  <c r="BF554" i="3"/>
  <c r="BG554" i="3"/>
  <c r="BH554" i="3"/>
  <c r="BI554" i="3"/>
  <c r="BJ554" i="3"/>
  <c r="BK554" i="3"/>
  <c r="BM554" i="3"/>
  <c r="BN554" i="3"/>
  <c r="BO554" i="3"/>
  <c r="BP554" i="3"/>
  <c r="BB555" i="3"/>
  <c r="BC555" i="3"/>
  <c r="BD555" i="3"/>
  <c r="BE555" i="3"/>
  <c r="BF555" i="3"/>
  <c r="BG555" i="3"/>
  <c r="BH555" i="3"/>
  <c r="BI555" i="3"/>
  <c r="BJ555" i="3"/>
  <c r="BK555" i="3"/>
  <c r="BA555" i="3"/>
  <c r="BM555" i="3"/>
  <c r="BN555" i="3"/>
  <c r="BO555" i="3"/>
  <c r="BP555" i="3"/>
  <c r="BB556" i="3"/>
  <c r="BC556" i="3"/>
  <c r="BD556" i="3"/>
  <c r="BE556" i="3"/>
  <c r="BF556" i="3"/>
  <c r="BG556" i="3"/>
  <c r="BH556" i="3"/>
  <c r="BI556" i="3"/>
  <c r="BJ556" i="3"/>
  <c r="BK556" i="3"/>
  <c r="BM556" i="3"/>
  <c r="BN556" i="3"/>
  <c r="BO556" i="3"/>
  <c r="BP556" i="3"/>
  <c r="BB557" i="3"/>
  <c r="BC557" i="3"/>
  <c r="BD557" i="3"/>
  <c r="BE557" i="3"/>
  <c r="BF557" i="3"/>
  <c r="BG557" i="3"/>
  <c r="BH557" i="3"/>
  <c r="BI557" i="3"/>
  <c r="BA557" i="3" s="1"/>
  <c r="BJ557" i="3"/>
  <c r="BK557" i="3"/>
  <c r="BM557" i="3"/>
  <c r="BN557" i="3"/>
  <c r="BO557" i="3"/>
  <c r="BP557" i="3"/>
  <c r="BB558" i="3"/>
  <c r="BC558" i="3"/>
  <c r="BD558" i="3"/>
  <c r="BE558" i="3"/>
  <c r="BF558" i="3"/>
  <c r="BG558" i="3"/>
  <c r="BH558" i="3"/>
  <c r="BI558" i="3"/>
  <c r="BJ558" i="3"/>
  <c r="BK558" i="3"/>
  <c r="BA558" i="3" s="1"/>
  <c r="BM558" i="3"/>
  <c r="BN558" i="3"/>
  <c r="BO558" i="3"/>
  <c r="BP558" i="3"/>
  <c r="BB559" i="3"/>
  <c r="BC559" i="3"/>
  <c r="BD559" i="3"/>
  <c r="BE559" i="3"/>
  <c r="BF559" i="3"/>
  <c r="BG559" i="3"/>
  <c r="BH559" i="3"/>
  <c r="BI559" i="3"/>
  <c r="BA559" i="3" s="1"/>
  <c r="BJ559" i="3"/>
  <c r="BK559" i="3"/>
  <c r="BM559" i="3"/>
  <c r="BN559" i="3"/>
  <c r="BO559" i="3"/>
  <c r="BP559" i="3"/>
  <c r="BB560" i="3"/>
  <c r="BC560" i="3"/>
  <c r="BD560" i="3"/>
  <c r="BE560" i="3"/>
  <c r="BF560" i="3"/>
  <c r="BG560" i="3"/>
  <c r="BH560" i="3"/>
  <c r="BI560" i="3"/>
  <c r="BJ560" i="3"/>
  <c r="BK560" i="3"/>
  <c r="BM560" i="3"/>
  <c r="BN560" i="3"/>
  <c r="BO560" i="3"/>
  <c r="BP560" i="3"/>
  <c r="BL560" i="3"/>
  <c r="BB561" i="3"/>
  <c r="BC561" i="3"/>
  <c r="BD561" i="3"/>
  <c r="BE561" i="3"/>
  <c r="BF561" i="3"/>
  <c r="BG561" i="3"/>
  <c r="BH561" i="3"/>
  <c r="BI561" i="3"/>
  <c r="BJ561" i="3"/>
  <c r="BK561" i="3"/>
  <c r="BM561" i="3"/>
  <c r="BN561" i="3"/>
  <c r="BO561" i="3"/>
  <c r="BP561" i="3"/>
  <c r="BB562" i="3"/>
  <c r="BC562" i="3"/>
  <c r="BD562" i="3"/>
  <c r="BE562" i="3"/>
  <c r="BF562" i="3"/>
  <c r="BG562" i="3"/>
  <c r="BH562" i="3"/>
  <c r="BI562" i="3"/>
  <c r="BJ562" i="3"/>
  <c r="BK562" i="3"/>
  <c r="BA562" i="3" s="1"/>
  <c r="BM562" i="3"/>
  <c r="BN562" i="3"/>
  <c r="BO562" i="3"/>
  <c r="BP562" i="3"/>
  <c r="BB563" i="3"/>
  <c r="BC563" i="3"/>
  <c r="BD563" i="3"/>
  <c r="BE563" i="3"/>
  <c r="BF563" i="3"/>
  <c r="BG563" i="3"/>
  <c r="BH563" i="3"/>
  <c r="BI563" i="3"/>
  <c r="BJ563" i="3"/>
  <c r="BK563" i="3"/>
  <c r="BM563" i="3"/>
  <c r="BN563" i="3"/>
  <c r="BL563" i="3" s="1"/>
  <c r="BO563" i="3"/>
  <c r="BP563" i="3"/>
  <c r="BB564" i="3"/>
  <c r="BC564" i="3"/>
  <c r="BD564" i="3"/>
  <c r="BE564" i="3"/>
  <c r="BF564" i="3"/>
  <c r="BG564" i="3"/>
  <c r="BH564" i="3"/>
  <c r="BI564" i="3"/>
  <c r="BJ564" i="3"/>
  <c r="BK564" i="3"/>
  <c r="BM564" i="3"/>
  <c r="BN564" i="3"/>
  <c r="BO564" i="3"/>
  <c r="BP564" i="3"/>
  <c r="BB565" i="3"/>
  <c r="BC565" i="3"/>
  <c r="BD565" i="3"/>
  <c r="BE565" i="3"/>
  <c r="BF565" i="3"/>
  <c r="BG565" i="3"/>
  <c r="BH565" i="3"/>
  <c r="BI565" i="3"/>
  <c r="BJ565" i="3"/>
  <c r="BK565" i="3"/>
  <c r="BA565" i="3"/>
  <c r="BM565" i="3"/>
  <c r="BN565" i="3"/>
  <c r="BO565" i="3"/>
  <c r="BP565" i="3"/>
  <c r="BL565" i="3" s="1"/>
  <c r="AZ565" i="3" s="1"/>
  <c r="BB566" i="3"/>
  <c r="BC566" i="3"/>
  <c r="BD566" i="3"/>
  <c r="BE566" i="3"/>
  <c r="BF566" i="3"/>
  <c r="BG566" i="3"/>
  <c r="BH566" i="3"/>
  <c r="BI566" i="3"/>
  <c r="BJ566" i="3"/>
  <c r="BK566" i="3"/>
  <c r="BM566" i="3"/>
  <c r="BN566" i="3"/>
  <c r="BO566" i="3"/>
  <c r="BP566" i="3"/>
  <c r="BB567" i="3"/>
  <c r="BC567" i="3"/>
  <c r="BA567" i="3" s="1"/>
  <c r="BD567" i="3"/>
  <c r="BE567" i="3"/>
  <c r="BF567" i="3"/>
  <c r="BG567" i="3"/>
  <c r="BH567" i="3"/>
  <c r="BI567" i="3"/>
  <c r="BJ567" i="3"/>
  <c r="BK567" i="3"/>
  <c r="BM567" i="3"/>
  <c r="BN567" i="3"/>
  <c r="BO567" i="3"/>
  <c r="BP567" i="3"/>
  <c r="BB568" i="3"/>
  <c r="BC568" i="3"/>
  <c r="BD568" i="3"/>
  <c r="BE568" i="3"/>
  <c r="BF568" i="3"/>
  <c r="BG568" i="3"/>
  <c r="BH568" i="3"/>
  <c r="BI568" i="3"/>
  <c r="BJ568" i="3"/>
  <c r="BK568" i="3"/>
  <c r="BM568" i="3"/>
  <c r="BN568" i="3"/>
  <c r="BO568" i="3"/>
  <c r="BP568" i="3"/>
  <c r="BL568" i="3"/>
  <c r="BB569" i="3"/>
  <c r="BC569" i="3"/>
  <c r="BD569" i="3"/>
  <c r="BE569" i="3"/>
  <c r="BF569" i="3"/>
  <c r="BG569" i="3"/>
  <c r="BH569" i="3"/>
  <c r="BI569" i="3"/>
  <c r="BJ569" i="3"/>
  <c r="BK569" i="3"/>
  <c r="BM569" i="3"/>
  <c r="BN569" i="3"/>
  <c r="BO569" i="3"/>
  <c r="BP569" i="3"/>
  <c r="BB570" i="3"/>
  <c r="BC570" i="3"/>
  <c r="BD570" i="3"/>
  <c r="BE570" i="3"/>
  <c r="BF570" i="3"/>
  <c r="BG570" i="3"/>
  <c r="BH570" i="3"/>
  <c r="BI570" i="3"/>
  <c r="BJ570" i="3"/>
  <c r="BK570" i="3"/>
  <c r="BM570" i="3"/>
  <c r="BN570" i="3"/>
  <c r="BL570" i="3" s="1"/>
  <c r="BO570" i="3"/>
  <c r="BP570" i="3"/>
  <c r="BB571" i="3"/>
  <c r="BC571" i="3"/>
  <c r="BD571" i="3"/>
  <c r="BE571" i="3"/>
  <c r="BF571" i="3"/>
  <c r="BG571" i="3"/>
  <c r="BH571" i="3"/>
  <c r="BI571" i="3"/>
  <c r="BJ571" i="3"/>
  <c r="BK571" i="3"/>
  <c r="BM571" i="3"/>
  <c r="BN571" i="3"/>
  <c r="BO571" i="3"/>
  <c r="BP571" i="3"/>
  <c r="BB572" i="3"/>
  <c r="BC572" i="3"/>
  <c r="BD572" i="3"/>
  <c r="BE572" i="3"/>
  <c r="BF572" i="3"/>
  <c r="BG572" i="3"/>
  <c r="BH572" i="3"/>
  <c r="BI572" i="3"/>
  <c r="BJ572" i="3"/>
  <c r="BK572" i="3"/>
  <c r="BA572" i="3"/>
  <c r="BM572" i="3"/>
  <c r="BN572" i="3"/>
  <c r="BO572" i="3"/>
  <c r="BP572" i="3"/>
  <c r="BB573" i="3"/>
  <c r="BC573" i="3"/>
  <c r="BD573" i="3"/>
  <c r="BE573" i="3"/>
  <c r="BF573" i="3"/>
  <c r="BG573" i="3"/>
  <c r="BA573" i="3" s="1"/>
  <c r="BH573" i="3"/>
  <c r="BI573" i="3"/>
  <c r="BJ573" i="3"/>
  <c r="BK573" i="3"/>
  <c r="BM573" i="3"/>
  <c r="BN573" i="3"/>
  <c r="BO573" i="3"/>
  <c r="BP573" i="3"/>
  <c r="BB574" i="3"/>
  <c r="BC574" i="3"/>
  <c r="BD574" i="3"/>
  <c r="BE574" i="3"/>
  <c r="BF574" i="3"/>
  <c r="BG574" i="3"/>
  <c r="BH574" i="3"/>
  <c r="BI574" i="3"/>
  <c r="BJ574" i="3"/>
  <c r="BK574" i="3"/>
  <c r="BM574" i="3"/>
  <c r="BN574" i="3"/>
  <c r="BO574" i="3"/>
  <c r="BP574" i="3"/>
  <c r="BL574" i="3"/>
  <c r="BB575" i="3"/>
  <c r="BC575" i="3"/>
  <c r="BD575" i="3"/>
  <c r="BE575" i="3"/>
  <c r="BF575" i="3"/>
  <c r="BG575" i="3"/>
  <c r="BH575" i="3"/>
  <c r="BI575" i="3"/>
  <c r="BJ575" i="3"/>
  <c r="BK575" i="3"/>
  <c r="BM575" i="3"/>
  <c r="BN575" i="3"/>
  <c r="BO575" i="3"/>
  <c r="BP575" i="3"/>
  <c r="BB576" i="3"/>
  <c r="BC576" i="3"/>
  <c r="BD576" i="3"/>
  <c r="BE576" i="3"/>
  <c r="BF576" i="3"/>
  <c r="BG576" i="3"/>
  <c r="BH576" i="3"/>
  <c r="BI576" i="3"/>
  <c r="BJ576" i="3"/>
  <c r="BK576" i="3"/>
  <c r="BM576" i="3"/>
  <c r="BN576" i="3"/>
  <c r="BO576" i="3"/>
  <c r="BP576" i="3"/>
  <c r="BL576" i="3"/>
  <c r="BB577" i="3"/>
  <c r="BC577" i="3"/>
  <c r="BD577" i="3"/>
  <c r="BE577" i="3"/>
  <c r="BF577" i="3"/>
  <c r="BG577" i="3"/>
  <c r="BH577" i="3"/>
  <c r="BI577" i="3"/>
  <c r="BJ577" i="3"/>
  <c r="BK577" i="3"/>
  <c r="BM577" i="3"/>
  <c r="BN577" i="3"/>
  <c r="BO577" i="3"/>
  <c r="BP577" i="3"/>
  <c r="BB578" i="3"/>
  <c r="BC578" i="3"/>
  <c r="BD578" i="3"/>
  <c r="BE578" i="3"/>
  <c r="BF578" i="3"/>
  <c r="BG578" i="3"/>
  <c r="BH578" i="3"/>
  <c r="BI578" i="3"/>
  <c r="BJ578" i="3"/>
  <c r="BK578" i="3"/>
  <c r="BA578" i="3" s="1"/>
  <c r="BM578" i="3"/>
  <c r="BN578" i="3"/>
  <c r="BO578" i="3"/>
  <c r="BP578" i="3"/>
  <c r="BB579" i="3"/>
  <c r="BC579" i="3"/>
  <c r="BD579" i="3"/>
  <c r="BE579" i="3"/>
  <c r="BF579" i="3"/>
  <c r="BG579" i="3"/>
  <c r="BH579" i="3"/>
  <c r="BI579" i="3"/>
  <c r="BJ579" i="3"/>
  <c r="BK579" i="3"/>
  <c r="BM579" i="3"/>
  <c r="BN579" i="3"/>
  <c r="BO579" i="3"/>
  <c r="BP579" i="3"/>
  <c r="BB580" i="3"/>
  <c r="BC580" i="3"/>
  <c r="BD580" i="3"/>
  <c r="BE580" i="3"/>
  <c r="BF580" i="3"/>
  <c r="BG580" i="3"/>
  <c r="BH580" i="3"/>
  <c r="BI580" i="3"/>
  <c r="BA580" i="3" s="1"/>
  <c r="BJ580" i="3"/>
  <c r="BK580" i="3"/>
  <c r="BM580" i="3"/>
  <c r="BN580" i="3"/>
  <c r="BO580" i="3"/>
  <c r="BP580" i="3"/>
  <c r="BB581" i="3"/>
  <c r="BC581" i="3"/>
  <c r="BD581" i="3"/>
  <c r="BE581" i="3"/>
  <c r="BF581" i="3"/>
  <c r="BG581" i="3"/>
  <c r="BH581" i="3"/>
  <c r="BI581" i="3"/>
  <c r="BJ581" i="3"/>
  <c r="BK581" i="3"/>
  <c r="BM581" i="3"/>
  <c r="BN581" i="3"/>
  <c r="BO581" i="3"/>
  <c r="BP581" i="3"/>
  <c r="BB582" i="3"/>
  <c r="BC582" i="3"/>
  <c r="BD582" i="3"/>
  <c r="BE582" i="3"/>
  <c r="BF582" i="3"/>
  <c r="BG582" i="3"/>
  <c r="BH582" i="3"/>
  <c r="BI582" i="3"/>
  <c r="BJ582" i="3"/>
  <c r="BK582" i="3"/>
  <c r="BA582" i="3" s="1"/>
  <c r="BM582" i="3"/>
  <c r="BN582" i="3"/>
  <c r="BO582" i="3"/>
  <c r="BP582" i="3"/>
  <c r="BL582" i="3" s="1"/>
  <c r="BB583" i="3"/>
  <c r="BC583" i="3"/>
  <c r="BD583" i="3"/>
  <c r="BE583" i="3"/>
  <c r="BF583" i="3"/>
  <c r="BG583" i="3"/>
  <c r="BH583" i="3"/>
  <c r="BI583" i="3"/>
  <c r="BJ583" i="3"/>
  <c r="BK583" i="3"/>
  <c r="BM583" i="3"/>
  <c r="BN583" i="3"/>
  <c r="BO583" i="3"/>
  <c r="BP583" i="3"/>
  <c r="BB584" i="3"/>
  <c r="BC584" i="3"/>
  <c r="BA584" i="3" s="1"/>
  <c r="BD584" i="3"/>
  <c r="BE584" i="3"/>
  <c r="BF584" i="3"/>
  <c r="BG584" i="3"/>
  <c r="BH584" i="3"/>
  <c r="BI584" i="3"/>
  <c r="BJ584" i="3"/>
  <c r="BK584" i="3"/>
  <c r="BM584" i="3"/>
  <c r="BN584" i="3"/>
  <c r="BO584" i="3"/>
  <c r="BP584" i="3"/>
  <c r="BB585" i="3"/>
  <c r="BC585" i="3"/>
  <c r="BD585" i="3"/>
  <c r="BE585" i="3"/>
  <c r="BF585" i="3"/>
  <c r="BG585" i="3"/>
  <c r="BH585" i="3"/>
  <c r="BI585" i="3"/>
  <c r="BJ585" i="3"/>
  <c r="BK585" i="3"/>
  <c r="BM585" i="3"/>
  <c r="BN585" i="3"/>
  <c r="BO585" i="3"/>
  <c r="BP585" i="3"/>
  <c r="BB586" i="3"/>
  <c r="BC586" i="3"/>
  <c r="BD586" i="3"/>
  <c r="BE586" i="3"/>
  <c r="BF586" i="3"/>
  <c r="BG586" i="3"/>
  <c r="BH586" i="3"/>
  <c r="BI586" i="3"/>
  <c r="BJ586" i="3"/>
  <c r="BK586" i="3"/>
  <c r="BM586" i="3"/>
  <c r="BN586" i="3"/>
  <c r="BO586" i="3"/>
  <c r="BP586" i="3"/>
  <c r="BL586" i="3"/>
  <c r="BB587" i="3"/>
  <c r="BC587" i="3"/>
  <c r="BD587" i="3"/>
  <c r="BE587" i="3"/>
  <c r="BF587" i="3"/>
  <c r="BG587" i="3"/>
  <c r="BH587" i="3"/>
  <c r="BI587" i="3"/>
  <c r="BJ587" i="3"/>
  <c r="BK587" i="3"/>
  <c r="BM587" i="3"/>
  <c r="BN587" i="3"/>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H18" i="3"/>
  <c r="AC18" i="3"/>
  <c r="G18" i="3" s="1"/>
  <c r="H19" i="3"/>
  <c r="AC19" i="3"/>
  <c r="H20" i="3"/>
  <c r="AC20" i="3"/>
  <c r="H21" i="3"/>
  <c r="AC21" i="3"/>
  <c r="H22" i="3"/>
  <c r="AC22" i="3"/>
  <c r="G22" i="3"/>
  <c r="H23" i="3"/>
  <c r="AC23" i="3"/>
  <c r="G23" i="3" s="1"/>
  <c r="H24" i="3"/>
  <c r="AC24" i="3"/>
  <c r="G24" i="3" s="1"/>
  <c r="H25" i="3"/>
  <c r="AC25" i="3"/>
  <c r="H26" i="3"/>
  <c r="AC26" i="3"/>
  <c r="G26" i="3" s="1"/>
  <c r="H27" i="3"/>
  <c r="AC27" i="3"/>
  <c r="H28" i="3"/>
  <c r="AC28" i="3"/>
  <c r="H29" i="3"/>
  <c r="AC29" i="3"/>
  <c r="H30" i="3"/>
  <c r="AC30" i="3"/>
  <c r="G30" i="3"/>
  <c r="H31" i="3"/>
  <c r="AC31" i="3"/>
  <c r="G31" i="3" s="1"/>
  <c r="H32" i="3"/>
  <c r="AC32" i="3"/>
  <c r="G32" i="3" s="1"/>
  <c r="H33" i="3"/>
  <c r="AC33" i="3"/>
  <c r="H34" i="3"/>
  <c r="AC34" i="3"/>
  <c r="G34" i="3" s="1"/>
  <c r="H35" i="3"/>
  <c r="AC35" i="3"/>
  <c r="H36" i="3"/>
  <c r="AC36" i="3"/>
  <c r="H37" i="3"/>
  <c r="AC37" i="3"/>
  <c r="H38" i="3"/>
  <c r="AC38" i="3"/>
  <c r="G38" i="3"/>
  <c r="H39" i="3"/>
  <c r="AC39" i="3"/>
  <c r="G39" i="3" s="1"/>
  <c r="H40" i="3"/>
  <c r="AC40" i="3"/>
  <c r="G40" i="3" s="1"/>
  <c r="H41" i="3"/>
  <c r="AC41" i="3"/>
  <c r="H42" i="3"/>
  <c r="AC42" i="3"/>
  <c r="G42" i="3" s="1"/>
  <c r="H43" i="3"/>
  <c r="AC43" i="3"/>
  <c r="H44" i="3"/>
  <c r="AC44" i="3"/>
  <c r="H45" i="3"/>
  <c r="AC45" i="3"/>
  <c r="H46" i="3"/>
  <c r="AC46" i="3"/>
  <c r="G46" i="3"/>
  <c r="H47" i="3"/>
  <c r="AC47" i="3"/>
  <c r="G47" i="3" s="1"/>
  <c r="H48" i="3"/>
  <c r="AC48" i="3"/>
  <c r="G48" i="3" s="1"/>
  <c r="H49" i="3"/>
  <c r="AC49" i="3"/>
  <c r="H50" i="3"/>
  <c r="AC50" i="3"/>
  <c r="G50" i="3" s="1"/>
  <c r="H51" i="3"/>
  <c r="AC51" i="3"/>
  <c r="H52" i="3"/>
  <c r="AC52" i="3"/>
  <c r="H53" i="3"/>
  <c r="AC53" i="3"/>
  <c r="H54" i="3"/>
  <c r="AC54" i="3"/>
  <c r="G54" i="3"/>
  <c r="H55" i="3"/>
  <c r="AC55" i="3"/>
  <c r="G55" i="3" s="1"/>
  <c r="H56" i="3"/>
  <c r="AC56" i="3"/>
  <c r="G56" i="3" s="1"/>
  <c r="H57" i="3"/>
  <c r="AC57" i="3"/>
  <c r="H58" i="3"/>
  <c r="AC58" i="3"/>
  <c r="G58" i="3" s="1"/>
  <c r="H59" i="3"/>
  <c r="AC59" i="3"/>
  <c r="H60" i="3"/>
  <c r="AC60" i="3"/>
  <c r="H61" i="3"/>
  <c r="AC61" i="3"/>
  <c r="H62" i="3"/>
  <c r="AC62" i="3"/>
  <c r="G62" i="3"/>
  <c r="H63" i="3"/>
  <c r="AC63" i="3"/>
  <c r="G63" i="3" s="1"/>
  <c r="H64" i="3"/>
  <c r="AC64" i="3"/>
  <c r="G64" i="3" s="1"/>
  <c r="H65" i="3"/>
  <c r="AC65" i="3"/>
  <c r="H66" i="3"/>
  <c r="AC66" i="3"/>
  <c r="G66" i="3" s="1"/>
  <c r="H67" i="3"/>
  <c r="AC67" i="3"/>
  <c r="H68" i="3"/>
  <c r="AC68" i="3"/>
  <c r="G68" i="3" s="1"/>
  <c r="H69" i="3"/>
  <c r="AC69" i="3"/>
  <c r="H70" i="3"/>
  <c r="AC70" i="3"/>
  <c r="G70" i="3" s="1"/>
  <c r="H71" i="3"/>
  <c r="AC71" i="3"/>
  <c r="H72" i="3"/>
  <c r="AC72" i="3"/>
  <c r="H73" i="3"/>
  <c r="AC73" i="3"/>
  <c r="H74" i="3"/>
  <c r="AC74" i="3"/>
  <c r="G74" i="3"/>
  <c r="H75" i="3"/>
  <c r="AC75" i="3"/>
  <c r="G75" i="3" s="1"/>
  <c r="H76" i="3"/>
  <c r="AC76" i="3"/>
  <c r="G76" i="3" s="1"/>
  <c r="H77" i="3"/>
  <c r="AC77" i="3"/>
  <c r="H78" i="3"/>
  <c r="AC78" i="3"/>
  <c r="G78" i="3" s="1"/>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c r="H91" i="3"/>
  <c r="AC91" i="3"/>
  <c r="G91" i="3" s="1"/>
  <c r="H92" i="3"/>
  <c r="AC92" i="3"/>
  <c r="G92" i="3" s="1"/>
  <c r="H93" i="3"/>
  <c r="AC93" i="3"/>
  <c r="H94" i="3"/>
  <c r="AC94" i="3"/>
  <c r="G94" i="3" s="1"/>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G106" i="3"/>
  <c r="H107" i="3"/>
  <c r="AC107" i="3"/>
  <c r="G107" i="3" s="1"/>
  <c r="H108" i="3"/>
  <c r="AC108" i="3"/>
  <c r="G108" i="3" s="1"/>
  <c r="H109" i="3"/>
  <c r="AC109" i="3"/>
  <c r="H110" i="3"/>
  <c r="AC110" i="3"/>
  <c r="G110" i="3" s="1"/>
  <c r="H111" i="3"/>
  <c r="AC111" i="3"/>
  <c r="H112" i="3"/>
  <c r="AC112" i="3"/>
  <c r="H113" i="3"/>
  <c r="AC113" i="3"/>
  <c r="H114" i="3"/>
  <c r="AC114" i="3"/>
  <c r="G114" i="3"/>
  <c r="H115" i="3"/>
  <c r="AC115" i="3"/>
  <c r="G115" i="3" s="1"/>
  <c r="H116" i="3"/>
  <c r="AC116" i="3"/>
  <c r="G116" i="3" s="1"/>
  <c r="H117" i="3"/>
  <c r="AC117" i="3"/>
  <c r="H118" i="3"/>
  <c r="AC118" i="3"/>
  <c r="G118" i="3" s="1"/>
  <c r="H119" i="3"/>
  <c r="AC119" i="3"/>
  <c r="H120" i="3"/>
  <c r="AC120" i="3"/>
  <c r="G120" i="3"/>
  <c r="H121" i="3"/>
  <c r="AC121" i="3"/>
  <c r="H122" i="3"/>
  <c r="AC122" i="3"/>
  <c r="G122" i="3" s="1"/>
  <c r="H123" i="3"/>
  <c r="AC123" i="3"/>
  <c r="H124" i="3"/>
  <c r="AC124" i="3"/>
  <c r="H125" i="3"/>
  <c r="AC125" i="3"/>
  <c r="H126" i="3"/>
  <c r="AC126" i="3"/>
  <c r="G126" i="3"/>
  <c r="H127" i="3"/>
  <c r="AC127" i="3"/>
  <c r="G127" i="3" s="1"/>
  <c r="H128" i="3"/>
  <c r="AC128" i="3"/>
  <c r="G128" i="3" s="1"/>
  <c r="H129" i="3"/>
  <c r="AC129" i="3"/>
  <c r="H130" i="3"/>
  <c r="AC130" i="3"/>
  <c r="G130" i="3" s="1"/>
  <c r="H131" i="3"/>
  <c r="AC131" i="3"/>
  <c r="H132" i="3"/>
  <c r="AC132" i="3"/>
  <c r="H133" i="3"/>
  <c r="AC133" i="3"/>
  <c r="H134" i="3"/>
  <c r="AC134" i="3"/>
  <c r="G134" i="3"/>
  <c r="H135" i="3"/>
  <c r="AC135" i="3"/>
  <c r="G135" i="3" s="1"/>
  <c r="H136" i="3"/>
  <c r="AC136" i="3"/>
  <c r="G136" i="3" s="1"/>
  <c r="H137" i="3"/>
  <c r="AC137" i="3"/>
  <c r="H138" i="3"/>
  <c r="AC138" i="3"/>
  <c r="G138" i="3" s="1"/>
  <c r="H139" i="3"/>
  <c r="AC139" i="3"/>
  <c r="H140" i="3"/>
  <c r="AC140" i="3"/>
  <c r="H141" i="3"/>
  <c r="AC141" i="3"/>
  <c r="H142" i="3"/>
  <c r="AC142" i="3"/>
  <c r="G142" i="3"/>
  <c r="H143" i="3"/>
  <c r="AC143" i="3"/>
  <c r="G143" i="3" s="1"/>
  <c r="H144" i="3"/>
  <c r="AC144" i="3"/>
  <c r="G144" i="3" s="1"/>
  <c r="H145" i="3"/>
  <c r="AC145" i="3"/>
  <c r="H146" i="3"/>
  <c r="AC146" i="3"/>
  <c r="G146" i="3" s="1"/>
  <c r="H147" i="3"/>
  <c r="AC147" i="3"/>
  <c r="H148" i="3"/>
  <c r="AC148" i="3"/>
  <c r="H149" i="3"/>
  <c r="AC149" i="3"/>
  <c r="H150" i="3"/>
  <c r="AC150" i="3"/>
  <c r="G150" i="3"/>
  <c r="H151" i="3"/>
  <c r="AC151" i="3"/>
  <c r="G151" i="3" s="1"/>
  <c r="H152" i="3"/>
  <c r="AC152" i="3"/>
  <c r="G152" i="3" s="1"/>
  <c r="H153" i="3"/>
  <c r="AC153" i="3"/>
  <c r="H154" i="3"/>
  <c r="AC154" i="3"/>
  <c r="G154" i="3" s="1"/>
  <c r="H155" i="3"/>
  <c r="AC155" i="3"/>
  <c r="H156" i="3"/>
  <c r="AC156" i="3"/>
  <c r="H157" i="3"/>
  <c r="AC157" i="3"/>
  <c r="H158" i="3"/>
  <c r="AC158" i="3"/>
  <c r="G158" i="3"/>
  <c r="H159" i="3"/>
  <c r="AC159" i="3"/>
  <c r="G159" i="3" s="1"/>
  <c r="H160" i="3"/>
  <c r="AC160" i="3"/>
  <c r="G160" i="3" s="1"/>
  <c r="H161" i="3"/>
  <c r="AC161" i="3"/>
  <c r="H162" i="3"/>
  <c r="AC162" i="3"/>
  <c r="G162" i="3" s="1"/>
  <c r="H163" i="3"/>
  <c r="AC163" i="3"/>
  <c r="H164" i="3"/>
  <c r="AC164" i="3"/>
  <c r="H165" i="3"/>
  <c r="AC165" i="3"/>
  <c r="H166" i="3"/>
  <c r="AC166" i="3"/>
  <c r="G166" i="3"/>
  <c r="H167" i="3"/>
  <c r="AC167" i="3"/>
  <c r="G167" i="3" s="1"/>
  <c r="H168" i="3"/>
  <c r="AC168" i="3"/>
  <c r="G168" i="3" s="1"/>
  <c r="H169" i="3"/>
  <c r="AC169" i="3"/>
  <c r="H170" i="3"/>
  <c r="AC170" i="3"/>
  <c r="G170" i="3" s="1"/>
  <c r="H171" i="3"/>
  <c r="AC171" i="3"/>
  <c r="H172" i="3"/>
  <c r="AC172" i="3"/>
  <c r="H173" i="3"/>
  <c r="AC173" i="3"/>
  <c r="H174" i="3"/>
  <c r="AC174" i="3"/>
  <c r="G174" i="3"/>
  <c r="H175" i="3"/>
  <c r="AC175" i="3"/>
  <c r="G175" i="3" s="1"/>
  <c r="H176" i="3"/>
  <c r="AC176" i="3"/>
  <c r="G176" i="3" s="1"/>
  <c r="H177" i="3"/>
  <c r="AC177" i="3"/>
  <c r="H178" i="3"/>
  <c r="AC178" i="3"/>
  <c r="G178" i="3" s="1"/>
  <c r="H179" i="3"/>
  <c r="AC179" i="3"/>
  <c r="H180" i="3"/>
  <c r="AC180" i="3"/>
  <c r="H181" i="3"/>
  <c r="AC181" i="3"/>
  <c r="H182" i="3"/>
  <c r="AC182" i="3"/>
  <c r="G182" i="3"/>
  <c r="H183" i="3"/>
  <c r="AC183" i="3"/>
  <c r="G183" i="3" s="1"/>
  <c r="H184" i="3"/>
  <c r="AC184" i="3"/>
  <c r="G184" i="3" s="1"/>
  <c r="H185" i="3"/>
  <c r="AC185" i="3"/>
  <c r="H186" i="3"/>
  <c r="AC186" i="3"/>
  <c r="G186" i="3" s="1"/>
  <c r="H187" i="3"/>
  <c r="AC187" i="3"/>
  <c r="H188" i="3"/>
  <c r="AC188" i="3"/>
  <c r="H189" i="3"/>
  <c r="AC189" i="3"/>
  <c r="H190" i="3"/>
  <c r="AC190" i="3"/>
  <c r="G190" i="3"/>
  <c r="H191" i="3"/>
  <c r="AC191" i="3"/>
  <c r="G191" i="3" s="1"/>
  <c r="H192" i="3"/>
  <c r="AC192" i="3"/>
  <c r="G192" i="3" s="1"/>
  <c r="H193" i="3"/>
  <c r="AC193" i="3"/>
  <c r="H194" i="3"/>
  <c r="AC194" i="3"/>
  <c r="G194" i="3" s="1"/>
  <c r="H195" i="3"/>
  <c r="AC195" i="3"/>
  <c r="H196" i="3"/>
  <c r="AC196" i="3"/>
  <c r="H197" i="3"/>
  <c r="AC197" i="3"/>
  <c r="H198" i="3"/>
  <c r="AC198" i="3"/>
  <c r="G198" i="3"/>
  <c r="H199" i="3"/>
  <c r="AC199" i="3"/>
  <c r="G199" i="3" s="1"/>
  <c r="H200" i="3"/>
  <c r="AC200" i="3"/>
  <c r="G200" i="3" s="1"/>
  <c r="H201" i="3"/>
  <c r="AC201" i="3"/>
  <c r="H202" i="3"/>
  <c r="AC202" i="3"/>
  <c r="G202" i="3" s="1"/>
  <c r="H203" i="3"/>
  <c r="AC203" i="3"/>
  <c r="H204" i="3"/>
  <c r="AC204" i="3"/>
  <c r="H205" i="3"/>
  <c r="AC205" i="3"/>
  <c r="H206" i="3"/>
  <c r="AC206" i="3"/>
  <c r="G206" i="3"/>
  <c r="H207" i="3"/>
  <c r="AC207" i="3"/>
  <c r="G207" i="3" s="1"/>
  <c r="H208" i="3"/>
  <c r="AC208" i="3"/>
  <c r="G208" i="3" s="1"/>
  <c r="H209" i="3"/>
  <c r="AC209" i="3"/>
  <c r="H210" i="3"/>
  <c r="AC210" i="3"/>
  <c r="G210" i="3" s="1"/>
  <c r="H211" i="3"/>
  <c r="AC211" i="3"/>
  <c r="H212" i="3"/>
  <c r="AC212" i="3"/>
  <c r="H213" i="3"/>
  <c r="AC213" i="3"/>
  <c r="H214" i="3"/>
  <c r="AC214" i="3"/>
  <c r="G214" i="3"/>
  <c r="H215" i="3"/>
  <c r="AC215" i="3"/>
  <c r="G215" i="3" s="1"/>
  <c r="H216" i="3"/>
  <c r="AC216" i="3"/>
  <c r="G216" i="3" s="1"/>
  <c r="H217" i="3"/>
  <c r="AC217" i="3"/>
  <c r="H218" i="3"/>
  <c r="AC218" i="3"/>
  <c r="G218" i="3" s="1"/>
  <c r="H219" i="3"/>
  <c r="AC219" i="3"/>
  <c r="H220" i="3"/>
  <c r="AC220" i="3"/>
  <c r="H221" i="3"/>
  <c r="AC221" i="3"/>
  <c r="H222" i="3"/>
  <c r="AC222" i="3"/>
  <c r="G222" i="3"/>
  <c r="H223" i="3"/>
  <c r="AC223" i="3"/>
  <c r="G223" i="3" s="1"/>
  <c r="H224" i="3"/>
  <c r="AC224" i="3"/>
  <c r="G224" i="3" s="1"/>
  <c r="H225" i="3"/>
  <c r="AC225" i="3"/>
  <c r="H226" i="3"/>
  <c r="AC226" i="3"/>
  <c r="G226" i="3" s="1"/>
  <c r="H227" i="3"/>
  <c r="AC227" i="3"/>
  <c r="H228" i="3"/>
  <c r="AC228" i="3"/>
  <c r="H229" i="3"/>
  <c r="AC229" i="3"/>
  <c r="H230" i="3"/>
  <c r="AC230" i="3"/>
  <c r="G230" i="3"/>
  <c r="H231" i="3"/>
  <c r="AC231" i="3"/>
  <c r="G231" i="3" s="1"/>
  <c r="H232" i="3"/>
  <c r="AC232" i="3"/>
  <c r="G232" i="3" s="1"/>
  <c r="H233" i="3"/>
  <c r="AC233" i="3"/>
  <c r="H234" i="3"/>
  <c r="AC234" i="3"/>
  <c r="G234" i="3" s="1"/>
  <c r="H235" i="3"/>
  <c r="AC235" i="3"/>
  <c r="H236" i="3"/>
  <c r="AC236" i="3"/>
  <c r="H237" i="3"/>
  <c r="AC237" i="3"/>
  <c r="H238" i="3"/>
  <c r="AC238" i="3"/>
  <c r="G238" i="3"/>
  <c r="H239" i="3"/>
  <c r="AC239" i="3"/>
  <c r="G239" i="3" s="1"/>
  <c r="H240" i="3"/>
  <c r="AC240" i="3"/>
  <c r="G240" i="3" s="1"/>
  <c r="H241" i="3"/>
  <c r="AC241" i="3"/>
  <c r="H242" i="3"/>
  <c r="AC242" i="3"/>
  <c r="G242" i="3" s="1"/>
  <c r="H243" i="3"/>
  <c r="AC243" i="3"/>
  <c r="H244" i="3"/>
  <c r="AC244" i="3"/>
  <c r="H245" i="3"/>
  <c r="AC245" i="3"/>
  <c r="H246" i="3"/>
  <c r="AC246" i="3"/>
  <c r="G246" i="3"/>
  <c r="H247" i="3"/>
  <c r="AC247" i="3"/>
  <c r="G247" i="3" s="1"/>
  <c r="H248" i="3"/>
  <c r="AC248" i="3"/>
  <c r="G248" i="3" s="1"/>
  <c r="H249" i="3"/>
  <c r="AC249" i="3"/>
  <c r="H250" i="3"/>
  <c r="AC250" i="3"/>
  <c r="G250" i="3" s="1"/>
  <c r="H251" i="3"/>
  <c r="AC251" i="3"/>
  <c r="H252" i="3"/>
  <c r="AC252" i="3"/>
  <c r="H253" i="3"/>
  <c r="AC253" i="3"/>
  <c r="H254" i="3"/>
  <c r="AC254" i="3"/>
  <c r="G254" i="3"/>
  <c r="H255" i="3"/>
  <c r="AC255" i="3"/>
  <c r="G255" i="3" s="1"/>
  <c r="H256" i="3"/>
  <c r="AC256" i="3"/>
  <c r="G256" i="3" s="1"/>
  <c r="H257" i="3"/>
  <c r="AC257" i="3"/>
  <c r="H258" i="3"/>
  <c r="AC258" i="3"/>
  <c r="G258" i="3" s="1"/>
  <c r="H259" i="3"/>
  <c r="AC259" i="3"/>
  <c r="H260" i="3"/>
  <c r="AC260" i="3"/>
  <c r="H261" i="3"/>
  <c r="AC261" i="3"/>
  <c r="H262" i="3"/>
  <c r="AC262" i="3"/>
  <c r="G262" i="3"/>
  <c r="H263" i="3"/>
  <c r="AC263" i="3"/>
  <c r="G263" i="3" s="1"/>
  <c r="H264" i="3"/>
  <c r="AC264" i="3"/>
  <c r="G264" i="3" s="1"/>
  <c r="H265" i="3"/>
  <c r="AC265" i="3"/>
  <c r="H266" i="3"/>
  <c r="AC266" i="3"/>
  <c r="G266" i="3" s="1"/>
  <c r="H267" i="3"/>
  <c r="AC267" i="3"/>
  <c r="H268" i="3"/>
  <c r="AC268" i="3"/>
  <c r="H269" i="3"/>
  <c r="AC269" i="3"/>
  <c r="H270" i="3"/>
  <c r="AC270" i="3"/>
  <c r="G270" i="3"/>
  <c r="H271" i="3"/>
  <c r="AC271" i="3"/>
  <c r="G271" i="3" s="1"/>
  <c r="H272" i="3"/>
  <c r="AC272" i="3"/>
  <c r="G272" i="3" s="1"/>
  <c r="H273" i="3"/>
  <c r="AC273" i="3"/>
  <c r="H274" i="3"/>
  <c r="AC274" i="3"/>
  <c r="G274" i="3" s="1"/>
  <c r="H275" i="3"/>
  <c r="AC275" i="3"/>
  <c r="H276" i="3"/>
  <c r="AC276" i="3"/>
  <c r="H277" i="3"/>
  <c r="AC277" i="3"/>
  <c r="H278" i="3"/>
  <c r="AC278" i="3"/>
  <c r="G278" i="3"/>
  <c r="H279" i="3"/>
  <c r="AC279" i="3"/>
  <c r="G279" i="3" s="1"/>
  <c r="H280" i="3"/>
  <c r="AC280" i="3"/>
  <c r="G280" i="3" s="1"/>
  <c r="H281" i="3"/>
  <c r="AC281" i="3"/>
  <c r="H282" i="3"/>
  <c r="AC282" i="3"/>
  <c r="G282" i="3" s="1"/>
  <c r="H283" i="3"/>
  <c r="AC283" i="3"/>
  <c r="H284" i="3"/>
  <c r="AC284" i="3"/>
  <c r="H285" i="3"/>
  <c r="AC285" i="3"/>
  <c r="H286" i="3"/>
  <c r="AC286" i="3"/>
  <c r="H287" i="3"/>
  <c r="AC287" i="3"/>
  <c r="H288" i="3"/>
  <c r="AC288" i="3"/>
  <c r="G288" i="3"/>
  <c r="H289" i="3"/>
  <c r="AC289" i="3"/>
  <c r="G289" i="3" s="1"/>
  <c r="H290" i="3"/>
  <c r="AC290" i="3"/>
  <c r="G290" i="3" s="1"/>
  <c r="H291" i="3"/>
  <c r="AC291" i="3"/>
  <c r="H292" i="3"/>
  <c r="AC292" i="3"/>
  <c r="G292" i="3" s="1"/>
  <c r="H293" i="3"/>
  <c r="AC293" i="3"/>
  <c r="H294" i="3"/>
  <c r="AC294" i="3"/>
  <c r="H295" i="3"/>
  <c r="AC295" i="3"/>
  <c r="H296" i="3"/>
  <c r="AC296" i="3"/>
  <c r="G296" i="3"/>
  <c r="H297" i="3"/>
  <c r="AC297" i="3"/>
  <c r="G297" i="3" s="1"/>
  <c r="H298" i="3"/>
  <c r="AC298" i="3"/>
  <c r="G298" i="3" s="1"/>
  <c r="H299" i="3"/>
  <c r="AC299" i="3"/>
  <c r="H300" i="3"/>
  <c r="AC300" i="3"/>
  <c r="G300" i="3" s="1"/>
  <c r="H301" i="3"/>
  <c r="AC301" i="3"/>
  <c r="H302" i="3"/>
  <c r="AC302" i="3"/>
  <c r="H303" i="3"/>
  <c r="AC303" i="3"/>
  <c r="H304" i="3"/>
  <c r="AC304" i="3"/>
  <c r="G304" i="3"/>
  <c r="H305" i="3"/>
  <c r="AC305" i="3"/>
  <c r="G305" i="3" s="1"/>
  <c r="H306" i="3"/>
  <c r="AC306" i="3"/>
  <c r="G306" i="3" s="1"/>
  <c r="H307" i="3"/>
  <c r="AC307" i="3"/>
  <c r="H308" i="3"/>
  <c r="AC308" i="3"/>
  <c r="G308" i="3" s="1"/>
  <c r="H309" i="3"/>
  <c r="AC309" i="3"/>
  <c r="H310" i="3"/>
  <c r="AC310" i="3"/>
  <c r="H311" i="3"/>
  <c r="AC311" i="3"/>
  <c r="H312" i="3"/>
  <c r="AC312" i="3"/>
  <c r="G312" i="3"/>
  <c r="H313" i="3"/>
  <c r="AC313" i="3"/>
  <c r="G313" i="3" s="1"/>
  <c r="H314" i="3"/>
  <c r="AC314" i="3"/>
  <c r="G314" i="3" s="1"/>
  <c r="H315" i="3"/>
  <c r="AC315" i="3"/>
  <c r="H316" i="3"/>
  <c r="AC316" i="3"/>
  <c r="G316" i="3" s="1"/>
  <c r="H317" i="3"/>
  <c r="AC317" i="3"/>
  <c r="H318" i="3"/>
  <c r="AC318" i="3"/>
  <c r="H319" i="3"/>
  <c r="AC319" i="3"/>
  <c r="H320" i="3"/>
  <c r="AC320" i="3"/>
  <c r="G320" i="3"/>
  <c r="H321" i="3"/>
  <c r="AC321" i="3"/>
  <c r="G321" i="3" s="1"/>
  <c r="H322" i="3"/>
  <c r="AC322" i="3"/>
  <c r="G322" i="3" s="1"/>
  <c r="H323" i="3"/>
  <c r="AC323" i="3"/>
  <c r="H324" i="3"/>
  <c r="AC324" i="3"/>
  <c r="G324" i="3" s="1"/>
  <c r="H325" i="3"/>
  <c r="AC325" i="3"/>
  <c r="H326" i="3"/>
  <c r="AC326" i="3"/>
  <c r="H327" i="3"/>
  <c r="AC327" i="3"/>
  <c r="H328" i="3"/>
  <c r="AC328" i="3"/>
  <c r="G328" i="3"/>
  <c r="H329" i="3"/>
  <c r="AC329" i="3"/>
  <c r="G329" i="3" s="1"/>
  <c r="H330" i="3"/>
  <c r="AC330" i="3"/>
  <c r="G330" i="3" s="1"/>
  <c r="H331" i="3"/>
  <c r="AC331" i="3"/>
  <c r="H332" i="3"/>
  <c r="AC332" i="3"/>
  <c r="G332" i="3" s="1"/>
  <c r="H333" i="3"/>
  <c r="AC333" i="3"/>
  <c r="H334" i="3"/>
  <c r="AC334" i="3"/>
  <c r="H335" i="3"/>
  <c r="AC335" i="3"/>
  <c r="H336" i="3"/>
  <c r="AC336" i="3"/>
  <c r="G336" i="3"/>
  <c r="H337" i="3"/>
  <c r="AC337" i="3"/>
  <c r="G337" i="3" s="1"/>
  <c r="H338" i="3"/>
  <c r="AC338" i="3"/>
  <c r="G338" i="3" s="1"/>
  <c r="H339" i="3"/>
  <c r="AC339" i="3"/>
  <c r="H340" i="3"/>
  <c r="AC340" i="3"/>
  <c r="G340" i="3" s="1"/>
  <c r="H341" i="3"/>
  <c r="AC341" i="3"/>
  <c r="H342" i="3"/>
  <c r="AC342" i="3"/>
  <c r="H343" i="3"/>
  <c r="AC343" i="3"/>
  <c r="H344" i="3"/>
  <c r="AC344" i="3"/>
  <c r="G344" i="3"/>
  <c r="H345" i="3"/>
  <c r="AC345" i="3"/>
  <c r="G345" i="3" s="1"/>
  <c r="H346" i="3"/>
  <c r="AC346" i="3"/>
  <c r="G346" i="3" s="1"/>
  <c r="H347" i="3"/>
  <c r="AC347" i="3"/>
  <c r="H348" i="3"/>
  <c r="AC348" i="3"/>
  <c r="G348" i="3" s="1"/>
  <c r="H349" i="3"/>
  <c r="AC349" i="3"/>
  <c r="H350" i="3"/>
  <c r="AC350" i="3"/>
  <c r="H351" i="3"/>
  <c r="AC351" i="3"/>
  <c r="H352" i="3"/>
  <c r="AC352" i="3"/>
  <c r="G352" i="3"/>
  <c r="H353" i="3"/>
  <c r="AC353" i="3"/>
  <c r="G353" i="3" s="1"/>
  <c r="H354" i="3"/>
  <c r="AC354" i="3"/>
  <c r="G354" i="3" s="1"/>
  <c r="H355" i="3"/>
  <c r="AC355" i="3"/>
  <c r="H356" i="3"/>
  <c r="AC356" i="3"/>
  <c r="G356" i="3" s="1"/>
  <c r="H357" i="3"/>
  <c r="AC357" i="3"/>
  <c r="H358" i="3"/>
  <c r="AC358" i="3"/>
  <c r="H359" i="3"/>
  <c r="AC359" i="3"/>
  <c r="H360" i="3"/>
  <c r="AC360" i="3"/>
  <c r="G360" i="3"/>
  <c r="H361" i="3"/>
  <c r="AC361" i="3"/>
  <c r="G361" i="3" s="1"/>
  <c r="H362" i="3"/>
  <c r="AC362" i="3"/>
  <c r="G362" i="3" s="1"/>
  <c r="H363" i="3"/>
  <c r="AC363" i="3"/>
  <c r="H364" i="3"/>
  <c r="AC364" i="3"/>
  <c r="G364" i="3" s="1"/>
  <c r="H365" i="3"/>
  <c r="AC365" i="3"/>
  <c r="H366" i="3"/>
  <c r="AC366" i="3"/>
  <c r="H367" i="3"/>
  <c r="AC367" i="3"/>
  <c r="H368" i="3"/>
  <c r="AC368" i="3"/>
  <c r="G368" i="3"/>
  <c r="H369" i="3"/>
  <c r="AC369" i="3"/>
  <c r="G369" i="3" s="1"/>
  <c r="H370" i="3"/>
  <c r="AC370" i="3"/>
  <c r="G370" i="3" s="1"/>
  <c r="H371" i="3"/>
  <c r="AC371" i="3"/>
  <c r="H372" i="3"/>
  <c r="AC372" i="3"/>
  <c r="G372" i="3" s="1"/>
  <c r="H373" i="3"/>
  <c r="AC373" i="3"/>
  <c r="H374" i="3"/>
  <c r="AC374" i="3"/>
  <c r="H375" i="3"/>
  <c r="AC375" i="3"/>
  <c r="H376" i="3"/>
  <c r="AC376" i="3"/>
  <c r="G376" i="3"/>
  <c r="H377" i="3"/>
  <c r="AC377" i="3"/>
  <c r="G377" i="3" s="1"/>
  <c r="H378" i="3"/>
  <c r="AC378" i="3"/>
  <c r="G378" i="3" s="1"/>
  <c r="H379" i="3"/>
  <c r="AC379" i="3"/>
  <c r="H380" i="3"/>
  <c r="AC380" i="3"/>
  <c r="G380" i="3" s="1"/>
  <c r="H381" i="3"/>
  <c r="AC381" i="3"/>
  <c r="H382" i="3"/>
  <c r="AC382" i="3"/>
  <c r="H383" i="3"/>
  <c r="AC383" i="3"/>
  <c r="H384" i="3"/>
  <c r="AC384" i="3"/>
  <c r="G384" i="3"/>
  <c r="H385" i="3"/>
  <c r="AC385" i="3"/>
  <c r="G385" i="3" s="1"/>
  <c r="H386" i="3"/>
  <c r="AC386" i="3"/>
  <c r="G386" i="3" s="1"/>
  <c r="H387" i="3"/>
  <c r="AC387" i="3"/>
  <c r="H388" i="3"/>
  <c r="AC388" i="3"/>
  <c r="G388" i="3" s="1"/>
  <c r="H389" i="3"/>
  <c r="AC389" i="3"/>
  <c r="H390" i="3"/>
  <c r="AC390" i="3"/>
  <c r="H391" i="3"/>
  <c r="AC391" i="3"/>
  <c r="H392" i="3"/>
  <c r="AC392" i="3"/>
  <c r="G392" i="3"/>
  <c r="H393" i="3"/>
  <c r="AC393" i="3"/>
  <c r="G393" i="3" s="1"/>
  <c r="H394" i="3"/>
  <c r="AC394" i="3"/>
  <c r="G394" i="3" s="1"/>
  <c r="H395" i="3"/>
  <c r="AC395" i="3"/>
  <c r="H396" i="3"/>
  <c r="AC396" i="3"/>
  <c r="G396" i="3" s="1"/>
  <c r="H397" i="3"/>
  <c r="AC397" i="3"/>
  <c r="H398" i="3"/>
  <c r="AC398" i="3"/>
  <c r="H399" i="3"/>
  <c r="AC399" i="3"/>
  <c r="H400" i="3"/>
  <c r="AC400" i="3"/>
  <c r="G400" i="3"/>
  <c r="H401" i="3"/>
  <c r="AC401" i="3"/>
  <c r="G401" i="3" s="1"/>
  <c r="H402" i="3"/>
  <c r="AC402" i="3"/>
  <c r="G402" i="3" s="1"/>
  <c r="H403" i="3"/>
  <c r="AC403" i="3"/>
  <c r="H404" i="3"/>
  <c r="AC404" i="3"/>
  <c r="G404" i="3" s="1"/>
  <c r="H405" i="3"/>
  <c r="AC405" i="3"/>
  <c r="H406" i="3"/>
  <c r="AC406" i="3"/>
  <c r="H407" i="3"/>
  <c r="AC407" i="3"/>
  <c r="H408" i="3"/>
  <c r="AC408" i="3"/>
  <c r="G408" i="3"/>
  <c r="H409" i="3"/>
  <c r="AC409" i="3"/>
  <c r="G409" i="3" s="1"/>
  <c r="H410" i="3"/>
  <c r="AC410" i="3"/>
  <c r="G410" i="3" s="1"/>
  <c r="H411" i="3"/>
  <c r="AC411" i="3"/>
  <c r="H412" i="3"/>
  <c r="AC412" i="3"/>
  <c r="G412" i="3" s="1"/>
  <c r="H413" i="3"/>
  <c r="AC413" i="3"/>
  <c r="H414" i="3"/>
  <c r="AC414" i="3"/>
  <c r="H415" i="3"/>
  <c r="AC415" i="3"/>
  <c r="H416" i="3"/>
  <c r="AC416" i="3"/>
  <c r="G416" i="3"/>
  <c r="H417" i="3"/>
  <c r="AC417" i="3"/>
  <c r="G417" i="3" s="1"/>
  <c r="H418" i="3"/>
  <c r="AC418" i="3"/>
  <c r="G418" i="3" s="1"/>
  <c r="H419" i="3"/>
  <c r="AC419" i="3"/>
  <c r="H420" i="3"/>
  <c r="AC420" i="3"/>
  <c r="G420" i="3" s="1"/>
  <c r="H421" i="3"/>
  <c r="AC421" i="3"/>
  <c r="H422" i="3"/>
  <c r="AC422" i="3"/>
  <c r="H423" i="3"/>
  <c r="AC423" i="3"/>
  <c r="H424" i="3"/>
  <c r="AC424" i="3"/>
  <c r="G424" i="3"/>
  <c r="H425" i="3"/>
  <c r="AC425" i="3"/>
  <c r="G425" i="3" s="1"/>
  <c r="H426" i="3"/>
  <c r="AC426" i="3"/>
  <c r="G426" i="3" s="1"/>
  <c r="H427" i="3"/>
  <c r="AC427" i="3"/>
  <c r="H428" i="3"/>
  <c r="AC428" i="3"/>
  <c r="G428" i="3" s="1"/>
  <c r="H429" i="3"/>
  <c r="AC429" i="3"/>
  <c r="H430" i="3"/>
  <c r="AC430" i="3"/>
  <c r="H431" i="3"/>
  <c r="AC431" i="3"/>
  <c r="H432" i="3"/>
  <c r="AC432" i="3"/>
  <c r="G432" i="3"/>
  <c r="H433" i="3"/>
  <c r="AC433" i="3"/>
  <c r="G433" i="3" s="1"/>
  <c r="H434" i="3"/>
  <c r="AC434" i="3"/>
  <c r="G434" i="3" s="1"/>
  <c r="H435" i="3"/>
  <c r="AC435" i="3"/>
  <c r="H436" i="3"/>
  <c r="AC436" i="3"/>
  <c r="G436" i="3" s="1"/>
  <c r="H437" i="3"/>
  <c r="AC437" i="3"/>
  <c r="H438" i="3"/>
  <c r="AC438" i="3"/>
  <c r="H439" i="3"/>
  <c r="AC439" i="3"/>
  <c r="H440" i="3"/>
  <c r="AC440" i="3"/>
  <c r="G440" i="3"/>
  <c r="H441" i="3"/>
  <c r="AC441" i="3"/>
  <c r="G441" i="3" s="1"/>
  <c r="H442" i="3"/>
  <c r="AC442" i="3"/>
  <c r="G442" i="3" s="1"/>
  <c r="H443" i="3"/>
  <c r="AC443" i="3"/>
  <c r="H444" i="3"/>
  <c r="AC444" i="3"/>
  <c r="G444" i="3" s="1"/>
  <c r="H445" i="3"/>
  <c r="AC445" i="3"/>
  <c r="H446" i="3"/>
  <c r="AC446" i="3"/>
  <c r="H447" i="3"/>
  <c r="AC447" i="3"/>
  <c r="H448" i="3"/>
  <c r="AC448" i="3"/>
  <c r="G448" i="3"/>
  <c r="H449" i="3"/>
  <c r="AC449" i="3"/>
  <c r="G449" i="3" s="1"/>
  <c r="H450" i="3"/>
  <c r="AC450" i="3"/>
  <c r="G450" i="3" s="1"/>
  <c r="H451" i="3"/>
  <c r="AC451" i="3"/>
  <c r="H452" i="3"/>
  <c r="AC452" i="3"/>
  <c r="G452" i="3" s="1"/>
  <c r="H453" i="3"/>
  <c r="AC453" i="3"/>
  <c r="H454" i="3"/>
  <c r="AC454" i="3"/>
  <c r="H455" i="3"/>
  <c r="AC455" i="3"/>
  <c r="H456" i="3"/>
  <c r="AC456" i="3"/>
  <c r="G456" i="3"/>
  <c r="H457" i="3"/>
  <c r="AC457" i="3"/>
  <c r="G457" i="3" s="1"/>
  <c r="H458" i="3"/>
  <c r="AC458" i="3"/>
  <c r="G458" i="3" s="1"/>
  <c r="H459" i="3"/>
  <c r="AC459" i="3"/>
  <c r="H460" i="3"/>
  <c r="AC460" i="3"/>
  <c r="G460" i="3" s="1"/>
  <c r="H461" i="3"/>
  <c r="AC461" i="3"/>
  <c r="H462" i="3"/>
  <c r="AC462" i="3"/>
  <c r="H463" i="3"/>
  <c r="AC463" i="3"/>
  <c r="H464" i="3"/>
  <c r="AC464" i="3"/>
  <c r="G464" i="3"/>
  <c r="H465" i="3"/>
  <c r="AC465" i="3"/>
  <c r="G465" i="3" s="1"/>
  <c r="H466" i="3"/>
  <c r="AC466" i="3"/>
  <c r="G466" i="3" s="1"/>
  <c r="H467" i="3"/>
  <c r="AC467" i="3"/>
  <c r="H468" i="3"/>
  <c r="AC468" i="3"/>
  <c r="G468" i="3" s="1"/>
  <c r="H469" i="3"/>
  <c r="AC469" i="3"/>
  <c r="H470" i="3"/>
  <c r="AC470" i="3"/>
  <c r="H471" i="3"/>
  <c r="AC471" i="3"/>
  <c r="H472" i="3"/>
  <c r="AC472" i="3"/>
  <c r="G472" i="3"/>
  <c r="H473" i="3"/>
  <c r="AC473" i="3"/>
  <c r="G473" i="3" s="1"/>
  <c r="H474" i="3"/>
  <c r="AC474" i="3"/>
  <c r="G474" i="3" s="1"/>
  <c r="H475" i="3"/>
  <c r="AC475" i="3"/>
  <c r="H476" i="3"/>
  <c r="AC476" i="3"/>
  <c r="G476" i="3" s="1"/>
  <c r="H477" i="3"/>
  <c r="AC477" i="3"/>
  <c r="H478" i="3"/>
  <c r="AC478" i="3"/>
  <c r="H479" i="3"/>
  <c r="AC479" i="3"/>
  <c r="H480" i="3"/>
  <c r="AC480" i="3"/>
  <c r="G480" i="3"/>
  <c r="H481" i="3"/>
  <c r="AC481" i="3"/>
  <c r="G481" i="3" s="1"/>
  <c r="H482" i="3"/>
  <c r="AC482" i="3"/>
  <c r="G482" i="3" s="1"/>
  <c r="H483" i="3"/>
  <c r="AC483" i="3"/>
  <c r="H484" i="3"/>
  <c r="AC484" i="3"/>
  <c r="G484" i="3" s="1"/>
  <c r="H485" i="3"/>
  <c r="AC485" i="3"/>
  <c r="H486" i="3"/>
  <c r="AC486" i="3"/>
  <c r="H487" i="3"/>
  <c r="AC487" i="3"/>
  <c r="H488" i="3"/>
  <c r="AC488" i="3"/>
  <c r="G488" i="3"/>
  <c r="H489" i="3"/>
  <c r="AC489" i="3"/>
  <c r="G489" i="3" s="1"/>
  <c r="H490" i="3"/>
  <c r="AC490" i="3"/>
  <c r="G490" i="3" s="1"/>
  <c r="H491" i="3"/>
  <c r="AC491" i="3"/>
  <c r="H492" i="3"/>
  <c r="AC492" i="3"/>
  <c r="G492" i="3" s="1"/>
  <c r="H493" i="3"/>
  <c r="AC493" i="3"/>
  <c r="H494" i="3"/>
  <c r="AC494" i="3"/>
  <c r="H495" i="3"/>
  <c r="AC495" i="3"/>
  <c r="H496" i="3"/>
  <c r="AC496" i="3"/>
  <c r="G496" i="3"/>
  <c r="H497" i="3"/>
  <c r="AC497" i="3"/>
  <c r="G497" i="3" s="1"/>
  <c r="H498" i="3"/>
  <c r="AC498" i="3"/>
  <c r="G498" i="3" s="1"/>
  <c r="H499" i="3"/>
  <c r="AC499" i="3"/>
  <c r="H500" i="3"/>
  <c r="AC500" i="3"/>
  <c r="G500" i="3" s="1"/>
  <c r="H501" i="3"/>
  <c r="AC501" i="3"/>
  <c r="H502" i="3"/>
  <c r="AC502" i="3"/>
  <c r="H503" i="3"/>
  <c r="AC503" i="3"/>
  <c r="H504" i="3"/>
  <c r="AC504" i="3"/>
  <c r="G504" i="3"/>
  <c r="H505" i="3"/>
  <c r="AC505" i="3"/>
  <c r="G505" i="3" s="1"/>
  <c r="H506" i="3"/>
  <c r="AC506" i="3"/>
  <c r="G506" i="3" s="1"/>
  <c r="H507" i="3"/>
  <c r="AC507" i="3"/>
  <c r="H508" i="3"/>
  <c r="AC508" i="3"/>
  <c r="G508" i="3" s="1"/>
  <c r="H509" i="3"/>
  <c r="AC509" i="3"/>
  <c r="H510" i="3"/>
  <c r="AC510" i="3"/>
  <c r="H511" i="3"/>
  <c r="AC511" i="3"/>
  <c r="H512" i="3"/>
  <c r="AC512" i="3"/>
  <c r="G512" i="3"/>
  <c r="H513" i="3"/>
  <c r="AC513" i="3"/>
  <c r="G513" i="3" s="1"/>
  <c r="H514" i="3"/>
  <c r="AC514" i="3"/>
  <c r="G514" i="3" s="1"/>
  <c r="H515" i="3"/>
  <c r="AC515" i="3"/>
  <c r="H516" i="3"/>
  <c r="AC516" i="3"/>
  <c r="G516" i="3" s="1"/>
  <c r="H517" i="3"/>
  <c r="AC517" i="3"/>
  <c r="G517" i="3" s="1"/>
  <c r="H518" i="3"/>
  <c r="AC518" i="3"/>
  <c r="G518" i="3" s="1"/>
  <c r="H519" i="3"/>
  <c r="AC519" i="3"/>
  <c r="H520" i="3"/>
  <c r="AC520" i="3"/>
  <c r="G520" i="3" s="1"/>
  <c r="H521" i="3"/>
  <c r="AC521" i="3"/>
  <c r="H522" i="3"/>
  <c r="AC522" i="3"/>
  <c r="H523" i="3"/>
  <c r="AC523" i="3"/>
  <c r="H524" i="3"/>
  <c r="AC524" i="3"/>
  <c r="G524" i="3"/>
  <c r="H525" i="3"/>
  <c r="AC525" i="3"/>
  <c r="G525" i="3" s="1"/>
  <c r="H526" i="3"/>
  <c r="AC526" i="3"/>
  <c r="G526" i="3" s="1"/>
  <c r="H527" i="3"/>
  <c r="AC527" i="3"/>
  <c r="H528" i="3"/>
  <c r="AC528" i="3"/>
  <c r="G528" i="3" s="1"/>
  <c r="H529" i="3"/>
  <c r="AC529" i="3"/>
  <c r="H530" i="3"/>
  <c r="AC530" i="3"/>
  <c r="H531" i="3"/>
  <c r="AC531" i="3"/>
  <c r="H532" i="3"/>
  <c r="AC532" i="3"/>
  <c r="G532" i="3"/>
  <c r="H533" i="3"/>
  <c r="AC533" i="3"/>
  <c r="G533" i="3" s="1"/>
  <c r="H534" i="3"/>
  <c r="AC534" i="3"/>
  <c r="G534" i="3" s="1"/>
  <c r="H535" i="3"/>
  <c r="AC535" i="3"/>
  <c r="H536" i="3"/>
  <c r="AC536" i="3"/>
  <c r="G536" i="3" s="1"/>
  <c r="H537" i="3"/>
  <c r="AC537" i="3"/>
  <c r="H538" i="3"/>
  <c r="AC538" i="3"/>
  <c r="H539" i="3"/>
  <c r="AC539" i="3"/>
  <c r="H540" i="3"/>
  <c r="AC540" i="3"/>
  <c r="G540" i="3"/>
  <c r="H541" i="3"/>
  <c r="AC541" i="3"/>
  <c r="G541" i="3" s="1"/>
  <c r="H542" i="3"/>
  <c r="AC542" i="3"/>
  <c r="G542" i="3" s="1"/>
  <c r="H543" i="3"/>
  <c r="AC543" i="3"/>
  <c r="H544" i="3"/>
  <c r="AC544" i="3"/>
  <c r="G544" i="3" s="1"/>
  <c r="H545" i="3"/>
  <c r="AC545" i="3"/>
  <c r="H546" i="3"/>
  <c r="AC546" i="3"/>
  <c r="H547" i="3"/>
  <c r="AC547" i="3"/>
  <c r="H548" i="3"/>
  <c r="AC548" i="3"/>
  <c r="G548" i="3"/>
  <c r="H549" i="3"/>
  <c r="AC549" i="3"/>
  <c r="G549" i="3" s="1"/>
  <c r="H550" i="3"/>
  <c r="AC550" i="3"/>
  <c r="G550" i="3" s="1"/>
  <c r="H551" i="3"/>
  <c r="AC551" i="3"/>
  <c r="H552" i="3"/>
  <c r="AC552" i="3"/>
  <c r="G552" i="3" s="1"/>
  <c r="H553" i="3"/>
  <c r="AC553" i="3"/>
  <c r="H554" i="3"/>
  <c r="AC554" i="3"/>
  <c r="H555" i="3"/>
  <c r="AC555" i="3"/>
  <c r="H556" i="3"/>
  <c r="AC556" i="3"/>
  <c r="G556" i="3"/>
  <c r="H557" i="3"/>
  <c r="AC557" i="3"/>
  <c r="G557" i="3" s="1"/>
  <c r="H558" i="3"/>
  <c r="AC558" i="3"/>
  <c r="G558" i="3" s="1"/>
  <c r="H559" i="3"/>
  <c r="AC559" i="3"/>
  <c r="H560" i="3"/>
  <c r="AC560" i="3"/>
  <c r="G560" i="3" s="1"/>
  <c r="H561" i="3"/>
  <c r="AC561" i="3"/>
  <c r="H562" i="3"/>
  <c r="AC562" i="3"/>
  <c r="H563" i="3"/>
  <c r="AC563" i="3"/>
  <c r="H564" i="3"/>
  <c r="AC564" i="3"/>
  <c r="G564" i="3"/>
  <c r="H565" i="3"/>
  <c r="AC565" i="3"/>
  <c r="H566" i="3"/>
  <c r="AC566" i="3"/>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s="1"/>
  <c r="H577" i="3"/>
  <c r="AC577" i="3"/>
  <c r="H578" i="3"/>
  <c r="AC578" i="3"/>
  <c r="H579" i="3"/>
  <c r="AC579" i="3"/>
  <c r="H580" i="3"/>
  <c r="AC580" i="3"/>
  <c r="G580" i="3"/>
  <c r="H581" i="3"/>
  <c r="AC581" i="3"/>
  <c r="G581" i="3" s="1"/>
  <c r="H582" i="3"/>
  <c r="AC582" i="3"/>
  <c r="G582" i="3" s="1"/>
  <c r="H583" i="3"/>
  <c r="AC583" i="3"/>
  <c r="H584" i="3"/>
  <c r="AC584" i="3"/>
  <c r="G584" i="3" s="1"/>
  <c r="H585" i="3"/>
  <c r="AC585" i="3"/>
  <c r="H586" i="3"/>
  <c r="AC586" i="3"/>
  <c r="H587" i="3"/>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9" i="11" s="1"/>
  <c r="E21" i="6"/>
  <c r="E22" i="6"/>
  <c r="E23" i="6"/>
  <c r="E24" i="6"/>
  <c r="E25" i="6"/>
  <c r="E26" i="6"/>
  <c r="F15" i="78"/>
  <c r="F17" i="78"/>
  <c r="F18" i="78"/>
  <c r="F20" i="78"/>
  <c r="D3" i="4"/>
  <c r="C1" i="73" s="1"/>
  <c r="B22" i="1"/>
  <c r="E1" i="73" s="1"/>
  <c r="K1" i="73" s="1"/>
  <c r="F23" i="78"/>
  <c r="D23" i="78" s="1"/>
  <c r="F21" i="78"/>
  <c r="B43" i="1"/>
  <c r="B41" i="1" s="1"/>
  <c r="F15" i="15"/>
  <c r="F17" i="15"/>
  <c r="F18" i="15"/>
  <c r="F20" i="15"/>
  <c r="F23" i="15"/>
  <c r="D24" i="15" s="1"/>
  <c r="F21" i="15"/>
  <c r="B2" i="49"/>
  <c r="B11" i="49" s="1"/>
  <c r="E4" i="4" s="1"/>
  <c r="F33" i="15"/>
  <c r="L19" i="6"/>
  <c r="B52" i="1"/>
  <c r="I15" i="4"/>
  <c r="F6" i="1" s="1"/>
  <c r="M47" i="15"/>
  <c r="J50" i="15"/>
  <c r="F33" i="78"/>
  <c r="L20" i="6"/>
  <c r="M19" i="78"/>
  <c r="M47" i="78"/>
  <c r="J50" i="78"/>
  <c r="A6" i="70"/>
  <c r="A7" i="70"/>
  <c r="A8" i="70"/>
  <c r="A9" i="70"/>
  <c r="A10" i="70"/>
  <c r="E10" i="70" s="1"/>
  <c r="A11" i="70"/>
  <c r="A12" i="70"/>
  <c r="E12" i="70" s="1"/>
  <c r="A13" i="70"/>
  <c r="E9" i="70"/>
  <c r="E11" i="70"/>
  <c r="E13" i="70"/>
  <c r="R41" i="37"/>
  <c r="F8" i="37"/>
  <c r="AA8" i="37" s="1"/>
  <c r="C57" i="37"/>
  <c r="F9" i="37" s="1"/>
  <c r="AA9" i="37" s="1"/>
  <c r="D63" i="37"/>
  <c r="F29" i="6"/>
  <c r="G29" i="6"/>
  <c r="E29" i="6" s="1"/>
  <c r="K15" i="1" s="1"/>
  <c r="B64" i="37"/>
  <c r="F12" i="37" s="1"/>
  <c r="AA12" i="37" s="1"/>
  <c r="B66" i="37"/>
  <c r="F13" i="37" s="1"/>
  <c r="B68" i="37"/>
  <c r="F14" i="37" s="1"/>
  <c r="AA14" i="37" s="1"/>
  <c r="D71" i="37"/>
  <c r="D73" i="37"/>
  <c r="E73" i="37" s="1"/>
  <c r="F17" i="37" s="1"/>
  <c r="AA17" i="37" s="1"/>
  <c r="D75" i="37"/>
  <c r="E75" i="37" s="1"/>
  <c r="F19" i="37" s="1"/>
  <c r="AA19" i="37" s="1"/>
  <c r="F21" i="37"/>
  <c r="AA21" i="37" s="1"/>
  <c r="D79" i="37"/>
  <c r="F23" i="37" s="1"/>
  <c r="AA23" i="37" s="1"/>
  <c r="B80" i="37"/>
  <c r="B82" i="37"/>
  <c r="B84" i="37"/>
  <c r="F27" i="37" s="1"/>
  <c r="B86" i="37"/>
  <c r="F28" i="37" s="1"/>
  <c r="AA28" i="37" s="1"/>
  <c r="D89" i="37"/>
  <c r="E89" i="37" s="1"/>
  <c r="F89" i="37" s="1"/>
  <c r="G89" i="37" s="1"/>
  <c r="H89" i="37" s="1"/>
  <c r="I89" i="37" s="1"/>
  <c r="J89" i="37" s="1"/>
  <c r="K89" i="37" s="1"/>
  <c r="L89" i="37" s="1"/>
  <c r="M89" i="37" s="1"/>
  <c r="D94" i="37"/>
  <c r="F31" i="37"/>
  <c r="AA31" i="37" s="1"/>
  <c r="D96" i="37"/>
  <c r="E96" i="37" s="1"/>
  <c r="F96" i="37" s="1"/>
  <c r="F32" i="37" s="1"/>
  <c r="AA32" i="37" s="1"/>
  <c r="D99" i="37"/>
  <c r="E99" i="37" s="1"/>
  <c r="F99" i="37" s="1"/>
  <c r="G99" i="37" s="1"/>
  <c r="H99" i="37" s="1"/>
  <c r="I99" i="37" s="1"/>
  <c r="J99" i="37" s="1"/>
  <c r="K99" i="37" s="1"/>
  <c r="L99" i="37" s="1"/>
  <c r="M99" i="37" s="1"/>
  <c r="D101" i="37"/>
  <c r="D103" i="37"/>
  <c r="E103" i="37" s="1"/>
  <c r="D105" i="37"/>
  <c r="E105" i="37" s="1"/>
  <c r="F105" i="37" s="1"/>
  <c r="D107" i="37"/>
  <c r="F37" i="37" s="1"/>
  <c r="AA37" i="37" s="1"/>
  <c r="B108" i="37"/>
  <c r="B110" i="37"/>
  <c r="B112" i="37"/>
  <c r="F40" i="37"/>
  <c r="AA40" i="37" s="1"/>
  <c r="T41" i="37"/>
  <c r="H8" i="37"/>
  <c r="AB8" i="37" s="1"/>
  <c r="H9" i="37"/>
  <c r="AB9" i="37" s="1"/>
  <c r="H13" i="37"/>
  <c r="AB13" i="37" s="1"/>
  <c r="H17" i="37"/>
  <c r="AB17" i="37" s="1"/>
  <c r="H19" i="37"/>
  <c r="AB19" i="37" s="1"/>
  <c r="H21" i="37"/>
  <c r="H23" i="37"/>
  <c r="AB23" i="37" s="1"/>
  <c r="H25" i="37"/>
  <c r="AB25" i="37" s="1"/>
  <c r="H28" i="37"/>
  <c r="AB28" i="37" s="1"/>
  <c r="H31" i="37"/>
  <c r="AB31" i="37" s="1"/>
  <c r="H32" i="37"/>
  <c r="AB32" i="37" s="1"/>
  <c r="H34" i="37"/>
  <c r="AB34" i="37" s="1"/>
  <c r="H37" i="37"/>
  <c r="AB37" i="37" s="1"/>
  <c r="H38" i="37"/>
  <c r="AB38" i="37" s="1"/>
  <c r="H40" i="37"/>
  <c r="AB40" i="37" s="1"/>
  <c r="V41" i="37"/>
  <c r="J8" i="37"/>
  <c r="AC8" i="37" s="1"/>
  <c r="J9" i="37"/>
  <c r="AC9" i="37" s="1"/>
  <c r="E63" i="37"/>
  <c r="J21" i="37"/>
  <c r="AC21" i="37"/>
  <c r="J31" i="37"/>
  <c r="AC31" i="37" s="1"/>
  <c r="J32" i="37"/>
  <c r="AC32" i="37" s="1"/>
  <c r="I33" i="37"/>
  <c r="J35" i="37"/>
  <c r="AC35" i="37" s="1"/>
  <c r="J39" i="37"/>
  <c r="AC39" i="37" s="1"/>
  <c r="J40" i="37"/>
  <c r="AC40" i="37" s="1"/>
  <c r="C24" i="9"/>
  <c r="E109" i="9"/>
  <c r="H105" i="9"/>
  <c r="D11" i="53" s="1"/>
  <c r="B27" i="72" s="1"/>
  <c r="H106" i="9"/>
  <c r="S2" i="4"/>
  <c r="C11" i="4"/>
  <c r="A8" i="1"/>
  <c r="D7" i="1"/>
  <c r="K59" i="78"/>
  <c r="P74" i="78" s="1"/>
  <c r="Q72" i="78"/>
  <c r="F61" i="78"/>
  <c r="Q59" i="78"/>
  <c r="B24" i="1"/>
  <c r="F34" i="11" s="1"/>
  <c r="F59" i="78"/>
  <c r="Q58" i="78"/>
  <c r="Q51" i="78"/>
  <c r="D46" i="78"/>
  <c r="F31" i="78"/>
  <c r="D24" i="78"/>
  <c r="D22" i="78"/>
  <c r="M17" i="78"/>
  <c r="C6" i="37"/>
  <c r="B7" i="4"/>
  <c r="A9" i="1"/>
  <c r="K9" i="1" s="1"/>
  <c r="M9" i="1" s="1"/>
  <c r="A10" i="1"/>
  <c r="K10" i="1" s="1"/>
  <c r="M10" i="1" s="1"/>
  <c r="A11" i="1"/>
  <c r="K11" i="1" s="1"/>
  <c r="M11" i="1" s="1"/>
  <c r="A12" i="1"/>
  <c r="K12" i="1" s="1"/>
  <c r="M12" i="1" s="1"/>
  <c r="A13" i="1"/>
  <c r="K13" i="1" s="1"/>
  <c r="M13" i="1" s="1"/>
  <c r="N6" i="71"/>
  <c r="N5" i="71"/>
  <c r="N7" i="71"/>
  <c r="N8" i="71"/>
  <c r="N9" i="71"/>
  <c r="N10" i="71"/>
  <c r="N11" i="71"/>
  <c r="N12" i="71"/>
  <c r="N13" i="71"/>
  <c r="N14" i="71"/>
  <c r="N15" i="71"/>
  <c r="N16" i="71"/>
  <c r="N17" i="71"/>
  <c r="N18" i="71"/>
  <c r="N19" i="71"/>
  <c r="N20" i="71"/>
  <c r="N21" i="71"/>
  <c r="X20" i="71" s="1"/>
  <c r="N22" i="71"/>
  <c r="AH5" i="71"/>
  <c r="AG5" i="71"/>
  <c r="AE5" i="71"/>
  <c r="AF5" i="71" s="1"/>
  <c r="AD5" i="71"/>
  <c r="Q6" i="71"/>
  <c r="Q5" i="71"/>
  <c r="Q7" i="71"/>
  <c r="Q8" i="71"/>
  <c r="Q9" i="71"/>
  <c r="Q10" i="71"/>
  <c r="Q11" i="71"/>
  <c r="AB11" i="71" s="1"/>
  <c r="Q12" i="71"/>
  <c r="Q13" i="71"/>
  <c r="Q14" i="71"/>
  <c r="Q15" i="71"/>
  <c r="Q16" i="71"/>
  <c r="Q17" i="71"/>
  <c r="Q18" i="71"/>
  <c r="Q19" i="71"/>
  <c r="Q20" i="71"/>
  <c r="Q21" i="71"/>
  <c r="AB20" i="71" s="1"/>
  <c r="Q22" i="71"/>
  <c r="P6" i="71"/>
  <c r="AA6" i="71" s="1"/>
  <c r="P5" i="71"/>
  <c r="P7" i="71"/>
  <c r="E7" i="71" s="1"/>
  <c r="P8" i="71"/>
  <c r="P9" i="71"/>
  <c r="P10" i="71"/>
  <c r="P11" i="71"/>
  <c r="P12" i="71"/>
  <c r="P13" i="71"/>
  <c r="P14" i="71"/>
  <c r="P15" i="71"/>
  <c r="P16" i="71"/>
  <c r="P17" i="71"/>
  <c r="AA16" i="71" s="1"/>
  <c r="P18" i="71"/>
  <c r="P19" i="71"/>
  <c r="P20" i="71"/>
  <c r="P21" i="71"/>
  <c r="AA21" i="71" s="1"/>
  <c r="P22" i="71"/>
  <c r="AA5" i="71"/>
  <c r="O6" i="71"/>
  <c r="O5" i="71"/>
  <c r="O7" i="71"/>
  <c r="O8" i="71"/>
  <c r="O9" i="71"/>
  <c r="O10" i="71"/>
  <c r="Y9" i="71" s="1"/>
  <c r="Z9" i="71" s="1"/>
  <c r="O11" i="71"/>
  <c r="O12" i="71"/>
  <c r="O13" i="71"/>
  <c r="O14" i="71"/>
  <c r="O15" i="71"/>
  <c r="O16" i="71"/>
  <c r="O17" i="71"/>
  <c r="O18" i="71"/>
  <c r="O19" i="71"/>
  <c r="O20" i="71"/>
  <c r="O21" i="71"/>
  <c r="O22" i="71"/>
  <c r="Y21" i="71" s="1"/>
  <c r="Z21" i="71" s="1"/>
  <c r="C7" i="71"/>
  <c r="D8" i="71"/>
  <c r="C11" i="71"/>
  <c r="D12" i="71"/>
  <c r="B13" i="71"/>
  <c r="E13" i="71"/>
  <c r="F13" i="71"/>
  <c r="E14" i="71"/>
  <c r="E15" i="71" s="1"/>
  <c r="U15" i="71" s="1"/>
  <c r="D16" i="71"/>
  <c r="B17" i="71"/>
  <c r="B18" i="71" s="1"/>
  <c r="B19" i="71" s="1"/>
  <c r="S19" i="71" s="1"/>
  <c r="E17" i="71"/>
  <c r="F17" i="71"/>
  <c r="F18" i="71" s="1"/>
  <c r="F19" i="71" s="1"/>
  <c r="V19" i="71" s="1"/>
  <c r="D20" i="71"/>
  <c r="B21" i="71"/>
  <c r="E21" i="71"/>
  <c r="F21" i="71"/>
  <c r="J20" i="43"/>
  <c r="G2" i="43"/>
  <c r="I17" i="43" s="1"/>
  <c r="I2" i="43"/>
  <c r="M5" i="43" s="1"/>
  <c r="D5" i="43"/>
  <c r="M47" i="67"/>
  <c r="J53" i="67" s="1"/>
  <c r="F1" i="67" s="1"/>
  <c r="H33" i="43"/>
  <c r="AH6" i="71"/>
  <c r="AG6" i="71"/>
  <c r="AE6" i="71"/>
  <c r="AF6" i="71" s="1"/>
  <c r="AD6" i="71"/>
  <c r="L3" i="71"/>
  <c r="K3" i="71"/>
  <c r="AG3" i="71" s="1"/>
  <c r="I3" i="71"/>
  <c r="J3" i="71"/>
  <c r="AE3" i="71" s="1"/>
  <c r="AF3" i="71" s="1"/>
  <c r="AD7" i="71"/>
  <c r="AG7" i="71"/>
  <c r="AH7" i="71"/>
  <c r="AE7" i="71"/>
  <c r="AF7" i="71" s="1"/>
  <c r="Y7" i="71"/>
  <c r="Z7" i="71" s="1"/>
  <c r="A2" i="53"/>
  <c r="B19" i="72" s="1"/>
  <c r="K59" i="67"/>
  <c r="K59" i="15"/>
  <c r="P74" i="15" s="1"/>
  <c r="D116" i="39"/>
  <c r="E116" i="39"/>
  <c r="F116" i="39"/>
  <c r="G116" i="39"/>
  <c r="H116" i="39"/>
  <c r="I116" i="39"/>
  <c r="J116" i="39"/>
  <c r="K116" i="39"/>
  <c r="L116" i="39"/>
  <c r="M116" i="39"/>
  <c r="C116" i="39"/>
  <c r="A21" i="62"/>
  <c r="B67" i="72" s="1"/>
  <c r="A20" i="62"/>
  <c r="B66" i="72" s="1"/>
  <c r="A22" i="51"/>
  <c r="A21" i="51"/>
  <c r="A20" i="51"/>
  <c r="L20" i="4"/>
  <c r="L21" i="4"/>
  <c r="L22" i="4"/>
  <c r="A14" i="62"/>
  <c r="A13" i="62"/>
  <c r="B59" i="72" s="1"/>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I10" i="43"/>
  <c r="AB10" i="43"/>
  <c r="AJ10" i="43"/>
  <c r="K49" i="9"/>
  <c r="E107" i="9"/>
  <c r="A122" i="9" s="1"/>
  <c r="A8" i="52" s="1"/>
  <c r="E111" i="9"/>
  <c r="A126" i="9"/>
  <c r="A12" i="52" s="1"/>
  <c r="B56" i="72" s="1"/>
  <c r="A124" i="9"/>
  <c r="B44" i="72"/>
  <c r="B42" i="72"/>
  <c r="B69" i="72"/>
  <c r="B68" i="72"/>
  <c r="B63" i="72"/>
  <c r="B62" i="72"/>
  <c r="B16" i="72"/>
  <c r="B60" i="72"/>
  <c r="B58" i="72"/>
  <c r="B10" i="72"/>
  <c r="C53" i="10"/>
  <c r="B51" i="10"/>
  <c r="A18" i="51"/>
  <c r="B13" i="72" s="1"/>
  <c r="B49" i="48"/>
  <c r="B5" i="72" s="1"/>
  <c r="I19" i="43"/>
  <c r="D72" i="71"/>
  <c r="F71" i="71"/>
  <c r="F70" i="71" s="1"/>
  <c r="F69" i="71" s="1"/>
  <c r="E71" i="71"/>
  <c r="E70" i="71" s="1"/>
  <c r="E69" i="71" s="1"/>
  <c r="C71" i="7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T51" i="71" s="1"/>
  <c r="B51" i="71"/>
  <c r="B50"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X22" i="71"/>
  <c r="Y15" i="71"/>
  <c r="Z15" i="71" s="1"/>
  <c r="X16" i="71"/>
  <c r="AA13" i="71"/>
  <c r="X17" i="71"/>
  <c r="X21" i="71"/>
  <c r="X9" i="71"/>
  <c r="U51" i="71"/>
  <c r="O51" i="71"/>
  <c r="C50" i="71"/>
  <c r="D55" i="71"/>
  <c r="C58" i="71"/>
  <c r="D58" i="71" s="1"/>
  <c r="C62" i="71"/>
  <c r="D62" i="71" s="1"/>
  <c r="C66" i="71"/>
  <c r="AB3" i="71"/>
  <c r="AA10" i="71"/>
  <c r="C57" i="71"/>
  <c r="D57" i="71" s="1"/>
  <c r="O27" i="6"/>
  <c r="N27" i="6"/>
  <c r="P20" i="6"/>
  <c r="P21" i="6"/>
  <c r="P22" i="6"/>
  <c r="P23" i="6"/>
  <c r="P24" i="6"/>
  <c r="P25" i="6"/>
  <c r="P26" i="6"/>
  <c r="P19" i="6"/>
  <c r="AP8" i="1"/>
  <c r="AP9" i="1"/>
  <c r="AP10" i="1"/>
  <c r="AP11" i="1"/>
  <c r="AP12" i="1"/>
  <c r="AP13" i="1"/>
  <c r="L21" i="6"/>
  <c r="L22" i="6"/>
  <c r="L23" i="6"/>
  <c r="L24" i="6"/>
  <c r="L25" i="6"/>
  <c r="L26" i="6"/>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21" i="34"/>
  <c r="H25" i="40"/>
  <c r="AB25" i="40" s="1"/>
  <c r="J25" i="40"/>
  <c r="AC25" i="40" s="1"/>
  <c r="H29" i="39"/>
  <c r="AB29" i="39" s="1"/>
  <c r="J29" i="39"/>
  <c r="AC29" i="39" s="1"/>
  <c r="J18" i="36"/>
  <c r="F68" i="35"/>
  <c r="G68" i="35" s="1"/>
  <c r="H18" i="35"/>
  <c r="S18" i="35"/>
  <c r="J18" i="35"/>
  <c r="W18" i="35" s="1"/>
  <c r="F84" i="34"/>
  <c r="G84" i="34" s="1"/>
  <c r="H21" i="34"/>
  <c r="H21" i="33"/>
  <c r="U21" i="33" s="1"/>
  <c r="F21" i="33"/>
  <c r="S21" i="33" s="1"/>
  <c r="E83" i="21"/>
  <c r="F83" i="21" s="1"/>
  <c r="G83" i="21" s="1"/>
  <c r="S21" i="21"/>
  <c r="H1" i="69"/>
  <c r="U29" i="39"/>
  <c r="AC18" i="36"/>
  <c r="W18" i="36"/>
  <c r="S21" i="37"/>
  <c r="AB21" i="34"/>
  <c r="U21" i="34"/>
  <c r="AA21" i="33"/>
  <c r="AB18" i="35"/>
  <c r="U18" i="35"/>
  <c r="AC18" i="35"/>
  <c r="J21" i="34"/>
  <c r="AC21" i="34" s="1"/>
  <c r="J21" i="33"/>
  <c r="H21" i="21"/>
  <c r="AB21" i="21" s="1"/>
  <c r="F38" i="69"/>
  <c r="E37" i="69"/>
  <c r="F36" i="69"/>
  <c r="F35" i="69"/>
  <c r="F21" i="69"/>
  <c r="C21" i="69" s="1"/>
  <c r="F20" i="69"/>
  <c r="E10" i="69"/>
  <c r="E9" i="69"/>
  <c r="F7" i="69"/>
  <c r="C7" i="69" s="1"/>
  <c r="W21" i="37"/>
  <c r="J21" i="21"/>
  <c r="F38" i="68"/>
  <c r="E37" i="68"/>
  <c r="F36" i="68"/>
  <c r="F35" i="68"/>
  <c r="F21" i="68"/>
  <c r="C21" i="68" s="1"/>
  <c r="F20" i="68"/>
  <c r="E10" i="68"/>
  <c r="E9" i="68"/>
  <c r="F7" i="68"/>
  <c r="Q72" i="67"/>
  <c r="Q59" i="67"/>
  <c r="Q58" i="67"/>
  <c r="Q51" i="67"/>
  <c r="J50" i="67"/>
  <c r="D46" i="67"/>
  <c r="F33" i="67"/>
  <c r="F61" i="67" s="1"/>
  <c r="F23" i="67"/>
  <c r="D24" i="67" s="1"/>
  <c r="F21" i="67"/>
  <c r="F20" i="67"/>
  <c r="M19" i="67"/>
  <c r="F18" i="67"/>
  <c r="F17" i="67"/>
  <c r="F15" i="67"/>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13" i="53"/>
  <c r="B29" i="72" s="1"/>
  <c r="R35" i="4"/>
  <c r="Q35" i="4"/>
  <c r="P35" i="4"/>
  <c r="O35" i="4"/>
  <c r="N35" i="4"/>
  <c r="M35" i="4"/>
  <c r="L35" i="4"/>
  <c r="K34" i="4"/>
  <c r="T34" i="4" s="1"/>
  <c r="G13" i="1"/>
  <c r="H15" i="4"/>
  <c r="G15" i="4"/>
  <c r="E15" i="4"/>
  <c r="D15" i="4"/>
  <c r="F19" i="4"/>
  <c r="F2" i="52"/>
  <c r="B50" i="72" s="1"/>
  <c r="D2" i="52"/>
  <c r="B46" i="72" s="1"/>
  <c r="B8" i="53"/>
  <c r="B23" i="72" s="1"/>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O8" i="1"/>
  <c r="P8" i="1"/>
  <c r="O13" i="1"/>
  <c r="P13" i="1"/>
  <c r="BC10" i="3"/>
  <c r="BD10" i="3"/>
  <c r="BB10" i="3"/>
  <c r="F35" i="11"/>
  <c r="F36" i="11"/>
  <c r="F38" i="11"/>
  <c r="E37" i="11"/>
  <c r="F20" i="11"/>
  <c r="F21" i="11"/>
  <c r="C21" i="11" s="1"/>
  <c r="F7" i="11"/>
  <c r="C7" i="11" s="1"/>
  <c r="F12" i="12"/>
  <c r="F13" i="12"/>
  <c r="F15" i="12"/>
  <c r="E14" i="12"/>
  <c r="E19" i="12"/>
  <c r="E20" i="12"/>
  <c r="E17" i="12"/>
  <c r="F22" i="12"/>
  <c r="F23" i="12"/>
  <c r="F24" i="12"/>
  <c r="I55" i="9"/>
  <c r="F55" i="9" s="1"/>
  <c r="O53" i="9" s="1"/>
  <c r="D89" i="9"/>
  <c r="C89" i="9" s="1"/>
  <c r="C87" i="9" s="1"/>
  <c r="J55" i="9"/>
  <c r="B31" i="1"/>
  <c r="M20" i="15"/>
  <c r="T4" i="1"/>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J30" i="36"/>
  <c r="H30" i="36"/>
  <c r="F30" i="36"/>
  <c r="AA30" i="36" s="1"/>
  <c r="C26" i="35"/>
  <c r="C79" i="35" s="1"/>
  <c r="J31" i="35"/>
  <c r="W31" i="35" s="1"/>
  <c r="H31" i="35"/>
  <c r="F31" i="35"/>
  <c r="S31" i="35" s="1"/>
  <c r="D87" i="35"/>
  <c r="E87" i="35" s="1"/>
  <c r="F87" i="35" s="1"/>
  <c r="G87" i="35" s="1"/>
  <c r="H87" i="35" s="1"/>
  <c r="I87" i="35" s="1"/>
  <c r="J87" i="35" s="1"/>
  <c r="K87" i="35" s="1"/>
  <c r="L87" i="35" s="1"/>
  <c r="M87" i="35"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F14" i="39" s="1"/>
  <c r="AA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F97" i="37"/>
  <c r="E97" i="37"/>
  <c r="D97" i="37"/>
  <c r="C97" i="37"/>
  <c r="M90" i="37"/>
  <c r="L90" i="37"/>
  <c r="K90" i="37"/>
  <c r="J90" i="37"/>
  <c r="I90" i="37"/>
  <c r="H90" i="37"/>
  <c r="G90" i="37"/>
  <c r="F90" i="37"/>
  <c r="E90" i="37"/>
  <c r="D90" i="37"/>
  <c r="C90" i="37"/>
  <c r="E79" i="37"/>
  <c r="F73" i="37"/>
  <c r="G73" i="37" s="1"/>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AB34" i="35" s="1"/>
  <c r="B77" i="35"/>
  <c r="B75" i="35"/>
  <c r="B73" i="35"/>
  <c r="B57" i="35"/>
  <c r="B61" i="35"/>
  <c r="B59" i="35"/>
  <c r="B131" i="34"/>
  <c r="F47" i="34" s="1"/>
  <c r="B129" i="34"/>
  <c r="B127" i="34"/>
  <c r="B99" i="34"/>
  <c r="B97" i="34"/>
  <c r="H31" i="34" s="1"/>
  <c r="B95" i="34"/>
  <c r="B93" i="34"/>
  <c r="B75" i="34"/>
  <c r="B73" i="34"/>
  <c r="H13" i="34" s="1"/>
  <c r="B71" i="34"/>
  <c r="B130" i="33"/>
  <c r="J46" i="33" s="1"/>
  <c r="W46" i="33" s="1"/>
  <c r="B128" i="33"/>
  <c r="B126" i="33"/>
  <c r="J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U31" i="21" s="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H38" i="21"/>
  <c r="U38" i="21" s="1"/>
  <c r="H43" i="21"/>
  <c r="AB43" i="21" s="1"/>
  <c r="F38" i="21"/>
  <c r="S38" i="21" s="1"/>
  <c r="F36" i="21"/>
  <c r="S36" i="21" s="1"/>
  <c r="F39" i="21"/>
  <c r="AA39" i="21" s="1"/>
  <c r="J40" i="21"/>
  <c r="H35" i="21"/>
  <c r="AB35" i="21" s="1"/>
  <c r="J8" i="21"/>
  <c r="H8" i="21"/>
  <c r="U8" i="21" s="1"/>
  <c r="H10" i="2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35" i="39"/>
  <c r="F35" i="39"/>
  <c r="AA35" i="39" s="1"/>
  <c r="W40" i="39"/>
  <c r="W31" i="37"/>
  <c r="F29" i="36"/>
  <c r="AA29" i="36" s="1"/>
  <c r="F16" i="36"/>
  <c r="AA16" i="36" s="1"/>
  <c r="W28" i="36"/>
  <c r="S30" i="36"/>
  <c r="AA31" i="36"/>
  <c r="AC31" i="36"/>
  <c r="W31" i="36"/>
  <c r="J33" i="36"/>
  <c r="W33" i="36" s="1"/>
  <c r="H22" i="35"/>
  <c r="W28" i="35"/>
  <c r="W34" i="35"/>
  <c r="W22" i="35"/>
  <c r="U34" i="35"/>
  <c r="F36" i="34"/>
  <c r="J35" i="34"/>
  <c r="W35" i="34" s="1"/>
  <c r="H39" i="33"/>
  <c r="AB39" i="33" s="1"/>
  <c r="F26" i="33"/>
  <c r="W33" i="33"/>
  <c r="S27" i="35"/>
  <c r="F11" i="40"/>
  <c r="AA11" i="40" s="1"/>
  <c r="H11" i="40"/>
  <c r="AA9" i="40"/>
  <c r="F42" i="39"/>
  <c r="AA42" i="39" s="1"/>
  <c r="F41" i="39"/>
  <c r="S41" i="39" s="1"/>
  <c r="H40" i="39"/>
  <c r="AB40" i="39" s="1"/>
  <c r="H39" i="39"/>
  <c r="S38" i="39"/>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J21" i="40"/>
  <c r="W21" i="40" s="1"/>
  <c r="H42" i="39"/>
  <c r="AB42" i="39" s="1"/>
  <c r="J34" i="39"/>
  <c r="AC34" i="39" s="1"/>
  <c r="F101" i="39"/>
  <c r="G101" i="39" s="1"/>
  <c r="H27" i="39"/>
  <c r="U27" i="39" s="1"/>
  <c r="J19" i="39"/>
  <c r="AC19" i="39" s="1"/>
  <c r="J17" i="39"/>
  <c r="J27" i="39"/>
  <c r="F27" i="39"/>
  <c r="S27" i="39" s="1"/>
  <c r="F11" i="21"/>
  <c r="S11" i="21" s="1"/>
  <c r="S40" i="21"/>
  <c r="U34" i="21"/>
  <c r="S34" i="21"/>
  <c r="C25" i="39"/>
  <c r="C27" i="39"/>
  <c r="C21" i="39"/>
  <c r="H11" i="39"/>
  <c r="U11" i="39" s="1"/>
  <c r="C15" i="39"/>
  <c r="H32" i="33"/>
  <c r="H11" i="21"/>
  <c r="J11" i="21"/>
  <c r="H37" i="40"/>
  <c r="H36" i="40"/>
  <c r="F35" i="40"/>
  <c r="AA35" i="40" s="1"/>
  <c r="H23" i="40"/>
  <c r="H17" i="40"/>
  <c r="J15" i="40"/>
  <c r="W15" i="40" s="1"/>
  <c r="J11" i="40"/>
  <c r="W11" i="40" s="1"/>
  <c r="AB12" i="35"/>
  <c r="S44" i="39"/>
  <c r="J34" i="36"/>
  <c r="W34" i="36" s="1"/>
  <c r="J30" i="35"/>
  <c r="H30" i="35"/>
  <c r="F22" i="35"/>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8" i="36"/>
  <c r="U8" i="35"/>
  <c r="F14" i="35"/>
  <c r="J32" i="35"/>
  <c r="AC32" i="35" s="1"/>
  <c r="J16" i="35"/>
  <c r="AC16" i="35" s="1"/>
  <c r="H16" i="35"/>
  <c r="U16" i="35" s="1"/>
  <c r="F16" i="35"/>
  <c r="S16" i="35" s="1"/>
  <c r="H14" i="35"/>
  <c r="AB14" i="35" s="1"/>
  <c r="J29" i="35"/>
  <c r="H33" i="35"/>
  <c r="J20" i="35"/>
  <c r="W20" i="35" s="1"/>
  <c r="E101" i="37"/>
  <c r="F101" i="37"/>
  <c r="G101" i="37" s="1"/>
  <c r="H101" i="37" s="1"/>
  <c r="I101" i="37" s="1"/>
  <c r="J101" i="37" s="1"/>
  <c r="K101" i="37" s="1"/>
  <c r="L101" i="37" s="1"/>
  <c r="M101" i="37" s="1"/>
  <c r="U42" i="34"/>
  <c r="H40" i="34"/>
  <c r="E114" i="34"/>
  <c r="H36" i="34"/>
  <c r="U36" i="34" s="1"/>
  <c r="F37" i="34"/>
  <c r="F28" i="34"/>
  <c r="AA28" i="34" s="1"/>
  <c r="F25" i="34"/>
  <c r="H23" i="34"/>
  <c r="J23" i="34"/>
  <c r="AC23" i="34" s="1"/>
  <c r="F19" i="34"/>
  <c r="H17" i="34"/>
  <c r="U17" i="34" s="1"/>
  <c r="F15" i="34"/>
  <c r="AA15" i="34" s="1"/>
  <c r="J15" i="34"/>
  <c r="W15" i="34" s="1"/>
  <c r="H15" i="34"/>
  <c r="W8" i="34"/>
  <c r="J28" i="34"/>
  <c r="W28" i="34" s="1"/>
  <c r="F41" i="33"/>
  <c r="E113" i="33"/>
  <c r="F32" i="33"/>
  <c r="AA32" i="33" s="1"/>
  <c r="J19" i="33"/>
  <c r="AC19" i="33" s="1"/>
  <c r="J15" i="33"/>
  <c r="AC15" i="33" s="1"/>
  <c r="F11" i="33"/>
  <c r="AA11" i="33" s="1"/>
  <c r="U40" i="33"/>
  <c r="W40" i="33"/>
  <c r="F37" i="40"/>
  <c r="F36" i="40"/>
  <c r="AA36" i="40" s="1"/>
  <c r="H28" i="40"/>
  <c r="U28" i="40" s="1"/>
  <c r="F23" i="40"/>
  <c r="AA23" i="40" s="1"/>
  <c r="F17" i="40"/>
  <c r="J17" i="40"/>
  <c r="W17" i="40" s="1"/>
  <c r="F15" i="40"/>
  <c r="S15" i="40" s="1"/>
  <c r="H15" i="40"/>
  <c r="AB15" i="40" s="1"/>
  <c r="AC11" i="40"/>
  <c r="F29" i="35"/>
  <c r="H29" i="35"/>
  <c r="AB29" i="35" s="1"/>
  <c r="U34" i="37"/>
  <c r="J43" i="34"/>
  <c r="AB42" i="34"/>
  <c r="J40" i="34"/>
  <c r="F114" i="34"/>
  <c r="G114" i="34" s="1"/>
  <c r="H114" i="34" s="1"/>
  <c r="I114" i="34" s="1"/>
  <c r="J114" i="34" s="1"/>
  <c r="K114" i="34" s="1"/>
  <c r="L114" i="34" s="1"/>
  <c r="M114" i="34" s="1"/>
  <c r="H38" i="34"/>
  <c r="AB38" i="34"/>
  <c r="J36" i="34"/>
  <c r="W36" i="34"/>
  <c r="H37" i="34"/>
  <c r="U37" i="34"/>
  <c r="H25" i="34"/>
  <c r="AB25" i="34"/>
  <c r="J25" i="34"/>
  <c r="AC25" i="34"/>
  <c r="F23" i="34"/>
  <c r="AA23" i="34" s="1"/>
  <c r="J19" i="34"/>
  <c r="AC19" i="34" s="1"/>
  <c r="F17" i="34"/>
  <c r="J17" i="34"/>
  <c r="W17" i="34" s="1"/>
  <c r="AB17" i="34"/>
  <c r="S15" i="34"/>
  <c r="F113" i="33"/>
  <c r="G113" i="33" s="1"/>
  <c r="H113" i="33" s="1"/>
  <c r="I113" i="33" s="1"/>
  <c r="J113" i="33" s="1"/>
  <c r="K113" i="33" s="1"/>
  <c r="L113" i="33" s="1"/>
  <c r="M113" i="33" s="1"/>
  <c r="H37" i="33"/>
  <c r="AB37" i="33" s="1"/>
  <c r="H15" i="33"/>
  <c r="H11" i="33"/>
  <c r="AB11" i="33" s="1"/>
  <c r="F28" i="40"/>
  <c r="AA28" i="40" s="1"/>
  <c r="AA42" i="34"/>
  <c r="S42" i="34"/>
  <c r="AC38" i="34"/>
  <c r="AA38" i="34"/>
  <c r="J37" i="34"/>
  <c r="AC37" i="34" s="1"/>
  <c r="J11" i="33"/>
  <c r="W11" i="33" s="1"/>
  <c r="S28" i="34"/>
  <c r="J42" i="21"/>
  <c r="AC42" i="21" s="1"/>
  <c r="H42" i="21"/>
  <c r="U42" i="21" s="1"/>
  <c r="J44" i="34"/>
  <c r="W44" i="34" s="1"/>
  <c r="F44" i="34"/>
  <c r="J10" i="35"/>
  <c r="J14" i="21"/>
  <c r="W14" i="21" s="1"/>
  <c r="F14" i="21"/>
  <c r="S14" i="21" s="1"/>
  <c r="H14" i="21"/>
  <c r="U14" i="21" s="1"/>
  <c r="H28" i="21"/>
  <c r="F28" i="21"/>
  <c r="AA28" i="21" s="1"/>
  <c r="J28" i="21"/>
  <c r="W28" i="21" s="1"/>
  <c r="H30" i="21"/>
  <c r="U30" i="21" s="1"/>
  <c r="F30" i="21"/>
  <c r="S30" i="21" s="1"/>
  <c r="J30" i="21"/>
  <c r="AC30" i="21" s="1"/>
  <c r="F119" i="21"/>
  <c r="G119" i="21" s="1"/>
  <c r="H119" i="21" s="1"/>
  <c r="I119" i="21" s="1"/>
  <c r="J119" i="21" s="1"/>
  <c r="K119" i="21" s="1"/>
  <c r="L119" i="21" s="1"/>
  <c r="M119" i="21" s="1"/>
  <c r="H26" i="33"/>
  <c r="F28" i="33"/>
  <c r="F33" i="35"/>
  <c r="S33" i="35" s="1"/>
  <c r="J33" i="35"/>
  <c r="AC33" i="35" s="1"/>
  <c r="F30" i="35"/>
  <c r="S30" i="35" s="1"/>
  <c r="H10" i="36"/>
  <c r="AB10" i="36" s="1"/>
  <c r="J14" i="36"/>
  <c r="H14" i="36"/>
  <c r="U14" i="36" s="1"/>
  <c r="F28" i="36"/>
  <c r="AA28" i="36" s="1"/>
  <c r="J31" i="21"/>
  <c r="AC31" i="21" s="1"/>
  <c r="F31" i="21"/>
  <c r="S31" i="21" s="1"/>
  <c r="F45" i="21"/>
  <c r="AA27" i="33"/>
  <c r="J13" i="33"/>
  <c r="H13" i="33"/>
  <c r="F13" i="33"/>
  <c r="S13" i="33" s="1"/>
  <c r="J29" i="33"/>
  <c r="H29" i="33"/>
  <c r="U29" i="33" s="1"/>
  <c r="F29" i="33"/>
  <c r="J31" i="33"/>
  <c r="W31" i="33" s="1"/>
  <c r="H31" i="33"/>
  <c r="U31" i="33" s="1"/>
  <c r="F31" i="33"/>
  <c r="H45" i="33"/>
  <c r="J45" i="33"/>
  <c r="W45" i="33" s="1"/>
  <c r="F45" i="33"/>
  <c r="J14" i="34"/>
  <c r="W14" i="34" s="1"/>
  <c r="F14" i="34"/>
  <c r="H14" i="34"/>
  <c r="H30" i="34"/>
  <c r="U30" i="34" s="1"/>
  <c r="F30" i="34"/>
  <c r="S30" i="34" s="1"/>
  <c r="J30" i="34"/>
  <c r="W30" i="34" s="1"/>
  <c r="H32" i="34"/>
  <c r="F32" i="34"/>
  <c r="S32" i="34" s="1"/>
  <c r="J32" i="34"/>
  <c r="W32" i="34" s="1"/>
  <c r="H46" i="34"/>
  <c r="F46" i="34"/>
  <c r="J46" i="34"/>
  <c r="W46" i="34" s="1"/>
  <c r="H11" i="35"/>
  <c r="U11" i="35" s="1"/>
  <c r="J11" i="35"/>
  <c r="F11" i="35"/>
  <c r="S11" i="35" s="1"/>
  <c r="J26" i="36"/>
  <c r="H28" i="36"/>
  <c r="U28" i="36" s="1"/>
  <c r="H32" i="36"/>
  <c r="J32" i="36"/>
  <c r="W32" i="36" s="1"/>
  <c r="J11" i="36"/>
  <c r="H11" i="36"/>
  <c r="F11" i="36"/>
  <c r="AA11" i="36" s="1"/>
  <c r="H13" i="36"/>
  <c r="AB13" i="36" s="1"/>
  <c r="J13" i="36"/>
  <c r="F13" i="36"/>
  <c r="S13" i="36" s="1"/>
  <c r="F107" i="37"/>
  <c r="U37" i="37"/>
  <c r="U40" i="37"/>
  <c r="H30" i="33"/>
  <c r="AB30" i="33" s="1"/>
  <c r="AC46" i="33"/>
  <c r="J31" i="34"/>
  <c r="J45" i="34"/>
  <c r="J47" i="34"/>
  <c r="AC47" i="34" s="1"/>
  <c r="J25" i="35"/>
  <c r="W25" i="35" s="1"/>
  <c r="F25" i="35"/>
  <c r="S25" i="35" s="1"/>
  <c r="H25" i="35"/>
  <c r="J35" i="35"/>
  <c r="AC35" i="35" s="1"/>
  <c r="F35" i="35"/>
  <c r="AA35" i="35" s="1"/>
  <c r="H35" i="35"/>
  <c r="AB35" i="35" s="1"/>
  <c r="J25" i="36"/>
  <c r="F25" i="36"/>
  <c r="S25" i="36" s="1"/>
  <c r="H25" i="36"/>
  <c r="AB25" i="36" s="1"/>
  <c r="U28" i="37"/>
  <c r="F43" i="39"/>
  <c r="J14" i="39"/>
  <c r="F12" i="40"/>
  <c r="S12" i="40" s="1"/>
  <c r="H12" i="40"/>
  <c r="H30" i="40"/>
  <c r="AB30" i="40" s="1"/>
  <c r="F33" i="40"/>
  <c r="H33" i="40"/>
  <c r="U33" i="40" s="1"/>
  <c r="J35" i="40"/>
  <c r="AC35" i="40" s="1"/>
  <c r="J37" i="40"/>
  <c r="AC37" i="40" s="1"/>
  <c r="F13" i="40"/>
  <c r="AA13" i="40" s="1"/>
  <c r="S14" i="37"/>
  <c r="F13" i="39"/>
  <c r="S13" i="39" s="1"/>
  <c r="J13" i="39"/>
  <c r="W13" i="39" s="1"/>
  <c r="H13" i="39"/>
  <c r="AB13" i="39" s="1"/>
  <c r="H14" i="40"/>
  <c r="AB14" i="40" s="1"/>
  <c r="J14" i="40"/>
  <c r="F14" i="40"/>
  <c r="AA14" i="40" s="1"/>
  <c r="J10" i="36"/>
  <c r="AC10" i="36" s="1"/>
  <c r="AB30" i="21"/>
  <c r="S11" i="36"/>
  <c r="AC30" i="34"/>
  <c r="AB31" i="33"/>
  <c r="AC28" i="21"/>
  <c r="F17" i="21"/>
  <c r="AA17" i="21" s="1"/>
  <c r="H17" i="21"/>
  <c r="AB17" i="21" s="1"/>
  <c r="F15" i="21"/>
  <c r="S15" i="21" s="1"/>
  <c r="J41"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U17" i="37"/>
  <c r="F39" i="33"/>
  <c r="E123" i="33"/>
  <c r="F123" i="33" s="1"/>
  <c r="G123" i="33" s="1"/>
  <c r="H123" i="33" s="1"/>
  <c r="I123" i="33" s="1"/>
  <c r="J123" i="33" s="1"/>
  <c r="K123" i="33" s="1"/>
  <c r="L123" i="33" s="1"/>
  <c r="M123" i="33" s="1"/>
  <c r="F42" i="33"/>
  <c r="H28" i="34"/>
  <c r="AB28" i="34" s="1"/>
  <c r="F14" i="36"/>
  <c r="F22" i="36"/>
  <c r="S22" i="36" s="1"/>
  <c r="F26" i="36"/>
  <c r="S26" i="36" s="1"/>
  <c r="H27" i="34"/>
  <c r="H35" i="34"/>
  <c r="U35" i="34" s="1"/>
  <c r="F41" i="34"/>
  <c r="H41" i="34"/>
  <c r="U41" i="34" s="1"/>
  <c r="J41" i="34"/>
  <c r="F10" i="35"/>
  <c r="S10" i="35" s="1"/>
  <c r="F24" i="35"/>
  <c r="AA24" i="35" s="1"/>
  <c r="F32" i="40"/>
  <c r="S32" i="40" s="1"/>
  <c r="J36" i="40"/>
  <c r="W36" i="40" s="1"/>
  <c r="H42" i="33"/>
  <c r="AB42" i="33" s="1"/>
  <c r="J43" i="33"/>
  <c r="S28" i="31"/>
  <c r="S27" i="31"/>
  <c r="S26" i="31"/>
  <c r="U14" i="40"/>
  <c r="AC33" i="36"/>
  <c r="W37" i="34"/>
  <c r="AB37" i="34"/>
  <c r="AC36" i="34"/>
  <c r="AA13" i="33"/>
  <c r="AC45" i="33"/>
  <c r="U11" i="33"/>
  <c r="U19" i="21"/>
  <c r="U26" i="21"/>
  <c r="AB38" i="21"/>
  <c r="F43" i="33"/>
  <c r="AA43" i="33" s="1"/>
  <c r="AC15" i="34"/>
  <c r="W16" i="35"/>
  <c r="W40" i="37"/>
  <c r="G107" i="37"/>
  <c r="H107" i="37" s="1"/>
  <c r="I107" i="37" s="1"/>
  <c r="J107" i="37" s="1"/>
  <c r="K107" i="37" s="1"/>
  <c r="L107" i="37" s="1"/>
  <c r="M107" i="37" s="1"/>
  <c r="H37" i="21"/>
  <c r="U37" i="21" s="1"/>
  <c r="S42" i="21"/>
  <c r="H19" i="34"/>
  <c r="AB19" i="34" s="1"/>
  <c r="F36" i="35"/>
  <c r="W9" i="37"/>
  <c r="S9" i="37"/>
  <c r="S12" i="37"/>
  <c r="E71" i="37"/>
  <c r="E94" i="37"/>
  <c r="F94" i="37" s="1"/>
  <c r="G94" i="37" s="1"/>
  <c r="H94" i="37" s="1"/>
  <c r="I94" i="37" s="1"/>
  <c r="J94" i="37" s="1"/>
  <c r="K94" i="37" s="1"/>
  <c r="L94" i="37" s="1"/>
  <c r="M94" i="37" s="1"/>
  <c r="S31" i="37"/>
  <c r="F12" i="39"/>
  <c r="S12" i="39" s="1"/>
  <c r="J42" i="39"/>
  <c r="AC42" i="39" s="1"/>
  <c r="H21" i="40"/>
  <c r="AB21" i="40" s="1"/>
  <c r="U31" i="37"/>
  <c r="F71" i="37"/>
  <c r="G71" i="37" s="1"/>
  <c r="AT6" i="3"/>
  <c r="C12" i="43"/>
  <c r="H19" i="40"/>
  <c r="U19" i="40" s="1"/>
  <c r="F19" i="40"/>
  <c r="S14" i="40"/>
  <c r="AB33" i="40"/>
  <c r="U45" i="39"/>
  <c r="AB44" i="39"/>
  <c r="U44" i="39"/>
  <c r="H25" i="39"/>
  <c r="J25" i="39"/>
  <c r="F25" i="39"/>
  <c r="AA25" i="39" s="1"/>
  <c r="F15" i="39"/>
  <c r="AA15" i="39" s="1"/>
  <c r="H15" i="39"/>
  <c r="U15" i="39" s="1"/>
  <c r="J15" i="39"/>
  <c r="W15" i="39" s="1"/>
  <c r="H41" i="39"/>
  <c r="AB41" i="39" s="1"/>
  <c r="AB34" i="39"/>
  <c r="U40" i="39"/>
  <c r="S42" i="39"/>
  <c r="W9" i="39"/>
  <c r="W8" i="39"/>
  <c r="J19" i="40"/>
  <c r="AC19" i="40" s="1"/>
  <c r="J50" i="40"/>
  <c r="B54" i="72"/>
  <c r="H103" i="9"/>
  <c r="B16" i="53"/>
  <c r="B33" i="72" s="1"/>
  <c r="W35" i="40"/>
  <c r="A118" i="9"/>
  <c r="A4" i="52"/>
  <c r="B41" i="72" s="1"/>
  <c r="J11" i="39"/>
  <c r="W11" i="39"/>
  <c r="F11" i="39"/>
  <c r="AA11" i="39"/>
  <c r="S11" i="39"/>
  <c r="G4" i="4"/>
  <c r="I4" i="4"/>
  <c r="K5" i="4"/>
  <c r="B47" i="48" s="1"/>
  <c r="A2" i="9"/>
  <c r="N2" i="43"/>
  <c r="F59" i="43"/>
  <c r="H62" i="43" s="1"/>
  <c r="E8" i="6"/>
  <c r="E51" i="40" s="1"/>
  <c r="N4" i="43"/>
  <c r="F48" i="43"/>
  <c r="H52" i="43" s="1"/>
  <c r="N7" i="43"/>
  <c r="F70" i="43"/>
  <c r="H73" i="43" s="1"/>
  <c r="M6" i="43"/>
  <c r="M11" i="43"/>
  <c r="U17" i="39"/>
  <c r="U43" i="21"/>
  <c r="U35" i="21"/>
  <c r="AC35" i="21"/>
  <c r="G9" i="1"/>
  <c r="F48" i="9"/>
  <c r="O52" i="9"/>
  <c r="AC11" i="39"/>
  <c r="AC44" i="34"/>
  <c r="U13" i="37"/>
  <c r="AA12" i="40"/>
  <c r="J37" i="33"/>
  <c r="W37" i="33" s="1"/>
  <c r="AC17" i="34"/>
  <c r="F106" i="33"/>
  <c r="G106" i="33" s="1"/>
  <c r="H106" i="33" s="1"/>
  <c r="I106" i="33" s="1"/>
  <c r="J106" i="33" s="1"/>
  <c r="K106" i="33" s="1"/>
  <c r="L106" i="33" s="1"/>
  <c r="M106" i="33" s="1"/>
  <c r="J34" i="33"/>
  <c r="F33" i="34"/>
  <c r="S33" i="34" s="1"/>
  <c r="W12" i="36"/>
  <c r="H20" i="36"/>
  <c r="U20" i="36" s="1"/>
  <c r="J20" i="36"/>
  <c r="W20" i="36" s="1"/>
  <c r="W24" i="36"/>
  <c r="J27" i="36"/>
  <c r="W27" i="36"/>
  <c r="AC33" i="40"/>
  <c r="F111" i="40"/>
  <c r="G111" i="40" s="1"/>
  <c r="H111" i="40" s="1"/>
  <c r="I111" i="40" s="1"/>
  <c r="J111" i="40" s="1"/>
  <c r="K111" i="40" s="1"/>
  <c r="L111" i="40" s="1"/>
  <c r="M111" i="40" s="1"/>
  <c r="H35" i="40"/>
  <c r="AB35" i="40" s="1"/>
  <c r="AC29" i="35"/>
  <c r="W29" i="35"/>
  <c r="AC14" i="35"/>
  <c r="H20" i="35"/>
  <c r="U20" i="35" s="1"/>
  <c r="F20" i="35"/>
  <c r="AA20" i="35" s="1"/>
  <c r="AB29" i="36"/>
  <c r="H27" i="40"/>
  <c r="J27" i="40"/>
  <c r="AC27" i="40" s="1"/>
  <c r="F27" i="40"/>
  <c r="J30" i="40"/>
  <c r="AC30" i="40" s="1"/>
  <c r="F30" i="40"/>
  <c r="AA30" i="40" s="1"/>
  <c r="AC21" i="40"/>
  <c r="S11" i="40"/>
  <c r="F10" i="33"/>
  <c r="S10" i="33" s="1"/>
  <c r="F34" i="33"/>
  <c r="S34" i="33" s="1"/>
  <c r="H34" i="33"/>
  <c r="U34" i="33" s="1"/>
  <c r="F35" i="33"/>
  <c r="S35" i="33" s="1"/>
  <c r="F39" i="34"/>
  <c r="S39" i="34" s="1"/>
  <c r="J39" i="34"/>
  <c r="W39" i="34" s="1"/>
  <c r="F40" i="34"/>
  <c r="S40" i="34" s="1"/>
  <c r="F43" i="34"/>
  <c r="H44" i="34"/>
  <c r="AB44" i="34" s="1"/>
  <c r="AC38" i="39"/>
  <c r="F39" i="39"/>
  <c r="S39" i="39" s="1"/>
  <c r="J39" i="39"/>
  <c r="AC39" i="39" s="1"/>
  <c r="E97" i="39"/>
  <c r="F97" i="39" s="1"/>
  <c r="G97" i="39" s="1"/>
  <c r="C40" i="11"/>
  <c r="H50" i="43"/>
  <c r="F23" i="39"/>
  <c r="AA23" i="39" s="1"/>
  <c r="H27" i="36"/>
  <c r="U27" i="36" s="1"/>
  <c r="F27" i="36"/>
  <c r="H33" i="34"/>
  <c r="U33" i="34" s="1"/>
  <c r="F20" i="36"/>
  <c r="AA20" i="36" s="1"/>
  <c r="J33" i="34"/>
  <c r="AC33" i="34" s="1"/>
  <c r="H23" i="39"/>
  <c r="U23" i="39" s="1"/>
  <c r="O9" i="1"/>
  <c r="P9" i="1"/>
  <c r="AE9" i="1"/>
  <c r="D93" i="9"/>
  <c r="AC26" i="33"/>
  <c r="AB34" i="36"/>
  <c r="AB33" i="36"/>
  <c r="AC12" i="39"/>
  <c r="AA32" i="36"/>
  <c r="U30" i="33"/>
  <c r="S19" i="39"/>
  <c r="H12" i="39"/>
  <c r="AB12" i="39" s="1"/>
  <c r="S12" i="1"/>
  <c r="AR12" i="1" s="1"/>
  <c r="R12" i="1"/>
  <c r="B12" i="1"/>
  <c r="E12" i="1" s="1"/>
  <c r="S10" i="1"/>
  <c r="AQ10" i="1" s="1"/>
  <c r="R10" i="1"/>
  <c r="B10" i="1"/>
  <c r="E10" i="1" s="1"/>
  <c r="O12" i="1"/>
  <c r="P12" i="1"/>
  <c r="S13" i="1"/>
  <c r="AR13" i="1" s="1"/>
  <c r="R13" i="1"/>
  <c r="S11" i="1"/>
  <c r="AQ11" i="1" s="1"/>
  <c r="R11" i="1"/>
  <c r="S9" i="1"/>
  <c r="AR9" i="1" s="1"/>
  <c r="R9" i="1"/>
  <c r="J51" i="67"/>
  <c r="H100" i="43"/>
  <c r="C30" i="66"/>
  <c r="E26" i="66" s="1"/>
  <c r="AA34" i="33"/>
  <c r="F53" i="9"/>
  <c r="J100" i="43"/>
  <c r="U35" i="40"/>
  <c r="AC36" i="40"/>
  <c r="AA32" i="40"/>
  <c r="S23" i="40"/>
  <c r="AC17" i="40"/>
  <c r="AC15" i="40"/>
  <c r="S30" i="40"/>
  <c r="S28" i="40"/>
  <c r="AB19" i="40"/>
  <c r="W42" i="39"/>
  <c r="U35" i="39"/>
  <c r="F32" i="39"/>
  <c r="F107" i="39"/>
  <c r="G107" i="39" s="1"/>
  <c r="H107" i="39" s="1"/>
  <c r="AB27" i="39"/>
  <c r="J21" i="39"/>
  <c r="W21" i="39" s="1"/>
  <c r="F21" i="39"/>
  <c r="G95" i="39"/>
  <c r="H21" i="39"/>
  <c r="U19" i="39"/>
  <c r="S17" i="39"/>
  <c r="S15" i="39"/>
  <c r="S9" i="39"/>
  <c r="AC13" i="39"/>
  <c r="U13" i="36"/>
  <c r="AC27" i="36"/>
  <c r="S33" i="36"/>
  <c r="AA26" i="36"/>
  <c r="AA34" i="36"/>
  <c r="S29" i="36"/>
  <c r="AA22" i="36"/>
  <c r="U22" i="36"/>
  <c r="AA25" i="36"/>
  <c r="S24" i="36"/>
  <c r="U16" i="36"/>
  <c r="W10" i="36"/>
  <c r="AA25" i="35"/>
  <c r="U29" i="35"/>
  <c r="U28" i="35"/>
  <c r="AB27" i="35"/>
  <c r="U32" i="35"/>
  <c r="AA33" i="35"/>
  <c r="S32" i="35"/>
  <c r="W32" i="35"/>
  <c r="AB16" i="35"/>
  <c r="U14" i="35"/>
  <c r="AA10" i="35"/>
  <c r="AB10" i="35"/>
  <c r="AA11" i="35"/>
  <c r="AC9" i="35"/>
  <c r="W9" i="35"/>
  <c r="AC12" i="35"/>
  <c r="F9" i="35"/>
  <c r="AA9" i="35" s="1"/>
  <c r="H9" i="35"/>
  <c r="W39" i="37"/>
  <c r="S37" i="37"/>
  <c r="F75" i="37"/>
  <c r="G75" i="37" s="1"/>
  <c r="F79" i="37"/>
  <c r="S23" i="37"/>
  <c r="U23" i="37"/>
  <c r="U9" i="37"/>
  <c r="H60" i="37"/>
  <c r="I60" i="37" s="1"/>
  <c r="F63" i="37"/>
  <c r="W25" i="34"/>
  <c r="AB8" i="34"/>
  <c r="AA33" i="34"/>
  <c r="U44" i="34"/>
  <c r="U43" i="34"/>
  <c r="AC39" i="34"/>
  <c r="AB35" i="34"/>
  <c r="AB41" i="34"/>
  <c r="U28" i="34"/>
  <c r="S23" i="34"/>
  <c r="S10" i="34"/>
  <c r="H10" i="34"/>
  <c r="U10" i="34" s="1"/>
  <c r="F11" i="34"/>
  <c r="S11" i="34" s="1"/>
  <c r="F70" i="34"/>
  <c r="G70" i="34" s="1"/>
  <c r="H70" i="34" s="1"/>
  <c r="I70" i="34" s="1"/>
  <c r="J70" i="34" s="1"/>
  <c r="K70" i="34" s="1"/>
  <c r="L70" i="34" s="1"/>
  <c r="M70" i="34" s="1"/>
  <c r="W42" i="33"/>
  <c r="AA35" i="33"/>
  <c r="S27" i="33"/>
  <c r="S32" i="33"/>
  <c r="AB29" i="33"/>
  <c r="H41" i="33"/>
  <c r="U41" i="33" s="1"/>
  <c r="F36" i="33"/>
  <c r="AA36" i="33" s="1"/>
  <c r="G111" i="33"/>
  <c r="J35" i="33"/>
  <c r="AC35" i="33" s="1"/>
  <c r="AA37" i="33"/>
  <c r="J32" i="33"/>
  <c r="W32" i="33" s="1"/>
  <c r="S43" i="33"/>
  <c r="F91" i="33"/>
  <c r="H27" i="33"/>
  <c r="AB27" i="33" s="1"/>
  <c r="H25" i="33"/>
  <c r="AB25" i="33" s="1"/>
  <c r="F25" i="33"/>
  <c r="J23" i="33"/>
  <c r="W23" i="33" s="1"/>
  <c r="H23" i="33"/>
  <c r="U23" i="33" s="1"/>
  <c r="F19" i="33"/>
  <c r="S19" i="33" s="1"/>
  <c r="W19" i="33"/>
  <c r="J17" i="33"/>
  <c r="W15" i="33"/>
  <c r="U9" i="33"/>
  <c r="J10" i="33"/>
  <c r="AC10" i="33" s="1"/>
  <c r="H10" i="33"/>
  <c r="AB10" i="33" s="1"/>
  <c r="AA10" i="33"/>
  <c r="AC11" i="33"/>
  <c r="AB14" i="33"/>
  <c r="W43" i="21"/>
  <c r="W36" i="21"/>
  <c r="W41" i="21"/>
  <c r="AB39" i="21"/>
  <c r="S39" i="21"/>
  <c r="AA38" i="21"/>
  <c r="AA36" i="21"/>
  <c r="J15" i="21"/>
  <c r="W15" i="21" s="1"/>
  <c r="F77" i="21"/>
  <c r="G77" i="21" s="1"/>
  <c r="F23" i="21"/>
  <c r="S23" i="21" s="1"/>
  <c r="E85" i="21"/>
  <c r="AA14" i="21"/>
  <c r="AB8" i="21"/>
  <c r="S8" i="21"/>
  <c r="M3" i="43"/>
  <c r="N10" i="43"/>
  <c r="M1" i="43"/>
  <c r="M8" i="43"/>
  <c r="N8" i="43"/>
  <c r="N9" i="43"/>
  <c r="F34" i="67"/>
  <c r="F62" i="67" s="1"/>
  <c r="M20" i="67"/>
  <c r="J56" i="9"/>
  <c r="J57" i="9"/>
  <c r="J59" i="9" s="1"/>
  <c r="J61" i="9" s="1"/>
  <c r="P10" i="1"/>
  <c r="E32" i="6"/>
  <c r="G1" i="68"/>
  <c r="E19" i="69"/>
  <c r="E19" i="68"/>
  <c r="E19" i="11"/>
  <c r="G22" i="69"/>
  <c r="G26" i="12"/>
  <c r="C100" i="43"/>
  <c r="E10" i="43"/>
  <c r="E8" i="43"/>
  <c r="C7" i="43"/>
  <c r="E81" i="43"/>
  <c r="B79" i="43" s="1"/>
  <c r="C24" i="43" s="1"/>
  <c r="E48" i="43"/>
  <c r="B46" i="43" s="1"/>
  <c r="E70" i="43"/>
  <c r="B68" i="43" s="1"/>
  <c r="F100" i="43"/>
  <c r="H70" i="43"/>
  <c r="M7" i="43"/>
  <c r="N6" i="43"/>
  <c r="M2" i="43"/>
  <c r="M10" i="43"/>
  <c r="N3" i="43"/>
  <c r="N11" i="43"/>
  <c r="M9" i="43"/>
  <c r="N12" i="43"/>
  <c r="N5" i="43"/>
  <c r="M12" i="43"/>
  <c r="M4" i="43"/>
  <c r="B19" i="53"/>
  <c r="B37" i="72"/>
  <c r="A4" i="51"/>
  <c r="B6" i="72" s="1"/>
  <c r="C4" i="12"/>
  <c r="H66" i="43"/>
  <c r="H65" i="43"/>
  <c r="H64" i="43"/>
  <c r="H63" i="43"/>
  <c r="H51" i="43"/>
  <c r="H77" i="43"/>
  <c r="B6" i="1"/>
  <c r="E6" i="1" s="1"/>
  <c r="O11" i="1"/>
  <c r="P11" i="1"/>
  <c r="AP6" i="1"/>
  <c r="B9" i="1"/>
  <c r="E9" i="1"/>
  <c r="G1" i="69"/>
  <c r="W23" i="40"/>
  <c r="AB28" i="40"/>
  <c r="W28" i="40"/>
  <c r="W34" i="40"/>
  <c r="W19" i="40"/>
  <c r="W27" i="40"/>
  <c r="S36" i="40"/>
  <c r="W37" i="40"/>
  <c r="AA15" i="40"/>
  <c r="U15" i="40"/>
  <c r="U8" i="40"/>
  <c r="AA39" i="39"/>
  <c r="U42" i="39"/>
  <c r="AB23" i="39"/>
  <c r="U41" i="39"/>
  <c r="W25" i="39"/>
  <c r="AC25" i="39"/>
  <c r="U13" i="39"/>
  <c r="S14" i="39"/>
  <c r="AB11" i="39"/>
  <c r="AA27" i="39"/>
  <c r="W17" i="39"/>
  <c r="AC17" i="39"/>
  <c r="S23" i="39"/>
  <c r="W34" i="39"/>
  <c r="S8" i="39"/>
  <c r="S28" i="36"/>
  <c r="W29" i="36"/>
  <c r="AC20" i="36"/>
  <c r="AB28" i="36"/>
  <c r="AA13" i="36"/>
  <c r="W23" i="36"/>
  <c r="AB20" i="35"/>
  <c r="AC25" i="35"/>
  <c r="W33" i="35"/>
  <c r="AA30" i="35"/>
  <c r="S35" i="35"/>
  <c r="W35" i="35"/>
  <c r="AA16" i="35"/>
  <c r="S28" i="37"/>
  <c r="S40" i="37"/>
  <c r="U38" i="37"/>
  <c r="U19" i="37"/>
  <c r="U8" i="37"/>
  <c r="AA40" i="34"/>
  <c r="U19" i="34"/>
  <c r="W19" i="34"/>
  <c r="AB33" i="34"/>
  <c r="AA30" i="34"/>
  <c r="U25" i="34"/>
  <c r="AB36" i="34"/>
  <c r="W33" i="34"/>
  <c r="AC14" i="34"/>
  <c r="AC32" i="34"/>
  <c r="AC46" i="34"/>
  <c r="AA32" i="34"/>
  <c r="AB30" i="34"/>
  <c r="U38" i="34"/>
  <c r="AC40" i="34"/>
  <c r="W40" i="34"/>
  <c r="AA19" i="34"/>
  <c r="S19" i="34"/>
  <c r="AA36" i="34"/>
  <c r="S36" i="34"/>
  <c r="AA8" i="34"/>
  <c r="S8" i="34"/>
  <c r="S46" i="34"/>
  <c r="AA46" i="34"/>
  <c r="U32" i="34"/>
  <c r="AB32" i="34"/>
  <c r="U14" i="34"/>
  <c r="AB14" i="34"/>
  <c r="AC43" i="34"/>
  <c r="W43" i="34"/>
  <c r="AA11" i="34"/>
  <c r="W23" i="34"/>
  <c r="AC35" i="34"/>
  <c r="U12" i="34"/>
  <c r="AB12" i="34"/>
  <c r="AC37" i="33"/>
  <c r="U39" i="33"/>
  <c r="U38" i="33"/>
  <c r="S33" i="33"/>
  <c r="AB34" i="33"/>
  <c r="S31" i="33"/>
  <c r="AA31" i="33"/>
  <c r="W13" i="33"/>
  <c r="AC13" i="33"/>
  <c r="S11" i="33"/>
  <c r="U37" i="33"/>
  <c r="W9" i="33"/>
  <c r="W8" i="33"/>
  <c r="AB42" i="21"/>
  <c r="AA11" i="21"/>
  <c r="J101" i="21"/>
  <c r="K101" i="21" s="1"/>
  <c r="L101" i="21" s="1"/>
  <c r="M101" i="21" s="1"/>
  <c r="F33" i="21"/>
  <c r="AA33" i="21" s="1"/>
  <c r="J33" i="21"/>
  <c r="AC33" i="21" s="1"/>
  <c r="H33" i="21"/>
  <c r="F37" i="21"/>
  <c r="AA37" i="21" s="1"/>
  <c r="AA26" i="21"/>
  <c r="AB14" i="21"/>
  <c r="U40" i="21"/>
  <c r="AB31" i="21"/>
  <c r="S35"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B25" i="21"/>
  <c r="W42" i="21"/>
  <c r="F10"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O6" i="1"/>
  <c r="P6" i="1"/>
  <c r="F30" i="68"/>
  <c r="F30" i="11"/>
  <c r="C48" i="11" s="1"/>
  <c r="F28" i="67"/>
  <c r="F31" i="12"/>
  <c r="F52" i="9"/>
  <c r="M18" i="67"/>
  <c r="F32" i="67"/>
  <c r="F60" i="67" s="1"/>
  <c r="F30" i="69"/>
  <c r="M18" i="15"/>
  <c r="D68" i="9"/>
  <c r="F54" i="9"/>
  <c r="J32" i="39"/>
  <c r="W32" i="39" s="1"/>
  <c r="I107" i="39"/>
  <c r="J107" i="39" s="1"/>
  <c r="K107" i="39" s="1"/>
  <c r="L107" i="39" s="1"/>
  <c r="M107" i="39" s="1"/>
  <c r="H32" i="39"/>
  <c r="AA32" i="39"/>
  <c r="S32" i="39"/>
  <c r="AB21" i="39"/>
  <c r="U21" i="39"/>
  <c r="AA21" i="39"/>
  <c r="S21" i="39"/>
  <c r="AC21" i="39"/>
  <c r="U9" i="35"/>
  <c r="AB9" i="35"/>
  <c r="S9" i="35"/>
  <c r="S17" i="37"/>
  <c r="S19" i="37"/>
  <c r="G79" i="37"/>
  <c r="G63" i="37"/>
  <c r="H63" i="37" s="1"/>
  <c r="H11" i="34"/>
  <c r="U11" i="34" s="1"/>
  <c r="J10" i="34"/>
  <c r="W10" i="34" s="1"/>
  <c r="I67" i="34"/>
  <c r="AB41" i="33"/>
  <c r="W35" i="33"/>
  <c r="H111" i="33"/>
  <c r="I111" i="33" s="1"/>
  <c r="J111" i="33" s="1"/>
  <c r="K111" i="33" s="1"/>
  <c r="L111" i="33" s="1"/>
  <c r="M111" i="33" s="1"/>
  <c r="J36" i="33"/>
  <c r="AC36" i="33" s="1"/>
  <c r="H36" i="33"/>
  <c r="AB36" i="33" s="1"/>
  <c r="AC32" i="33"/>
  <c r="U27" i="33"/>
  <c r="G91" i="33"/>
  <c r="H91" i="33" s="1"/>
  <c r="I91" i="33" s="1"/>
  <c r="J91" i="33" s="1"/>
  <c r="K91" i="33" s="1"/>
  <c r="L91" i="33" s="1"/>
  <c r="M91" i="33" s="1"/>
  <c r="J27" i="33"/>
  <c r="AC27" i="33" s="1"/>
  <c r="U25" i="33"/>
  <c r="S25" i="33"/>
  <c r="AA25" i="33"/>
  <c r="J25" i="33"/>
  <c r="AC25" i="33" s="1"/>
  <c r="AB23" i="33"/>
  <c r="F23" i="33"/>
  <c r="AA23" i="33" s="1"/>
  <c r="AC23" i="33"/>
  <c r="AA19" i="33"/>
  <c r="H19" i="33"/>
  <c r="AB19" i="33" s="1"/>
  <c r="H17" i="33"/>
  <c r="U17" i="33" s="1"/>
  <c r="F17" i="33"/>
  <c r="W17" i="33"/>
  <c r="AC17" i="33"/>
  <c r="U10" i="33"/>
  <c r="W10" i="33"/>
  <c r="S37" i="21"/>
  <c r="J23" i="21"/>
  <c r="W23" i="21" s="1"/>
  <c r="F85" i="21"/>
  <c r="G85" i="21" s="1"/>
  <c r="H23" i="21"/>
  <c r="U23" i="21" s="1"/>
  <c r="S13" i="21"/>
  <c r="O14" i="1"/>
  <c r="P14" i="1"/>
  <c r="AP7" i="1"/>
  <c r="O7" i="1"/>
  <c r="AB45" i="21"/>
  <c r="W33" i="21"/>
  <c r="S33" i="21"/>
  <c r="W32" i="21"/>
  <c r="AC32" i="21"/>
  <c r="AB9" i="21"/>
  <c r="U9" i="21"/>
  <c r="W9" i="21"/>
  <c r="AA10" i="21"/>
  <c r="S10" i="21"/>
  <c r="F31" i="15"/>
  <c r="M17" i="15"/>
  <c r="F59" i="67"/>
  <c r="F59" i="15"/>
  <c r="F31" i="67"/>
  <c r="M17" i="67"/>
  <c r="U32" i="39"/>
  <c r="AB32" i="39"/>
  <c r="I63" i="37"/>
  <c r="J63" i="37" s="1"/>
  <c r="K63" i="37" s="1"/>
  <c r="L63" i="37" s="1"/>
  <c r="M63" i="37" s="1"/>
  <c r="AB11" i="34"/>
  <c r="J11" i="34"/>
  <c r="AC11" i="34" s="1"/>
  <c r="W36" i="33"/>
  <c r="U36" i="33"/>
  <c r="W27" i="33"/>
  <c r="W25" i="33"/>
  <c r="U19" i="33"/>
  <c r="AA17" i="33"/>
  <c r="S17" i="33"/>
  <c r="P7" i="1"/>
  <c r="F11" i="12"/>
  <c r="H107" i="9"/>
  <c r="D13" i="53" s="1"/>
  <c r="D59" i="9"/>
  <c r="M55" i="9" s="1"/>
  <c r="D122" i="9"/>
  <c r="G14" i="74" s="1"/>
  <c r="B6" i="74" s="1"/>
  <c r="AD3" i="71"/>
  <c r="D2" i="34"/>
  <c r="B8" i="76"/>
  <c r="B11" i="76"/>
  <c r="D2" i="21"/>
  <c r="E13" i="76"/>
  <c r="B9" i="76"/>
  <c r="E7" i="76"/>
  <c r="F20" i="31"/>
  <c r="B13" i="76"/>
  <c r="B12" i="76"/>
  <c r="D2" i="37"/>
  <c r="E11" i="76"/>
  <c r="E9" i="76"/>
  <c r="AO11" i="1"/>
  <c r="AO12" i="1"/>
  <c r="B10" i="76"/>
  <c r="AO10" i="1"/>
  <c r="E2" i="69"/>
  <c r="D2" i="35"/>
  <c r="E12" i="76"/>
  <c r="E8" i="76"/>
  <c r="AO13" i="1"/>
  <c r="D2" i="36"/>
  <c r="B7" i="76"/>
  <c r="E10" i="76"/>
  <c r="E2" i="68"/>
  <c r="D2" i="33"/>
  <c r="AO9" i="1"/>
  <c r="W32" i="37" l="1"/>
  <c r="S32" i="37"/>
  <c r="U32" i="37"/>
  <c r="G96" i="37"/>
  <c r="H96" i="37" s="1"/>
  <c r="I96" i="37" s="1"/>
  <c r="J96" i="37" s="1"/>
  <c r="K96" i="37" s="1"/>
  <c r="L96" i="37" s="1"/>
  <c r="M96" i="37" s="1"/>
  <c r="AA9" i="34"/>
  <c r="S9" i="34"/>
  <c r="U27" i="40"/>
  <c r="AB27" i="40"/>
  <c r="S41" i="34"/>
  <c r="AA41" i="34"/>
  <c r="W10" i="35"/>
  <c r="AC10" i="35"/>
  <c r="S29" i="35"/>
  <c r="AA29" i="35"/>
  <c r="AA17" i="40"/>
  <c r="S17" i="40"/>
  <c r="AA37" i="40"/>
  <c r="S37" i="40"/>
  <c r="AA41" i="33"/>
  <c r="S41" i="33"/>
  <c r="U17" i="40"/>
  <c r="AB17" i="40"/>
  <c r="AC27" i="39"/>
  <c r="W27" i="39"/>
  <c r="AB8" i="33"/>
  <c r="U8" i="33"/>
  <c r="AC38" i="33"/>
  <c r="W38" i="33"/>
  <c r="J12" i="33"/>
  <c r="F12" i="33"/>
  <c r="J30" i="33"/>
  <c r="F30" i="33"/>
  <c r="AC44" i="33"/>
  <c r="W44" i="33"/>
  <c r="U13" i="34"/>
  <c r="AB13" i="34"/>
  <c r="J29" i="34"/>
  <c r="H29" i="34"/>
  <c r="H45" i="34"/>
  <c r="F45" i="34"/>
  <c r="S47" i="34"/>
  <c r="AA47" i="34"/>
  <c r="F13" i="35"/>
  <c r="H13" i="35"/>
  <c r="H23" i="35"/>
  <c r="F23" i="35"/>
  <c r="AC8" i="36"/>
  <c r="W8" i="36"/>
  <c r="AB26" i="36"/>
  <c r="U26" i="36"/>
  <c r="J37" i="39"/>
  <c r="H37" i="39"/>
  <c r="AB38" i="39"/>
  <c r="U38" i="39"/>
  <c r="AB9" i="40"/>
  <c r="U9" i="40"/>
  <c r="J31" i="40"/>
  <c r="H31" i="40"/>
  <c r="U30" i="36"/>
  <c r="AB30" i="36"/>
  <c r="D123" i="9"/>
  <c r="D9" i="52" s="1"/>
  <c r="W11" i="34"/>
  <c r="AC23" i="21"/>
  <c r="S23" i="33"/>
  <c r="C30" i="11"/>
  <c r="AA23" i="21"/>
  <c r="AC37" i="21"/>
  <c r="S36" i="33"/>
  <c r="AB10" i="34"/>
  <c r="AA30" i="21"/>
  <c r="AB37" i="21"/>
  <c r="AC15" i="21"/>
  <c r="S24" i="35"/>
  <c r="U25" i="36"/>
  <c r="AA13" i="39"/>
  <c r="S13" i="40"/>
  <c r="S15" i="33"/>
  <c r="U42" i="33"/>
  <c r="W34" i="34"/>
  <c r="U39" i="34"/>
  <c r="AC42" i="34"/>
  <c r="AC20" i="35"/>
  <c r="U10" i="36"/>
  <c r="S16" i="36"/>
  <c r="AB14" i="36"/>
  <c r="S23" i="36"/>
  <c r="AA12" i="39"/>
  <c r="W19" i="39"/>
  <c r="S35" i="40"/>
  <c r="AA27" i="36"/>
  <c r="S27" i="36"/>
  <c r="AA43" i="34"/>
  <c r="S43" i="34"/>
  <c r="W34" i="33"/>
  <c r="AC34" i="33"/>
  <c r="D8" i="53"/>
  <c r="D120" i="9"/>
  <c r="D6" i="52" s="1"/>
  <c r="AA41" i="39"/>
  <c r="AB25" i="39"/>
  <c r="U25" i="39"/>
  <c r="S36" i="35"/>
  <c r="AA36" i="35"/>
  <c r="W47" i="34"/>
  <c r="AC43" i="33"/>
  <c r="W43" i="33"/>
  <c r="F31" i="40"/>
  <c r="AA14" i="36"/>
  <c r="S14" i="36"/>
  <c r="AA42" i="33"/>
  <c r="S42" i="33"/>
  <c r="AA39" i="33"/>
  <c r="S39" i="33"/>
  <c r="AB43" i="33"/>
  <c r="U43" i="33"/>
  <c r="S35" i="39"/>
  <c r="H13" i="40"/>
  <c r="AA33" i="40"/>
  <c r="S33" i="40"/>
  <c r="AB12" i="40"/>
  <c r="U12" i="40"/>
  <c r="H14" i="39"/>
  <c r="AA43" i="39"/>
  <c r="S43" i="39"/>
  <c r="J13" i="35"/>
  <c r="H47" i="34"/>
  <c r="F31" i="34"/>
  <c r="F29" i="34"/>
  <c r="H44" i="33"/>
  <c r="W13" i="36"/>
  <c r="AC13" i="36"/>
  <c r="AB32" i="36"/>
  <c r="U32" i="36"/>
  <c r="W26" i="36"/>
  <c r="AC26" i="36"/>
  <c r="AC11" i="35"/>
  <c r="W11" i="35"/>
  <c r="AA45" i="33"/>
  <c r="S45" i="33"/>
  <c r="S29" i="33"/>
  <c r="AA29" i="33"/>
  <c r="AC29" i="33"/>
  <c r="W29" i="33"/>
  <c r="AC14" i="36"/>
  <c r="W14" i="36"/>
  <c r="AA44" i="34"/>
  <c r="S44" i="34"/>
  <c r="AB15" i="33"/>
  <c r="U15" i="33"/>
  <c r="AA17" i="34"/>
  <c r="S17" i="34"/>
  <c r="AC34" i="36"/>
  <c r="S25" i="34"/>
  <c r="AA25" i="34"/>
  <c r="AA37" i="34"/>
  <c r="S37" i="34"/>
  <c r="AB33" i="35"/>
  <c r="U33" i="35"/>
  <c r="S10" i="36"/>
  <c r="AA22" i="35"/>
  <c r="S22" i="35"/>
  <c r="W30" i="35"/>
  <c r="AC30" i="35"/>
  <c r="AC12" i="34"/>
  <c r="AB23" i="40"/>
  <c r="U23" i="40"/>
  <c r="AB36" i="40"/>
  <c r="U36" i="40"/>
  <c r="W11" i="21"/>
  <c r="AC11" i="21"/>
  <c r="AB32" i="33"/>
  <c r="U32" i="33"/>
  <c r="U38" i="40"/>
  <c r="AB11" i="40"/>
  <c r="U11" i="40"/>
  <c r="AB22" i="35"/>
  <c r="U22" i="35"/>
  <c r="AC35" i="39"/>
  <c r="W35" i="39"/>
  <c r="AB10" i="21"/>
  <c r="U10" i="21"/>
  <c r="AC8" i="21"/>
  <c r="W8" i="21"/>
  <c r="W40" i="21"/>
  <c r="AC40" i="21"/>
  <c r="S43" i="21"/>
  <c r="AA43" i="21"/>
  <c r="H28" i="33"/>
  <c r="J28" i="33"/>
  <c r="AA35" i="34"/>
  <c r="S35" i="34"/>
  <c r="AA8" i="35"/>
  <c r="S8" i="35"/>
  <c r="W8" i="35"/>
  <c r="AC8" i="35"/>
  <c r="S12" i="35"/>
  <c r="AA12" i="35"/>
  <c r="AA28" i="35"/>
  <c r="S28" i="35"/>
  <c r="J24" i="35"/>
  <c r="H24" i="35"/>
  <c r="H36" i="35"/>
  <c r="J36" i="35"/>
  <c r="AC36" i="35" s="1"/>
  <c r="W27" i="35"/>
  <c r="AC27" i="35"/>
  <c r="U8" i="36"/>
  <c r="AB8" i="36"/>
  <c r="AB23" i="36"/>
  <c r="U23" i="36"/>
  <c r="AC23" i="39"/>
  <c r="W23" i="39"/>
  <c r="H31" i="39"/>
  <c r="J31" i="39"/>
  <c r="J43" i="39"/>
  <c r="H43" i="39"/>
  <c r="J32" i="40"/>
  <c r="AC32" i="40" s="1"/>
  <c r="H32" i="40"/>
  <c r="J39" i="40"/>
  <c r="H39" i="40"/>
  <c r="F39" i="40"/>
  <c r="B49" i="71"/>
  <c r="N50" i="71"/>
  <c r="AA13" i="37"/>
  <c r="S13" i="37"/>
  <c r="S27" i="40"/>
  <c r="AA27" i="40"/>
  <c r="S19" i="40"/>
  <c r="AA19" i="40"/>
  <c r="AC41" i="34"/>
  <c r="W41" i="34"/>
  <c r="AB27" i="34"/>
  <c r="U27" i="34"/>
  <c r="S25" i="21"/>
  <c r="AA25" i="21"/>
  <c r="W41" i="39"/>
  <c r="AC41" i="39"/>
  <c r="W14" i="40"/>
  <c r="AC14" i="40"/>
  <c r="AC14" i="39"/>
  <c r="W14" i="39"/>
  <c r="W25" i="36"/>
  <c r="AC25" i="36"/>
  <c r="AB25" i="35"/>
  <c r="U25" i="35"/>
  <c r="W45" i="34"/>
  <c r="AC45" i="34"/>
  <c r="AA45" i="21"/>
  <c r="S45" i="21"/>
  <c r="AA28" i="33"/>
  <c r="S28" i="33"/>
  <c r="AB28" i="21"/>
  <c r="U28" i="21"/>
  <c r="AB15" i="34"/>
  <c r="U15" i="34"/>
  <c r="U23" i="34"/>
  <c r="AB23" i="34"/>
  <c r="U40" i="34"/>
  <c r="AB40" i="34"/>
  <c r="AA14" i="35"/>
  <c r="S14" i="35"/>
  <c r="U37" i="40"/>
  <c r="AB37" i="40"/>
  <c r="U11" i="21"/>
  <c r="AB11" i="21"/>
  <c r="U39" i="39"/>
  <c r="AB39" i="39"/>
  <c r="S12" i="34"/>
  <c r="AA12" i="34"/>
  <c r="H9" i="34"/>
  <c r="J9" i="34"/>
  <c r="AC22" i="36"/>
  <c r="W22" i="36"/>
  <c r="AA8" i="40"/>
  <c r="S8" i="40"/>
  <c r="F38" i="40"/>
  <c r="J38" i="40"/>
  <c r="AB31" i="35"/>
  <c r="U31" i="35"/>
  <c r="AA36" i="39"/>
  <c r="S36" i="39"/>
  <c r="AA27" i="37"/>
  <c r="S27" i="37"/>
  <c r="AA14" i="71"/>
  <c r="AB18" i="71"/>
  <c r="AB12" i="71"/>
  <c r="X18" i="71"/>
  <c r="X6" i="71"/>
  <c r="G1" i="78"/>
  <c r="C51" i="10"/>
  <c r="G586" i="3"/>
  <c r="G585" i="3"/>
  <c r="G578" i="3"/>
  <c r="G577" i="3"/>
  <c r="G562" i="3"/>
  <c r="G561" i="3"/>
  <c r="G554" i="3"/>
  <c r="G553" i="3"/>
  <c r="G546" i="3"/>
  <c r="G545" i="3"/>
  <c r="G538" i="3"/>
  <c r="G537" i="3"/>
  <c r="G530" i="3"/>
  <c r="G529" i="3"/>
  <c r="G522" i="3"/>
  <c r="G521" i="3"/>
  <c r="W21" i="34"/>
  <c r="AB21" i="33"/>
  <c r="W29" i="39"/>
  <c r="W25" i="40"/>
  <c r="P27" i="6"/>
  <c r="X19" i="71"/>
  <c r="AA15" i="71"/>
  <c r="AB13" i="71"/>
  <c r="AB19" i="71"/>
  <c r="AE10" i="43"/>
  <c r="F34" i="43"/>
  <c r="J37" i="37"/>
  <c r="J27" i="37"/>
  <c r="J13" i="37"/>
  <c r="H27" i="37"/>
  <c r="H14" i="37"/>
  <c r="G566" i="3"/>
  <c r="G565" i="3"/>
  <c r="G510" i="3"/>
  <c r="G509" i="3"/>
  <c r="G502" i="3"/>
  <c r="G501" i="3"/>
  <c r="G494" i="3"/>
  <c r="G493" i="3"/>
  <c r="G486" i="3"/>
  <c r="G485" i="3"/>
  <c r="G478" i="3"/>
  <c r="G477" i="3"/>
  <c r="G470" i="3"/>
  <c r="G469" i="3"/>
  <c r="G462" i="3"/>
  <c r="G461" i="3"/>
  <c r="G454" i="3"/>
  <c r="G453" i="3"/>
  <c r="G446" i="3"/>
  <c r="G445" i="3"/>
  <c r="G438" i="3"/>
  <c r="G437" i="3"/>
  <c r="G430" i="3"/>
  <c r="G429" i="3"/>
  <c r="G422" i="3"/>
  <c r="G421" i="3"/>
  <c r="G414" i="3"/>
  <c r="G413" i="3"/>
  <c r="G406" i="3"/>
  <c r="G405" i="3"/>
  <c r="G398" i="3"/>
  <c r="G397" i="3"/>
  <c r="G390" i="3"/>
  <c r="G389" i="3"/>
  <c r="G382" i="3"/>
  <c r="G381" i="3"/>
  <c r="G374" i="3"/>
  <c r="G373" i="3"/>
  <c r="G366" i="3"/>
  <c r="G365" i="3"/>
  <c r="G358" i="3"/>
  <c r="G357" i="3"/>
  <c r="G350" i="3"/>
  <c r="G349" i="3"/>
  <c r="G342" i="3"/>
  <c r="G341" i="3"/>
  <c r="G334" i="3"/>
  <c r="G333" i="3"/>
  <c r="G326" i="3"/>
  <c r="G325" i="3"/>
  <c r="G318" i="3"/>
  <c r="G317" i="3"/>
  <c r="G310" i="3"/>
  <c r="G309" i="3"/>
  <c r="G302" i="3"/>
  <c r="G301" i="3"/>
  <c r="G294" i="3"/>
  <c r="G293" i="3"/>
  <c r="G286" i="3"/>
  <c r="G285" i="3"/>
  <c r="G284" i="3"/>
  <c r="G283" i="3"/>
  <c r="G276" i="3"/>
  <c r="G275" i="3"/>
  <c r="G268" i="3"/>
  <c r="G267" i="3"/>
  <c r="G260" i="3"/>
  <c r="G259" i="3"/>
  <c r="G252" i="3"/>
  <c r="G251" i="3"/>
  <c r="G244" i="3"/>
  <c r="G243" i="3"/>
  <c r="G236" i="3"/>
  <c r="G235" i="3"/>
  <c r="G228" i="3"/>
  <c r="G227" i="3"/>
  <c r="G220" i="3"/>
  <c r="G219" i="3"/>
  <c r="G212" i="3"/>
  <c r="G211" i="3"/>
  <c r="G204" i="3"/>
  <c r="G203" i="3"/>
  <c r="G196" i="3"/>
  <c r="G195" i="3"/>
  <c r="G188" i="3"/>
  <c r="G187" i="3"/>
  <c r="G180" i="3"/>
  <c r="G179" i="3"/>
  <c r="G172" i="3"/>
  <c r="G171" i="3"/>
  <c r="G164" i="3"/>
  <c r="G163" i="3"/>
  <c r="G156" i="3"/>
  <c r="G155" i="3"/>
  <c r="G148" i="3"/>
  <c r="G147" i="3"/>
  <c r="G140" i="3"/>
  <c r="G139" i="3"/>
  <c r="G132" i="3"/>
  <c r="G131" i="3"/>
  <c r="G124" i="3"/>
  <c r="G123" i="3"/>
  <c r="G119" i="3"/>
  <c r="G112" i="3"/>
  <c r="G111" i="3"/>
  <c r="G104" i="3"/>
  <c r="G103" i="3"/>
  <c r="G96" i="3"/>
  <c r="G95" i="3"/>
  <c r="G88" i="3"/>
  <c r="G87" i="3"/>
  <c r="G80" i="3"/>
  <c r="G79" i="3"/>
  <c r="G72" i="3"/>
  <c r="G71" i="3"/>
  <c r="G67" i="3"/>
  <c r="G60" i="3"/>
  <c r="G59" i="3"/>
  <c r="G52" i="3"/>
  <c r="G51" i="3"/>
  <c r="G44" i="3"/>
  <c r="G43" i="3"/>
  <c r="G36" i="3"/>
  <c r="G35" i="3"/>
  <c r="G28" i="3"/>
  <c r="G27" i="3"/>
  <c r="G20" i="3"/>
  <c r="G19" i="3"/>
  <c r="BA587" i="3"/>
  <c r="BA583" i="3"/>
  <c r="AZ582" i="3"/>
  <c r="BA579" i="3"/>
  <c r="BA575" i="3"/>
  <c r="BL572" i="3"/>
  <c r="AZ572" i="3" s="1"/>
  <c r="BA569" i="3"/>
  <c r="BA566" i="3"/>
  <c r="BA563" i="3"/>
  <c r="BA560" i="3"/>
  <c r="BL556" i="3"/>
  <c r="BA552" i="3"/>
  <c r="BA548" i="3"/>
  <c r="BA545" i="3"/>
  <c r="BA541" i="3"/>
  <c r="AZ540" i="3"/>
  <c r="BA538" i="3"/>
  <c r="AZ537" i="3"/>
  <c r="BL535" i="3"/>
  <c r="AZ535" i="3" s="1"/>
  <c r="BL530" i="3"/>
  <c r="BA527" i="3"/>
  <c r="BL523" i="3"/>
  <c r="BL522" i="3"/>
  <c r="AZ522" i="3" s="1"/>
  <c r="BA520" i="3"/>
  <c r="BL517" i="3"/>
  <c r="AZ517" i="3" s="1"/>
  <c r="BA516" i="3"/>
  <c r="AZ516" i="3" s="1"/>
  <c r="BA512" i="3"/>
  <c r="BL509" i="3"/>
  <c r="BA508" i="3"/>
  <c r="AZ507" i="3"/>
  <c r="BA505" i="3"/>
  <c r="BL499" i="3"/>
  <c r="AZ499" i="3" s="1"/>
  <c r="BA492" i="3"/>
  <c r="BA490" i="3"/>
  <c r="AZ490" i="3" s="1"/>
  <c r="BA486" i="3"/>
  <c r="AZ485" i="3"/>
  <c r="BA481" i="3"/>
  <c r="BA477" i="3"/>
  <c r="BL471" i="3"/>
  <c r="BL470" i="3"/>
  <c r="AZ470" i="3" s="1"/>
  <c r="BL467" i="3"/>
  <c r="BL463" i="3"/>
  <c r="BL459" i="3"/>
  <c r="BL455" i="3"/>
  <c r="BL451" i="3"/>
  <c r="BA444" i="3"/>
  <c r="BL443" i="3"/>
  <c r="BA436" i="3"/>
  <c r="BL435" i="3"/>
  <c r="BL429" i="3"/>
  <c r="BA428" i="3"/>
  <c r="BL421" i="3"/>
  <c r="BA585" i="3"/>
  <c r="BL584" i="3"/>
  <c r="AZ584" i="3" s="1"/>
  <c r="BA581" i="3"/>
  <c r="BL580" i="3"/>
  <c r="AZ580" i="3" s="1"/>
  <c r="BA577" i="3"/>
  <c r="BA574" i="3"/>
  <c r="BL573" i="3"/>
  <c r="AZ573" i="3" s="1"/>
  <c r="BA571" i="3"/>
  <c r="BA568" i="3"/>
  <c r="BL567" i="3"/>
  <c r="AZ567" i="3" s="1"/>
  <c r="BA564" i="3"/>
  <c r="BA561" i="3"/>
  <c r="BL558" i="3"/>
  <c r="BL554" i="3"/>
  <c r="BA554" i="3"/>
  <c r="BL553" i="3"/>
  <c r="AZ553" i="3" s="1"/>
  <c r="BA550" i="3"/>
  <c r="BA546" i="3"/>
  <c r="BA543" i="3"/>
  <c r="AZ542" i="3"/>
  <c r="BA539" i="3"/>
  <c r="BL536" i="3"/>
  <c r="AZ536" i="3" s="1"/>
  <c r="BA534" i="3"/>
  <c r="BA532" i="3"/>
  <c r="AZ532" i="3" s="1"/>
  <c r="BL531" i="3"/>
  <c r="AZ531" i="3" s="1"/>
  <c r="BA528" i="3"/>
  <c r="BL525" i="3"/>
  <c r="BA525" i="3"/>
  <c r="BA521" i="3"/>
  <c r="BL518" i="3"/>
  <c r="AZ518" i="3" s="1"/>
  <c r="BA514" i="3"/>
  <c r="BL513" i="3"/>
  <c r="AZ513" i="3" s="1"/>
  <c r="BA511" i="3"/>
  <c r="BL510" i="3"/>
  <c r="AZ510" i="3" s="1"/>
  <c r="AZ506" i="3"/>
  <c r="BA504" i="3"/>
  <c r="BL503" i="3"/>
  <c r="AZ503" i="3" s="1"/>
  <c r="BA501" i="3"/>
  <c r="BL500" i="3"/>
  <c r="AZ500" i="3" s="1"/>
  <c r="BL498" i="3"/>
  <c r="BA498" i="3"/>
  <c r="BL496" i="3"/>
  <c r="AZ496" i="3" s="1"/>
  <c r="BL493" i="3"/>
  <c r="AZ493" i="3" s="1"/>
  <c r="BL488" i="3"/>
  <c r="BA488" i="3"/>
  <c r="BL484" i="3"/>
  <c r="AZ484" i="3" s="1"/>
  <c r="BA483" i="3"/>
  <c r="AZ483" i="3" s="1"/>
  <c r="BL482" i="3"/>
  <c r="AZ482" i="3" s="1"/>
  <c r="BA479" i="3"/>
  <c r="BL478" i="3"/>
  <c r="AZ478" i="3" s="1"/>
  <c r="BA475" i="3"/>
  <c r="BA473" i="3"/>
  <c r="AZ473" i="3" s="1"/>
  <c r="BL469" i="3"/>
  <c r="BL465" i="3"/>
  <c r="BL461" i="3"/>
  <c r="BL457" i="3"/>
  <c r="BL453" i="3"/>
  <c r="BA448" i="3"/>
  <c r="BL447" i="3"/>
  <c r="BA440" i="3"/>
  <c r="BL439" i="3"/>
  <c r="BA432" i="3"/>
  <c r="BL425" i="3"/>
  <c r="BA424" i="3"/>
  <c r="BA420" i="3"/>
  <c r="BA416" i="3"/>
  <c r="BA412" i="3"/>
  <c r="BA408" i="3"/>
  <c r="BA404" i="3"/>
  <c r="BA402" i="3"/>
  <c r="AZ402" i="3" s="1"/>
  <c r="BL398" i="3"/>
  <c r="BL394" i="3"/>
  <c r="BL390" i="3"/>
  <c r="BL385" i="3"/>
  <c r="BL381" i="3"/>
  <c r="BA377" i="3"/>
  <c r="BA363" i="3"/>
  <c r="BA359" i="3"/>
  <c r="BA351" i="3"/>
  <c r="BA329" i="3"/>
  <c r="BA325" i="3"/>
  <c r="BA303" i="3"/>
  <c r="BA299" i="3"/>
  <c r="BA295" i="3"/>
  <c r="BA289" i="3"/>
  <c r="BA285" i="3"/>
  <c r="BA281" i="3"/>
  <c r="BA277" i="3"/>
  <c r="BA273" i="3"/>
  <c r="BA269" i="3"/>
  <c r="BA265" i="3"/>
  <c r="BA261" i="3"/>
  <c r="BA249" i="3"/>
  <c r="BA245" i="3"/>
  <c r="BL196" i="3"/>
  <c r="BL188" i="3"/>
  <c r="BA187" i="3"/>
  <c r="BL180" i="3"/>
  <c r="BA179" i="3"/>
  <c r="BL172" i="3"/>
  <c r="BA171" i="3"/>
  <c r="BL164" i="3"/>
  <c r="BA163" i="3"/>
  <c r="BL156" i="3"/>
  <c r="BA155" i="3"/>
  <c r="BL148" i="3"/>
  <c r="BA147" i="3"/>
  <c r="BL140" i="3"/>
  <c r="BA139" i="3"/>
  <c r="BL132" i="3"/>
  <c r="BA131" i="3"/>
  <c r="BL124" i="3"/>
  <c r="BA123" i="3"/>
  <c r="BL116" i="3"/>
  <c r="BA115" i="3"/>
  <c r="BL108" i="3"/>
  <c r="BA107" i="3"/>
  <c r="BL100" i="3"/>
  <c r="BA99" i="3"/>
  <c r="BL92" i="3"/>
  <c r="BA91" i="3"/>
  <c r="BL82" i="3"/>
  <c r="BA81" i="3"/>
  <c r="BA71" i="3"/>
  <c r="BL70" i="3"/>
  <c r="BA61" i="3"/>
  <c r="BA59" i="3"/>
  <c r="BL50" i="3"/>
  <c r="BA49" i="3"/>
  <c r="BA39" i="3"/>
  <c r="BL38" i="3"/>
  <c r="BA29" i="3"/>
  <c r="BA27" i="3"/>
  <c r="BL18" i="3"/>
  <c r="BA17" i="3"/>
  <c r="BQ5" i="3"/>
  <c r="BL449" i="3"/>
  <c r="BL445" i="3"/>
  <c r="BL441" i="3"/>
  <c r="BL437" i="3"/>
  <c r="BL433" i="3"/>
  <c r="BA430" i="3"/>
  <c r="BA426" i="3"/>
  <c r="BA422" i="3"/>
  <c r="BA418" i="3"/>
  <c r="BA414" i="3"/>
  <c r="BA410" i="3"/>
  <c r="BA406" i="3"/>
  <c r="BL400" i="3"/>
  <c r="BA400" i="3"/>
  <c r="BL396" i="3"/>
  <c r="BL392" i="3"/>
  <c r="BL387" i="3"/>
  <c r="BL383" i="3"/>
  <c r="BL379" i="3"/>
  <c r="BA375" i="3"/>
  <c r="BL372" i="3"/>
  <c r="BA369" i="3"/>
  <c r="BA365" i="3"/>
  <c r="BA361" i="3"/>
  <c r="BA357" i="3"/>
  <c r="BA349" i="3"/>
  <c r="BA343" i="3"/>
  <c r="BL336" i="3"/>
  <c r="BA331" i="3"/>
  <c r="BA327" i="3"/>
  <c r="BA323" i="3"/>
  <c r="BA317" i="3"/>
  <c r="BA305" i="3"/>
  <c r="BA301" i="3"/>
  <c r="BA297" i="3"/>
  <c r="BA293" i="3"/>
  <c r="BA287" i="3"/>
  <c r="BA283" i="3"/>
  <c r="BA279" i="3"/>
  <c r="BA275" i="3"/>
  <c r="BA271" i="3"/>
  <c r="BA267" i="3"/>
  <c r="BA263" i="3"/>
  <c r="BA259" i="3"/>
  <c r="BA255" i="3"/>
  <c r="BA251" i="3"/>
  <c r="BA247" i="3"/>
  <c r="BA243" i="3"/>
  <c r="BL240" i="3"/>
  <c r="BL232" i="3"/>
  <c r="BL218" i="3"/>
  <c r="BL214" i="3"/>
  <c r="BL206" i="3"/>
  <c r="BL202" i="3"/>
  <c r="BL200" i="3"/>
  <c r="BL192" i="3"/>
  <c r="BA191" i="3"/>
  <c r="BL184" i="3"/>
  <c r="BA183" i="3"/>
  <c r="BL176" i="3"/>
  <c r="BA175" i="3"/>
  <c r="BL168" i="3"/>
  <c r="BA167" i="3"/>
  <c r="BL160" i="3"/>
  <c r="BA159" i="3"/>
  <c r="BL152" i="3"/>
  <c r="BA151" i="3"/>
  <c r="BL144" i="3"/>
  <c r="BA143" i="3"/>
  <c r="BL136" i="3"/>
  <c r="BA135" i="3"/>
  <c r="BL128" i="3"/>
  <c r="BA127" i="3"/>
  <c r="BL120" i="3"/>
  <c r="BA119" i="3"/>
  <c r="BL112" i="3"/>
  <c r="BA111" i="3"/>
  <c r="BL104" i="3"/>
  <c r="BA103" i="3"/>
  <c r="BL96" i="3"/>
  <c r="BA95" i="3"/>
  <c r="BA87" i="3"/>
  <c r="BL86" i="3"/>
  <c r="BA77" i="3"/>
  <c r="BA75" i="3"/>
  <c r="BL66" i="3"/>
  <c r="BA65" i="3"/>
  <c r="BA55" i="3"/>
  <c r="BL54" i="3"/>
  <c r="BA45" i="3"/>
  <c r="BA43" i="3"/>
  <c r="BL34" i="3"/>
  <c r="BA33" i="3"/>
  <c r="BA23" i="3"/>
  <c r="BL22" i="3"/>
  <c r="BS5" i="3"/>
  <c r="BA193" i="3"/>
  <c r="BA189" i="3"/>
  <c r="BA185" i="3"/>
  <c r="BA181" i="3"/>
  <c r="BA177" i="3"/>
  <c r="BA173" i="3"/>
  <c r="BA169" i="3"/>
  <c r="BA165" i="3"/>
  <c r="BA161" i="3"/>
  <c r="BA157" i="3"/>
  <c r="BA153" i="3"/>
  <c r="BA149" i="3"/>
  <c r="BA145" i="3"/>
  <c r="BA141" i="3"/>
  <c r="BA137" i="3"/>
  <c r="BA133" i="3"/>
  <c r="BA129" i="3"/>
  <c r="BA125" i="3"/>
  <c r="BA121" i="3"/>
  <c r="BA117" i="3"/>
  <c r="BA113" i="3"/>
  <c r="BA109" i="3"/>
  <c r="BA105" i="3"/>
  <c r="BA101" i="3"/>
  <c r="BA97" i="3"/>
  <c r="BA93" i="3"/>
  <c r="BA89" i="3"/>
  <c r="BA83" i="3"/>
  <c r="BL78" i="3"/>
  <c r="BA73" i="3"/>
  <c r="BA67" i="3"/>
  <c r="BL62" i="3"/>
  <c r="BA57" i="3"/>
  <c r="BA51" i="3"/>
  <c r="BL46" i="3"/>
  <c r="BA41" i="3"/>
  <c r="BA35" i="3"/>
  <c r="BL30" i="3"/>
  <c r="BA25" i="3"/>
  <c r="BA19" i="3"/>
  <c r="BL14" i="3"/>
  <c r="F35" i="37"/>
  <c r="F103" i="37"/>
  <c r="G103" i="37" s="1"/>
  <c r="H103" i="37" s="1"/>
  <c r="I103" i="37" s="1"/>
  <c r="J103" i="37" s="1"/>
  <c r="K103" i="37" s="1"/>
  <c r="L103" i="37" s="1"/>
  <c r="M103" i="37" s="1"/>
  <c r="W35" i="37"/>
  <c r="H35" i="37"/>
  <c r="J36" i="37"/>
  <c r="C40" i="69"/>
  <c r="F36" i="37"/>
  <c r="H36" i="37"/>
  <c r="G105" i="37"/>
  <c r="G22" i="11"/>
  <c r="G22" i="68"/>
  <c r="G25" i="12"/>
  <c r="G41" i="11"/>
  <c r="G27" i="12"/>
  <c r="G41" i="68"/>
  <c r="G41" i="69"/>
  <c r="D22" i="67"/>
  <c r="F34" i="68"/>
  <c r="Q52" i="67"/>
  <c r="D22" i="15"/>
  <c r="C23" i="12"/>
  <c r="D14" i="53"/>
  <c r="B32" i="72" s="1"/>
  <c r="B30" i="72"/>
  <c r="D9" i="53"/>
  <c r="B25" i="72" s="1"/>
  <c r="B24" i="72"/>
  <c r="W45" i="21"/>
  <c r="AC45" i="21"/>
  <c r="AC9" i="36"/>
  <c r="W9" i="36"/>
  <c r="T35" i="4"/>
  <c r="A19" i="51" s="1"/>
  <c r="B14" i="72" s="1"/>
  <c r="K141" i="21"/>
  <c r="K143" i="21"/>
  <c r="K145" i="21"/>
  <c r="K144" i="21"/>
  <c r="U9" i="34"/>
  <c r="AB9" i="34"/>
  <c r="AB36" i="35"/>
  <c r="U36" i="35"/>
  <c r="AC12" i="40"/>
  <c r="W12" i="40"/>
  <c r="F26" i="35"/>
  <c r="H26" i="35"/>
  <c r="J26" i="35"/>
  <c r="S22" i="31"/>
  <c r="R22" i="31" s="1"/>
  <c r="B21" i="31" s="1"/>
  <c r="D8" i="52"/>
  <c r="AB17" i="33"/>
  <c r="AB27" i="36"/>
  <c r="U12" i="39"/>
  <c r="AA39" i="34"/>
  <c r="S9" i="33"/>
  <c r="G12" i="1"/>
  <c r="G10" i="1"/>
  <c r="W21" i="21"/>
  <c r="AC21" i="21"/>
  <c r="C65" i="71"/>
  <c r="D65" i="71" s="1"/>
  <c r="D66" i="71"/>
  <c r="C49" i="71"/>
  <c r="O50" i="71"/>
  <c r="D45" i="71"/>
  <c r="C46" i="71"/>
  <c r="U63" i="71"/>
  <c r="E62" i="71"/>
  <c r="E61" i="71" s="1"/>
  <c r="A15" i="62"/>
  <c r="B61" i="72" s="1"/>
  <c r="C10" i="71"/>
  <c r="C9" i="71" s="1"/>
  <c r="D9" i="71" s="1"/>
  <c r="D11" i="71"/>
  <c r="U11" i="71" s="1"/>
  <c r="C6" i="71"/>
  <c r="D7" i="71"/>
  <c r="U7" i="71" s="1"/>
  <c r="T7" i="71"/>
  <c r="C21" i="71"/>
  <c r="Y19" i="71"/>
  <c r="Z19" i="71" s="1"/>
  <c r="Y18" i="71"/>
  <c r="Z18" i="71" s="1"/>
  <c r="C17" i="71"/>
  <c r="Y16" i="71"/>
  <c r="Z16" i="71" s="1"/>
  <c r="Y13" i="71"/>
  <c r="Z13" i="71" s="1"/>
  <c r="C13" i="71"/>
  <c r="Y12" i="71"/>
  <c r="Z12" i="71" s="1"/>
  <c r="Y10" i="71"/>
  <c r="Z10" i="71" s="1"/>
  <c r="Y6" i="71"/>
  <c r="Z6" i="71" s="1"/>
  <c r="Y8" i="71"/>
  <c r="Z8" i="71" s="1"/>
  <c r="Y5" i="71"/>
  <c r="Z5" i="71" s="1"/>
  <c r="AA18" i="71"/>
  <c r="AA19" i="71"/>
  <c r="E18" i="71"/>
  <c r="E19" i="71" s="1"/>
  <c r="U19" i="71" s="1"/>
  <c r="AA17" i="71"/>
  <c r="AA12" i="71"/>
  <c r="E11" i="71"/>
  <c r="AA11" i="71"/>
  <c r="AA9" i="71"/>
  <c r="E6" i="71"/>
  <c r="E5" i="71" s="1"/>
  <c r="V7" i="71"/>
  <c r="AA3" i="71"/>
  <c r="AB17" i="71"/>
  <c r="AB16" i="71"/>
  <c r="AB15" i="71"/>
  <c r="AB14" i="71"/>
  <c r="AB10" i="71"/>
  <c r="AB8" i="71"/>
  <c r="F7" i="71"/>
  <c r="F6" i="71" s="1"/>
  <c r="F5" i="71" s="1"/>
  <c r="AB7" i="71"/>
  <c r="AB6" i="71"/>
  <c r="X14" i="71"/>
  <c r="X15" i="71"/>
  <c r="X13" i="71"/>
  <c r="B11" i="71"/>
  <c r="X10" i="71"/>
  <c r="X11" i="71"/>
  <c r="X8" i="71"/>
  <c r="X7" i="71"/>
  <c r="AB21" i="37"/>
  <c r="U21" i="37"/>
  <c r="F38" i="37"/>
  <c r="J38" i="37"/>
  <c r="F34" i="37"/>
  <c r="J34" i="37"/>
  <c r="F29" i="37"/>
  <c r="J29" i="37"/>
  <c r="F26" i="37"/>
  <c r="H26" i="37"/>
  <c r="F15" i="37"/>
  <c r="H15" i="37"/>
  <c r="J15" i="37"/>
  <c r="F9" i="36"/>
  <c r="H9" i="36"/>
  <c r="E11" i="6"/>
  <c r="E61" i="39" s="1"/>
  <c r="U21" i="21"/>
  <c r="AC21" i="33"/>
  <c r="W21" i="33"/>
  <c r="U25" i="40"/>
  <c r="AB18" i="36"/>
  <c r="U18" i="36"/>
  <c r="AA25" i="40"/>
  <c r="S25" i="40"/>
  <c r="C61" i="71"/>
  <c r="D61" i="71" s="1"/>
  <c r="AA8" i="71"/>
  <c r="AB9" i="71"/>
  <c r="T11" i="71"/>
  <c r="E54" i="71"/>
  <c r="E53" i="71" s="1"/>
  <c r="X3" i="71"/>
  <c r="Y11" i="71"/>
  <c r="Z11" i="71" s="1"/>
  <c r="Y3" i="71"/>
  <c r="Z3" i="71" s="1"/>
  <c r="Y20" i="71"/>
  <c r="Z20" i="71" s="1"/>
  <c r="AA20" i="71"/>
  <c r="X12" i="71"/>
  <c r="Y14" i="71"/>
  <c r="Z14" i="71" s="1"/>
  <c r="Y17" i="71"/>
  <c r="Z17" i="71" s="1"/>
  <c r="AB21" i="71"/>
  <c r="Y22" i="71"/>
  <c r="Z22" i="71" s="1"/>
  <c r="S51" i="71"/>
  <c r="N51" i="71"/>
  <c r="T55" i="71"/>
  <c r="C54" i="71"/>
  <c r="T63" i="71"/>
  <c r="D63" i="71"/>
  <c r="D71" i="71"/>
  <c r="C70" i="71"/>
  <c r="AF12" i="43"/>
  <c r="AF10" i="43"/>
  <c r="P61" i="15"/>
  <c r="P61" i="67"/>
  <c r="P74" i="67"/>
  <c r="AA7" i="71"/>
  <c r="E22" i="71"/>
  <c r="E23" i="71" s="1"/>
  <c r="U23" i="71" s="1"/>
  <c r="F11" i="71"/>
  <c r="F10" i="71" s="1"/>
  <c r="F9" i="71" s="1"/>
  <c r="B7" i="71"/>
  <c r="P61" i="78"/>
  <c r="H29" i="37"/>
  <c r="H12" i="37"/>
  <c r="F39" i="37"/>
  <c r="H39" i="37"/>
  <c r="F25" i="37"/>
  <c r="J25" i="37"/>
  <c r="E12" i="6"/>
  <c r="E57" i="40" s="1"/>
  <c r="F19" i="6"/>
  <c r="C30" i="37" s="1"/>
  <c r="H30" i="37" s="1"/>
  <c r="D3" i="37"/>
  <c r="E59" i="43"/>
  <c r="B57" i="43" s="1"/>
  <c r="I20" i="66"/>
  <c r="D1" i="66" s="1"/>
  <c r="E10" i="66" s="1"/>
  <c r="F38" i="71"/>
  <c r="F39" i="71" s="1"/>
  <c r="V39" i="71" s="1"/>
  <c r="F22" i="71"/>
  <c r="F23" i="71" s="1"/>
  <c r="B22" i="71"/>
  <c r="B23" i="71" s="1"/>
  <c r="S23" i="71" s="1"/>
  <c r="F14" i="71"/>
  <c r="F15" i="71" s="1"/>
  <c r="V15" i="71" s="1"/>
  <c r="B14" i="71"/>
  <c r="B15" i="71" s="1"/>
  <c r="S15" i="71" s="1"/>
  <c r="AB5" i="71"/>
  <c r="X5" i="71"/>
  <c r="F34" i="15"/>
  <c r="F62" i="15" s="1"/>
  <c r="F34" i="80"/>
  <c r="F62" i="80" s="1"/>
  <c r="M20" i="80"/>
  <c r="F32" i="80"/>
  <c r="F60" i="80" s="1"/>
  <c r="F28" i="80"/>
  <c r="M18" i="80"/>
  <c r="C9" i="1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578" i="3"/>
  <c r="AZ578" i="3" s="1"/>
  <c r="AZ574" i="3"/>
  <c r="AZ568" i="3"/>
  <c r="AZ563" i="3"/>
  <c r="BL562" i="3"/>
  <c r="AZ562" i="3" s="1"/>
  <c r="AZ560" i="3"/>
  <c r="BL559" i="3"/>
  <c r="AZ559" i="3" s="1"/>
  <c r="AZ558" i="3"/>
  <c r="BL557" i="3"/>
  <c r="AZ557" i="3" s="1"/>
  <c r="BA556" i="3"/>
  <c r="AZ556" i="3" s="1"/>
  <c r="BL555" i="3"/>
  <c r="AZ555" i="3" s="1"/>
  <c r="AZ554" i="3"/>
  <c r="AZ545" i="3"/>
  <c r="AZ538" i="3"/>
  <c r="AZ530" i="3"/>
  <c r="BL529" i="3"/>
  <c r="AZ529" i="3" s="1"/>
  <c r="AZ527" i="3"/>
  <c r="BL526" i="3"/>
  <c r="AZ526" i="3" s="1"/>
  <c r="AZ525" i="3"/>
  <c r="BL524" i="3"/>
  <c r="AZ524" i="3" s="1"/>
  <c r="AZ523" i="3"/>
  <c r="AZ520" i="3"/>
  <c r="AZ511" i="3"/>
  <c r="AZ509" i="3"/>
  <c r="BL508" i="3"/>
  <c r="AZ508" i="3" s="1"/>
  <c r="BL505" i="3"/>
  <c r="AZ505" i="3" s="1"/>
  <c r="BL501" i="3"/>
  <c r="AZ501" i="3" s="1"/>
  <c r="BA495" i="3"/>
  <c r="BL587" i="3"/>
  <c r="AZ587" i="3" s="1"/>
  <c r="BA586" i="3"/>
  <c r="AZ586" i="3" s="1"/>
  <c r="BL585" i="3"/>
  <c r="AZ585" i="3" s="1"/>
  <c r="BL583" i="3"/>
  <c r="AZ583" i="3" s="1"/>
  <c r="BL581" i="3"/>
  <c r="AZ581" i="3" s="1"/>
  <c r="BL579" i="3"/>
  <c r="AZ579" i="3" s="1"/>
  <c r="BL577" i="3"/>
  <c r="AZ577" i="3" s="1"/>
  <c r="BA576" i="3"/>
  <c r="AZ576" i="3" s="1"/>
  <c r="BL575" i="3"/>
  <c r="AZ575" i="3" s="1"/>
  <c r="BL571" i="3"/>
  <c r="AZ571" i="3" s="1"/>
  <c r="BA570" i="3"/>
  <c r="AZ570" i="3" s="1"/>
  <c r="BL569" i="3"/>
  <c r="AZ569" i="3" s="1"/>
  <c r="BL566" i="3"/>
  <c r="AZ566" i="3" s="1"/>
  <c r="BL564" i="3"/>
  <c r="AZ564" i="3" s="1"/>
  <c r="BL561" i="3"/>
  <c r="AZ561" i="3" s="1"/>
  <c r="BL552" i="3"/>
  <c r="AZ552" i="3" s="1"/>
  <c r="BL550" i="3"/>
  <c r="AZ550" i="3" s="1"/>
  <c r="BA549" i="3"/>
  <c r="AZ549" i="3" s="1"/>
  <c r="BL548" i="3"/>
  <c r="AZ548" i="3" s="1"/>
  <c r="BL546" i="3"/>
  <c r="AZ546" i="3" s="1"/>
  <c r="BL543" i="3"/>
  <c r="AZ543" i="3" s="1"/>
  <c r="BL541" i="3"/>
  <c r="AZ541" i="3" s="1"/>
  <c r="BL539" i="3"/>
  <c r="AZ539" i="3" s="1"/>
  <c r="BL534" i="3"/>
  <c r="AZ534" i="3" s="1"/>
  <c r="BL528" i="3"/>
  <c r="AZ528" i="3" s="1"/>
  <c r="BL521" i="3"/>
  <c r="AZ521" i="3" s="1"/>
  <c r="BL514" i="3"/>
  <c r="AZ514" i="3" s="1"/>
  <c r="BL512" i="3"/>
  <c r="AZ512" i="3" s="1"/>
  <c r="AZ504" i="3"/>
  <c r="AZ498" i="3"/>
  <c r="BA497" i="3"/>
  <c r="BL497" i="3"/>
  <c r="BL495" i="3"/>
  <c r="BL492" i="3"/>
  <c r="AZ492" i="3" s="1"/>
  <c r="BL486" i="3"/>
  <c r="AZ486" i="3" s="1"/>
  <c r="BL481" i="3"/>
  <c r="AZ481" i="3" s="1"/>
  <c r="BA480" i="3"/>
  <c r="AZ480" i="3" s="1"/>
  <c r="BL479" i="3"/>
  <c r="AZ479" i="3" s="1"/>
  <c r="BL477" i="3"/>
  <c r="AZ477" i="3" s="1"/>
  <c r="BA476" i="3"/>
  <c r="AZ476" i="3" s="1"/>
  <c r="BL475" i="3"/>
  <c r="AZ475" i="3" s="1"/>
  <c r="BA474" i="3"/>
  <c r="AZ474" i="3" s="1"/>
  <c r="AZ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BA387" i="3"/>
  <c r="BL386" i="3"/>
  <c r="AZ386" i="3" s="1"/>
  <c r="BA385" i="3"/>
  <c r="AZ385" i="3" s="1"/>
  <c r="BL384" i="3"/>
  <c r="AZ384" i="3" s="1"/>
  <c r="BA383" i="3"/>
  <c r="AZ383" i="3" s="1"/>
  <c r="BL382" i="3"/>
  <c r="AZ382" i="3" s="1"/>
  <c r="BA381" i="3"/>
  <c r="AZ381" i="3" s="1"/>
  <c r="BL380" i="3"/>
  <c r="AZ380" i="3" s="1"/>
  <c r="BA379" i="3"/>
  <c r="AZ379" i="3" s="1"/>
  <c r="BL378" i="3"/>
  <c r="AZ378" i="3" s="1"/>
  <c r="BA199" i="3"/>
  <c r="BA195" i="3"/>
  <c r="AZ488" i="3"/>
  <c r="BL487" i="3"/>
  <c r="AZ487" i="3" s="1"/>
  <c r="BL472" i="3"/>
  <c r="AZ472" i="3" s="1"/>
  <c r="BA471" i="3"/>
  <c r="AZ471" i="3" s="1"/>
  <c r="AZ469" i="3"/>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A201" i="3"/>
  <c r="BA197" i="3"/>
  <c r="BA13" i="3"/>
  <c r="K7" i="1"/>
  <c r="M7" i="1" s="1"/>
  <c r="G8" i="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P16" i="1"/>
  <c r="C11" i="12" s="1"/>
  <c r="C12" i="12" s="1"/>
  <c r="D9" i="68"/>
  <c r="C9" i="68" s="1"/>
  <c r="T13" i="1"/>
  <c r="D19" i="12"/>
  <c r="C19" i="12" s="1"/>
  <c r="D9" i="69"/>
  <c r="C9" i="69" s="1"/>
  <c r="AQ13" i="1"/>
  <c r="B6" i="49"/>
  <c r="B9" i="49"/>
  <c r="B22" i="49"/>
  <c r="O16" i="1"/>
  <c r="T10" i="1"/>
  <c r="T12" i="1"/>
  <c r="E14" i="6"/>
  <c r="E10" i="6"/>
  <c r="E13" i="6"/>
  <c r="C101" i="43"/>
  <c r="C102" i="43" s="1"/>
  <c r="B8" i="49"/>
  <c r="E9" i="49"/>
  <c r="E16" i="49"/>
  <c r="E6" i="49"/>
  <c r="B16" i="49"/>
  <c r="B7" i="49"/>
  <c r="E4" i="49"/>
  <c r="B4" i="49"/>
  <c r="E5" i="49"/>
  <c r="E10" i="49"/>
  <c r="E8" i="49"/>
  <c r="B13" i="49"/>
  <c r="B5" i="49"/>
  <c r="E22" i="49"/>
  <c r="B14" i="49"/>
  <c r="B10" i="49"/>
  <c r="B23" i="49"/>
  <c r="B20" i="31"/>
  <c r="B13" i="70"/>
  <c r="B12" i="70"/>
  <c r="B11" i="70"/>
  <c r="B10" i="70"/>
  <c r="B9" i="70"/>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s="1"/>
  <c r="BA242" i="3"/>
  <c r="AZ242" i="3" s="1"/>
  <c r="BL235" i="3"/>
  <c r="AZ235" i="3" s="1"/>
  <c r="BA234" i="3"/>
  <c r="AZ234" i="3" s="1"/>
  <c r="BL227" i="3"/>
  <c r="AZ227" i="3" s="1"/>
  <c r="BA226" i="3"/>
  <c r="AZ226" i="3" s="1"/>
  <c r="BL219" i="3"/>
  <c r="AZ219" i="3" s="1"/>
  <c r="BA218" i="3"/>
  <c r="AZ218" i="3" s="1"/>
  <c r="BL211" i="3"/>
  <c r="AZ211" i="3" s="1"/>
  <c r="BA210" i="3"/>
  <c r="AZ210" i="3" s="1"/>
  <c r="BL203" i="3"/>
  <c r="AZ203" i="3" s="1"/>
  <c r="BA202" i="3"/>
  <c r="AZ202" i="3" s="1"/>
  <c r="BL195" i="3"/>
  <c r="AZ195" i="3"/>
  <c r="BA194" i="3"/>
  <c r="AZ194" i="3" s="1"/>
  <c r="BL187" i="3"/>
  <c r="AZ187" i="3" s="1"/>
  <c r="BA186" i="3"/>
  <c r="AZ186" i="3" s="1"/>
  <c r="BL179" i="3"/>
  <c r="AZ179" i="3" s="1"/>
  <c r="BA178" i="3"/>
  <c r="AZ178" i="3" s="1"/>
  <c r="BL171" i="3"/>
  <c r="AZ171" i="3" s="1"/>
  <c r="BA170" i="3"/>
  <c r="AZ170" i="3" s="1"/>
  <c r="BL163" i="3"/>
  <c r="AZ163" i="3" s="1"/>
  <c r="BA162" i="3"/>
  <c r="AZ162" i="3" s="1"/>
  <c r="BL155" i="3"/>
  <c r="AZ155" i="3" s="1"/>
  <c r="BA154" i="3"/>
  <c r="AZ154" i="3" s="1"/>
  <c r="BL147" i="3"/>
  <c r="AZ147" i="3" s="1"/>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s="1"/>
  <c r="BA238" i="3"/>
  <c r="AZ238" i="3" s="1"/>
  <c r="BL231" i="3"/>
  <c r="AZ231" i="3" s="1"/>
  <c r="BA230" i="3"/>
  <c r="AZ230" i="3" s="1"/>
  <c r="BL223" i="3"/>
  <c r="AZ223" i="3" s="1"/>
  <c r="BA222" i="3"/>
  <c r="AZ222" i="3" s="1"/>
  <c r="BL215" i="3"/>
  <c r="AZ215" i="3" s="1"/>
  <c r="BA214" i="3"/>
  <c r="AZ214" i="3" s="1"/>
  <c r="BL207" i="3"/>
  <c r="AZ207" i="3" s="1"/>
  <c r="BA206" i="3"/>
  <c r="AZ206" i="3" s="1"/>
  <c r="BL199" i="3"/>
  <c r="AZ199" i="3" s="1"/>
  <c r="BA198" i="3"/>
  <c r="AZ198" i="3" s="1"/>
  <c r="BL191" i="3"/>
  <c r="AZ191" i="3"/>
  <c r="BA190" i="3"/>
  <c r="AZ190" i="3" s="1"/>
  <c r="BL183" i="3"/>
  <c r="AZ183" i="3" s="1"/>
  <c r="BA182" i="3"/>
  <c r="AZ182" i="3" s="1"/>
  <c r="BL175" i="3"/>
  <c r="AZ175" i="3" s="1"/>
  <c r="BA174" i="3"/>
  <c r="AZ174" i="3" s="1"/>
  <c r="BL167" i="3"/>
  <c r="AZ167" i="3" s="1"/>
  <c r="BA166" i="3"/>
  <c r="AZ166" i="3" s="1"/>
  <c r="BL159" i="3"/>
  <c r="AZ159" i="3" s="1"/>
  <c r="BA158" i="3"/>
  <c r="AZ158" i="3" s="1"/>
  <c r="BL151" i="3"/>
  <c r="AZ151" i="3" s="1"/>
  <c r="BA150" i="3"/>
  <c r="AZ150" i="3" s="1"/>
  <c r="BL143" i="3"/>
  <c r="AZ143" i="3" s="1"/>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L37" i="3"/>
  <c r="AZ37" i="3" s="1"/>
  <c r="BL33" i="3"/>
  <c r="AZ33" i="3" s="1"/>
  <c r="BL29" i="3"/>
  <c r="AZ29" i="3" s="1"/>
  <c r="BL25" i="3"/>
  <c r="AZ25" i="3" s="1"/>
  <c r="BL21" i="3"/>
  <c r="AZ21" i="3" s="1"/>
  <c r="BL17" i="3"/>
  <c r="AZ17" i="3" s="1"/>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F38" i="67"/>
  <c r="F26" i="78"/>
  <c r="F38" i="78"/>
  <c r="F37" i="80"/>
  <c r="M28" i="15"/>
  <c r="F16" i="78"/>
  <c r="M22" i="67"/>
  <c r="F13" i="67"/>
  <c r="C76" i="15"/>
  <c r="L47" i="67"/>
  <c r="F38" i="80"/>
  <c r="M28" i="78"/>
  <c r="F8" i="80"/>
  <c r="F42" i="80"/>
  <c r="M24" i="78"/>
  <c r="M23" i="80"/>
  <c r="F6" i="67"/>
  <c r="M28" i="80"/>
  <c r="F26" i="80"/>
  <c r="F42" i="15"/>
  <c r="C76" i="80"/>
  <c r="F40" i="78"/>
  <c r="F26" i="15"/>
  <c r="M29" i="67"/>
  <c r="M8" i="78"/>
  <c r="F9" i="67"/>
  <c r="C76" i="67"/>
  <c r="F37" i="15"/>
  <c r="F26" i="67"/>
  <c r="M24" i="67"/>
  <c r="F43" i="80"/>
  <c r="M29" i="80"/>
  <c r="M23" i="67"/>
  <c r="F36" i="78"/>
  <c r="L47" i="80"/>
  <c r="M26" i="67"/>
  <c r="F38" i="15"/>
  <c r="F36" i="67"/>
  <c r="J15" i="67"/>
  <c r="F16" i="15"/>
  <c r="F8" i="67"/>
  <c r="J15" i="80"/>
  <c r="F6" i="78"/>
  <c r="F8" i="78"/>
  <c r="M9" i="80"/>
  <c r="F9" i="80"/>
  <c r="M22" i="80"/>
  <c r="M6" i="15"/>
  <c r="J15" i="78"/>
  <c r="M26" i="78"/>
  <c r="M6" i="80"/>
  <c r="F36" i="80"/>
  <c r="M26" i="80"/>
  <c r="J15" i="15"/>
  <c r="F16" i="67"/>
  <c r="M8" i="80"/>
  <c r="F40" i="67"/>
  <c r="M28" i="67"/>
  <c r="F43" i="67"/>
  <c r="F16" i="80"/>
  <c r="F40" i="80"/>
  <c r="M23" i="15"/>
  <c r="M9" i="78"/>
  <c r="F9" i="15"/>
  <c r="L48" i="15"/>
  <c r="M22" i="15"/>
  <c r="F42" i="78"/>
  <c r="F8" i="15"/>
  <c r="F37" i="78"/>
  <c r="F7" i="67"/>
  <c r="F37" i="67"/>
  <c r="F6" i="15"/>
  <c r="L47" i="15"/>
  <c r="M6" i="67"/>
  <c r="M9" i="15"/>
  <c r="M23" i="78"/>
  <c r="M8" i="67"/>
  <c r="M24" i="15"/>
  <c r="F6" i="80"/>
  <c r="F40" i="15"/>
  <c r="F36" i="15"/>
  <c r="L48" i="67"/>
  <c r="M22" i="78"/>
  <c r="M24" i="80"/>
  <c r="F42" i="67"/>
  <c r="M9" i="67"/>
  <c r="L48" i="78"/>
  <c r="L48" i="80"/>
  <c r="F7" i="80"/>
  <c r="M8" i="15"/>
  <c r="M26" i="15"/>
  <c r="AZ495" i="3" l="1"/>
  <c r="AB27" i="37"/>
  <c r="U27" i="37"/>
  <c r="AC27" i="37"/>
  <c r="W27" i="37"/>
  <c r="AC38" i="40"/>
  <c r="W38" i="40"/>
  <c r="S39" i="40"/>
  <c r="AA39" i="40"/>
  <c r="W39" i="40"/>
  <c r="AC39" i="40"/>
  <c r="W43" i="39"/>
  <c r="AC43" i="39"/>
  <c r="AB31" i="39"/>
  <c r="U31" i="39"/>
  <c r="AC24" i="35"/>
  <c r="W24" i="35"/>
  <c r="U28" i="33"/>
  <c r="AB28" i="33"/>
  <c r="S29" i="34"/>
  <c r="AA29" i="34"/>
  <c r="U47" i="34"/>
  <c r="AB47" i="34"/>
  <c r="AB14" i="39"/>
  <c r="U14" i="39"/>
  <c r="U31" i="40"/>
  <c r="AB31" i="40"/>
  <c r="AB37" i="39"/>
  <c r="U37" i="39"/>
  <c r="AA23" i="35"/>
  <c r="S23" i="35"/>
  <c r="U13" i="35"/>
  <c r="AB13" i="35"/>
  <c r="S45" i="34"/>
  <c r="AA45" i="34"/>
  <c r="AB29" i="34"/>
  <c r="U29" i="34"/>
  <c r="S30" i="33"/>
  <c r="AA30" i="33"/>
  <c r="AA12" i="33"/>
  <c r="S12" i="33"/>
  <c r="AB30" i="37"/>
  <c r="U30" i="37"/>
  <c r="AB14" i="37"/>
  <c r="U14" i="37"/>
  <c r="AC13" i="37"/>
  <c r="W13" i="37"/>
  <c r="AC37" i="37"/>
  <c r="W37" i="37"/>
  <c r="AA38" i="40"/>
  <c r="S38" i="40"/>
  <c r="U39" i="40"/>
  <c r="AB39" i="40"/>
  <c r="AB32" i="40"/>
  <c r="U32" i="40"/>
  <c r="AB43" i="39"/>
  <c r="U43" i="39"/>
  <c r="AC31" i="39"/>
  <c r="W31" i="39"/>
  <c r="AB24" i="35"/>
  <c r="U24" i="35"/>
  <c r="W28" i="33"/>
  <c r="AC28" i="33"/>
  <c r="U44" i="33"/>
  <c r="AB44" i="33"/>
  <c r="S31" i="34"/>
  <c r="AA31" i="34"/>
  <c r="AC13" i="35"/>
  <c r="W13" i="35"/>
  <c r="U13" i="40"/>
  <c r="AB13" i="40"/>
  <c r="AA31" i="40"/>
  <c r="S31" i="40"/>
  <c r="AC31" i="40"/>
  <c r="W31" i="40"/>
  <c r="W37" i="39"/>
  <c r="AC37" i="39"/>
  <c r="U23" i="35"/>
  <c r="AB23" i="35"/>
  <c r="S13" i="35"/>
  <c r="AA13" i="35"/>
  <c r="U45" i="34"/>
  <c r="AB45" i="34"/>
  <c r="AC29" i="34"/>
  <c r="W29" i="34"/>
  <c r="AC30" i="33"/>
  <c r="W30" i="33"/>
  <c r="AC12" i="33"/>
  <c r="W12" i="33"/>
  <c r="AB35" i="37"/>
  <c r="U35" i="37"/>
  <c r="AA35" i="37"/>
  <c r="S35" i="37"/>
  <c r="AC36" i="37"/>
  <c r="W36" i="37"/>
  <c r="AB36" i="37"/>
  <c r="U36" i="37"/>
  <c r="AA36" i="37"/>
  <c r="S36" i="37"/>
  <c r="D101" i="43"/>
  <c r="D109" i="43" s="1"/>
  <c r="AG11" i="43"/>
  <c r="AG13" i="43" s="1"/>
  <c r="B113" i="43"/>
  <c r="D115" i="43" s="1"/>
  <c r="E115" i="43" s="1"/>
  <c r="F115" i="43" s="1"/>
  <c r="G115" i="43" s="1"/>
  <c r="H115" i="43" s="1"/>
  <c r="G22" i="43"/>
  <c r="K101" i="43"/>
  <c r="K107" i="43" s="1"/>
  <c r="AI11" i="43"/>
  <c r="AI13" i="43" s="1"/>
  <c r="I101" i="43"/>
  <c r="I104" i="43" s="1"/>
  <c r="J101" i="43"/>
  <c r="J106" i="43" s="1"/>
  <c r="Y11" i="43"/>
  <c r="Y13" i="43" s="1"/>
  <c r="AD11" i="43"/>
  <c r="AD13" i="43" s="1"/>
  <c r="H22" i="43"/>
  <c r="N101" i="43"/>
  <c r="N103" i="43" s="1"/>
  <c r="AJ11" i="43"/>
  <c r="AJ13" i="43" s="1"/>
  <c r="AZ497" i="3"/>
  <c r="AC25" i="37"/>
  <c r="W25" i="37"/>
  <c r="AB39" i="37"/>
  <c r="U39" i="37"/>
  <c r="AB12" i="37"/>
  <c r="U12" i="37"/>
  <c r="D70" i="71"/>
  <c r="C69" i="71"/>
  <c r="D69" i="71" s="1"/>
  <c r="C53" i="71"/>
  <c r="D53" i="71" s="1"/>
  <c r="D54" i="71"/>
  <c r="AB9" i="36"/>
  <c r="U9" i="36"/>
  <c r="W15" i="37"/>
  <c r="AC15" i="37"/>
  <c r="AA15" i="37"/>
  <c r="S15" i="37"/>
  <c r="AA26" i="37"/>
  <c r="S26" i="37"/>
  <c r="AA29" i="37"/>
  <c r="S29" i="37"/>
  <c r="AA34" i="37"/>
  <c r="S34" i="37"/>
  <c r="AA38" i="37"/>
  <c r="S38" i="37"/>
  <c r="U26" i="35"/>
  <c r="AB26" i="35"/>
  <c r="V23" i="71"/>
  <c r="M19" i="43"/>
  <c r="AA25" i="37"/>
  <c r="S25" i="37"/>
  <c r="AA39" i="37"/>
  <c r="S39" i="37"/>
  <c r="AB29" i="37"/>
  <c r="U29" i="37"/>
  <c r="B6" i="71"/>
  <c r="B5" i="71" s="1"/>
  <c r="S7" i="71"/>
  <c r="S9" i="36"/>
  <c r="AA9" i="36"/>
  <c r="AB15" i="37"/>
  <c r="U15" i="37"/>
  <c r="AB26" i="37"/>
  <c r="U26" i="37"/>
  <c r="AC29" i="37"/>
  <c r="W29" i="37"/>
  <c r="AC34" i="37"/>
  <c r="W34" i="37"/>
  <c r="AC38" i="37"/>
  <c r="W38" i="37"/>
  <c r="B10" i="71"/>
  <c r="B9" i="71" s="1"/>
  <c r="S11" i="71"/>
  <c r="C5" i="71"/>
  <c r="D5" i="71" s="1"/>
  <c r="D6" i="71"/>
  <c r="D46" i="71"/>
  <c r="C47" i="71"/>
  <c r="AC26" i="35"/>
  <c r="W26" i="35"/>
  <c r="AA26" i="35"/>
  <c r="S26" i="35"/>
  <c r="F64" i="80"/>
  <c r="F66" i="80"/>
  <c r="C6" i="80"/>
  <c r="F65" i="80"/>
  <c r="C27" i="80"/>
  <c r="F68" i="80"/>
  <c r="F51" i="80"/>
  <c r="Q71" i="80"/>
  <c r="F71" i="80"/>
  <c r="L58" i="80"/>
  <c r="Q73" i="80" s="1"/>
  <c r="M7" i="80"/>
  <c r="J6" i="80" s="1"/>
  <c r="F50" i="80"/>
  <c r="E101" i="43"/>
  <c r="E106" i="43" s="1"/>
  <c r="M101" i="43"/>
  <c r="M102" i="43" s="1"/>
  <c r="L101" i="43"/>
  <c r="L102" i="43" s="1"/>
  <c r="G101" i="43"/>
  <c r="G102" i="43" s="1"/>
  <c r="J22" i="43"/>
  <c r="AC11" i="43"/>
  <c r="AC13" i="43" s="1"/>
  <c r="Z11" i="43"/>
  <c r="Z13" i="43" s="1"/>
  <c r="AH11" i="43"/>
  <c r="AH13" i="43" s="1"/>
  <c r="H101" i="43"/>
  <c r="H106" i="43" s="1"/>
  <c r="N104" i="46"/>
  <c r="E22" i="43"/>
  <c r="F101" i="43"/>
  <c r="F105" i="43" s="1"/>
  <c r="F22" i="43"/>
  <c r="AA11" i="43"/>
  <c r="AA13" i="43" s="1"/>
  <c r="AB11" i="43"/>
  <c r="AB13" i="43" s="1"/>
  <c r="AE11" i="43"/>
  <c r="AE13" i="43" s="1"/>
  <c r="C4" i="4"/>
  <c r="B4" i="62" s="1"/>
  <c r="B71" i="72" s="1"/>
  <c r="J51" i="80"/>
  <c r="J51" i="15"/>
  <c r="L59" i="15" s="1"/>
  <c r="J51" i="78"/>
  <c r="D118" i="43"/>
  <c r="E118" i="43" s="1"/>
  <c r="F118" i="43" s="1"/>
  <c r="C105" i="43"/>
  <c r="I118" i="43"/>
  <c r="J118" i="43" s="1"/>
  <c r="K118" i="43" s="1"/>
  <c r="L118" i="43" s="1"/>
  <c r="M118" i="43" s="1"/>
  <c r="G7" i="1"/>
  <c r="I20" i="43"/>
  <c r="F66" i="67"/>
  <c r="F50" i="67"/>
  <c r="M7" i="67"/>
  <c r="J6" i="67" s="1"/>
  <c r="F71" i="67"/>
  <c r="Q71" i="15"/>
  <c r="M59" i="15"/>
  <c r="E60" i="40"/>
  <c r="C16" i="43"/>
  <c r="C5" i="43" s="1"/>
  <c r="C15" i="12"/>
  <c r="H82" i="43"/>
  <c r="H85" i="43"/>
  <c r="H84" i="43"/>
  <c r="H83" i="43"/>
  <c r="H86" i="43"/>
  <c r="H87" i="43"/>
  <c r="H81" i="43"/>
  <c r="H88" i="43"/>
  <c r="G103" i="43"/>
  <c r="L104" i="43"/>
  <c r="E63" i="39"/>
  <c r="E58" i="40"/>
  <c r="E59" i="40"/>
  <c r="E64" i="39"/>
  <c r="E16" i="6"/>
  <c r="E102" i="43"/>
  <c r="S7" i="43" s="1"/>
  <c r="M109" i="43"/>
  <c r="M106" i="43"/>
  <c r="M107" i="43"/>
  <c r="M105" i="43"/>
  <c r="L107" i="43"/>
  <c r="G104" i="43"/>
  <c r="G109" i="43"/>
  <c r="C104" i="43"/>
  <c r="C106" i="43"/>
  <c r="C107" i="43"/>
  <c r="C109" i="43"/>
  <c r="C103" i="43"/>
  <c r="N109" i="43"/>
  <c r="K104" i="43"/>
  <c r="K109" i="43"/>
  <c r="K102" i="43"/>
  <c r="I109" i="43"/>
  <c r="I107" i="43"/>
  <c r="I102" i="43"/>
  <c r="I106" i="43"/>
  <c r="D105" i="43"/>
  <c r="D102" i="43"/>
  <c r="S4" i="43" s="1"/>
  <c r="D103" i="43"/>
  <c r="B115" i="43"/>
  <c r="C115" i="43" s="1"/>
  <c r="I117" i="43"/>
  <c r="J117" i="43" s="1"/>
  <c r="K117" i="43" s="1"/>
  <c r="L117" i="43" s="1"/>
  <c r="M117" i="43" s="1"/>
  <c r="D117" i="43"/>
  <c r="E117" i="43" s="1"/>
  <c r="F117" i="43" s="1"/>
  <c r="G117" i="43" s="1"/>
  <c r="H117" i="43" s="1"/>
  <c r="D116" i="43"/>
  <c r="E116" i="43" s="1"/>
  <c r="F116" i="43" s="1"/>
  <c r="G116" i="43" s="1"/>
  <c r="H116" i="43" s="1"/>
  <c r="G118" i="43"/>
  <c r="H118" i="43" s="1"/>
  <c r="H102" i="43"/>
  <c r="F102" i="43"/>
  <c r="F109" i="43"/>
  <c r="F107" i="43"/>
  <c r="F103" i="43"/>
  <c r="C27" i="78"/>
  <c r="F51" i="78"/>
  <c r="J57" i="78"/>
  <c r="J55" i="78" s="1"/>
  <c r="J58" i="78" s="1"/>
  <c r="Q50" i="78" s="1"/>
  <c r="L56" i="78"/>
  <c r="L60" i="78"/>
  <c r="J59" i="78"/>
  <c r="L57" i="78"/>
  <c r="I54" i="78"/>
  <c r="J53" i="78"/>
  <c r="J60" i="78"/>
  <c r="Q48" i="78" s="1"/>
  <c r="F66" i="78"/>
  <c r="C27" i="15"/>
  <c r="Q71" i="67"/>
  <c r="J57" i="67"/>
  <c r="J55" i="67" s="1"/>
  <c r="J58" i="67" s="1"/>
  <c r="Q50" i="67" s="1"/>
  <c r="I54" i="67"/>
  <c r="L56" i="67"/>
  <c r="F68" i="67"/>
  <c r="F70" i="67"/>
  <c r="F64" i="67"/>
  <c r="C27" i="67"/>
  <c r="F68" i="78"/>
  <c r="F65" i="78"/>
  <c r="F64" i="78"/>
  <c r="L56" i="15"/>
  <c r="J59" i="15"/>
  <c r="I54" i="15"/>
  <c r="L58"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AA10" i="37"/>
  <c r="S10" i="37"/>
  <c r="AZ20" i="3"/>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D14" i="71"/>
  <c r="C15" i="71"/>
  <c r="D18" i="71"/>
  <c r="C19" i="71"/>
  <c r="D22" i="71"/>
  <c r="C23" i="71"/>
  <c r="S27" i="34"/>
  <c r="AA27" i="34"/>
  <c r="AA46" i="21"/>
  <c r="S46" i="21"/>
  <c r="U46" i="21"/>
  <c r="AB46" i="21"/>
  <c r="AB27" i="21"/>
  <c r="U27" i="21"/>
  <c r="F9" i="78"/>
  <c r="F4" i="73"/>
  <c r="D3" i="73"/>
  <c r="D6" i="73"/>
  <c r="C76" i="78"/>
  <c r="F13" i="78"/>
  <c r="L47" i="78"/>
  <c r="F7" i="73"/>
  <c r="D4" i="73"/>
  <c r="F3" i="73"/>
  <c r="F6" i="73"/>
  <c r="C16" i="67"/>
  <c r="D7" i="73"/>
  <c r="F5" i="73"/>
  <c r="D5" i="73"/>
  <c r="C16" i="80"/>
  <c r="Q71" i="78" l="1"/>
  <c r="L58" i="78"/>
  <c r="Q73" i="78" s="1"/>
  <c r="J53" i="15"/>
  <c r="Q52" i="15" s="1"/>
  <c r="L60" i="15"/>
  <c r="Q57" i="15" s="1"/>
  <c r="L57" i="15"/>
  <c r="J57" i="15"/>
  <c r="J55" i="15" s="1"/>
  <c r="J58" i="15" s="1"/>
  <c r="Q50" i="15" s="1"/>
  <c r="N59" i="15"/>
  <c r="H109" i="43"/>
  <c r="B117" i="43"/>
  <c r="C117" i="43" s="1"/>
  <c r="B118" i="43"/>
  <c r="C118" i="43" s="1"/>
  <c r="I115" i="43"/>
  <c r="J115" i="43" s="1"/>
  <c r="K115" i="43" s="1"/>
  <c r="L115" i="43" s="1"/>
  <c r="M115" i="43" s="1"/>
  <c r="I116" i="43"/>
  <c r="J116" i="43" s="1"/>
  <c r="K116" i="43" s="1"/>
  <c r="L116" i="43" s="1"/>
  <c r="M116" i="43" s="1"/>
  <c r="B116" i="43"/>
  <c r="C116" i="43" s="1"/>
  <c r="D107" i="43"/>
  <c r="D104" i="43"/>
  <c r="D106" i="43"/>
  <c r="I103" i="43"/>
  <c r="I105" i="43"/>
  <c r="K105" i="43"/>
  <c r="K103" i="43"/>
  <c r="K106" i="43"/>
  <c r="E105" i="43"/>
  <c r="L103" i="43"/>
  <c r="E109" i="43"/>
  <c r="E103" i="43"/>
  <c r="L105" i="43"/>
  <c r="L109" i="43"/>
  <c r="F106" i="43"/>
  <c r="F104" i="43"/>
  <c r="J102" i="43"/>
  <c r="C23" i="43" s="1"/>
  <c r="N105" i="43"/>
  <c r="N106" i="43"/>
  <c r="G107" i="43"/>
  <c r="G106" i="43"/>
  <c r="G105" i="43"/>
  <c r="M104" i="43"/>
  <c r="M103" i="43"/>
  <c r="J105" i="43"/>
  <c r="D22" i="43"/>
  <c r="C21" i="43" s="1"/>
  <c r="H103" i="43"/>
  <c r="S6" i="43" s="1"/>
  <c r="H104" i="43"/>
  <c r="J107" i="43"/>
  <c r="J104" i="43"/>
  <c r="N104" i="43"/>
  <c r="N102" i="43"/>
  <c r="N107" i="43"/>
  <c r="L106" i="43"/>
  <c r="E107" i="43"/>
  <c r="E104" i="43"/>
  <c r="H105" i="43"/>
  <c r="Q60" i="80"/>
  <c r="H107" i="43"/>
  <c r="J103" i="43"/>
  <c r="J109" i="43"/>
  <c r="K4" i="4"/>
  <c r="B46" i="48" s="1"/>
  <c r="B4" i="72" s="1"/>
  <c r="Q61" i="15"/>
  <c r="Q74" i="15"/>
  <c r="AZ5" i="3"/>
  <c r="E3" i="6" s="1"/>
  <c r="D47" i="71"/>
  <c r="T47" i="71"/>
  <c r="C49" i="80"/>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T23" i="71"/>
  <c r="D23" i="71"/>
  <c r="D19" i="71"/>
  <c r="T19" i="71"/>
  <c r="T15" i="71"/>
  <c r="D15" i="71"/>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E30" i="6"/>
  <c r="K14" i="1"/>
  <c r="M14" i="1" s="1"/>
  <c r="Q60" i="67"/>
  <c r="Q73" i="67"/>
  <c r="F1" i="15"/>
  <c r="Q73" i="15"/>
  <c r="Q60" i="15"/>
  <c r="Q66" i="78"/>
  <c r="Q57" i="78"/>
  <c r="F13" i="80"/>
  <c r="G1" i="73"/>
  <c r="F13" i="15"/>
  <c r="Q60" i="78" l="1"/>
  <c r="Q66" i="15"/>
  <c r="H7" i="37"/>
  <c r="U7" i="37" s="1"/>
  <c r="AY6" i="3"/>
  <c r="D113" i="43"/>
  <c r="F7" i="37"/>
  <c r="AA7" i="37" s="1"/>
  <c r="Q57" i="80"/>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H7" i="34"/>
  <c r="S7" i="33"/>
  <c r="AA7" i="33"/>
  <c r="R48" i="33" s="1"/>
  <c r="AC7" i="33"/>
  <c r="V48" i="33" s="1"/>
  <c r="I48" i="33" s="1"/>
  <c r="AC7" i="36"/>
  <c r="V36" i="36" s="1"/>
  <c r="I36" i="36" s="1"/>
  <c r="W7" i="36"/>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S7" i="37" l="1"/>
  <c r="AB7" i="36"/>
  <c r="T36" i="36" s="1"/>
  <c r="G36" i="36" s="1"/>
  <c r="C53" i="80"/>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E6" i="76"/>
  <c r="M29" i="78"/>
  <c r="F7" i="15"/>
  <c r="F43" i="15"/>
  <c r="M29" i="15"/>
  <c r="F43" i="78"/>
  <c r="F7" i="78"/>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C16" i="78"/>
  <c r="B6" i="76"/>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15"/>
  <c r="C17" i="67"/>
  <c r="C17" i="80"/>
  <c r="C17" i="78"/>
  <c r="C14" i="67"/>
  <c r="C38" i="78" l="1"/>
  <c r="C32" i="78"/>
  <c r="C33" i="78"/>
  <c r="E8" i="70"/>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M21" i="67"/>
  <c r="F35" i="80"/>
  <c r="C14" i="78"/>
  <c r="M21" i="80"/>
  <c r="F35" i="67"/>
  <c r="C14" i="15"/>
  <c r="C14" i="80"/>
  <c r="C34" i="80" l="1"/>
  <c r="C31" i="80" s="1"/>
  <c r="F63" i="80"/>
  <c r="C62" i="80" s="1"/>
  <c r="J20" i="80"/>
  <c r="J17" i="80" s="1"/>
  <c r="C18" i="80"/>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F35" i="15"/>
  <c r="M21" i="15"/>
  <c r="F35" i="78"/>
  <c r="M21"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19" i="9"/>
  <c r="D20" i="9"/>
  <c r="C13" i="80" l="1"/>
  <c r="Q49" i="80"/>
  <c r="C57" i="80"/>
  <c r="C36" i="80"/>
  <c r="J14" i="80"/>
  <c r="C57" i="15"/>
  <c r="C64" i="15" s="1"/>
  <c r="C13" i="15"/>
  <c r="J14" i="15"/>
  <c r="J22" i="15" s="1"/>
  <c r="J19" i="15"/>
  <c r="J17" i="15" s="1"/>
  <c r="C59" i="78"/>
  <c r="C80" i="67"/>
  <c r="C79" i="67" s="1"/>
  <c r="C57" i="68"/>
  <c r="C56" i="68" s="1"/>
  <c r="C56" i="78"/>
  <c r="C65" i="78" s="1"/>
  <c r="C30" i="78"/>
  <c r="C39" i="78" s="1"/>
  <c r="Q70" i="78"/>
  <c r="C75" i="78"/>
  <c r="C80" i="78" s="1"/>
  <c r="C79" i="78" s="1"/>
  <c r="C64" i="78"/>
  <c r="C56" i="11"/>
  <c r="C57" i="11" s="1"/>
  <c r="D102" i="9"/>
  <c r="D21" i="9"/>
  <c r="D103" i="9"/>
  <c r="F7" i="40"/>
  <c r="H7" i="40"/>
  <c r="J7" i="40"/>
  <c r="F7" i="39"/>
  <c r="J7" i="39"/>
  <c r="H7" i="39"/>
  <c r="L51" i="78"/>
  <c r="AE6" i="1"/>
  <c r="L51" i="67"/>
  <c r="C37" i="15" l="1"/>
  <c r="C30" i="15" s="1"/>
  <c r="C39" i="15" s="1"/>
  <c r="F35" i="9"/>
  <c r="L57" i="67"/>
  <c r="L60" i="67" s="1"/>
  <c r="Q66" i="67" s="1"/>
  <c r="Q67" i="67"/>
  <c r="E44" i="78"/>
  <c r="L46" i="67"/>
  <c r="C61" i="15"/>
  <c r="C59" i="15" s="1"/>
  <c r="J13" i="15"/>
  <c r="J23" i="15" s="1"/>
  <c r="J16" i="15" s="1"/>
  <c r="J25" i="15" s="1"/>
  <c r="AG6" i="1"/>
  <c r="J22" i="80"/>
  <c r="J13" i="80"/>
  <c r="J23" i="80" s="1"/>
  <c r="C64" i="80"/>
  <c r="C61" i="80"/>
  <c r="C59" i="80" s="1"/>
  <c r="C75" i="80"/>
  <c r="Q70" i="80"/>
  <c r="C56" i="80"/>
  <c r="C65" i="80" s="1"/>
  <c r="C37" i="80"/>
  <c r="C30" i="80" s="1"/>
  <c r="C39" i="80" s="1"/>
  <c r="C58" i="78"/>
  <c r="C67" i="78" s="1"/>
  <c r="C75" i="15"/>
  <c r="C80" i="15" s="1"/>
  <c r="C79" i="15" s="1"/>
  <c r="Q70" i="15"/>
  <c r="C56" i="15"/>
  <c r="C65" i="15" s="1"/>
  <c r="Q69" i="78"/>
  <c r="Q68" i="78" s="1"/>
  <c r="AG7" i="1"/>
  <c r="Q67" i="78"/>
  <c r="AB7" i="39"/>
  <c r="T47" i="39" s="1"/>
  <c r="G47" i="39" s="1"/>
  <c r="U7" i="39"/>
  <c r="S7" i="39"/>
  <c r="AA7" i="39"/>
  <c r="R47" i="39" s="1"/>
  <c r="U7" i="40"/>
  <c r="AB7" i="40"/>
  <c r="T42" i="40" s="1"/>
  <c r="G42" i="40" s="1"/>
  <c r="Q69" i="15"/>
  <c r="AC7" i="39"/>
  <c r="V47" i="39" s="1"/>
  <c r="I47" i="39" s="1"/>
  <c r="W7" i="39"/>
  <c r="AC7" i="40"/>
  <c r="V42" i="40" s="1"/>
  <c r="I42" i="40" s="1"/>
  <c r="W7" i="40"/>
  <c r="S7" i="40"/>
  <c r="AA7" i="40"/>
  <c r="R42" i="40" s="1"/>
  <c r="AE8" i="1"/>
  <c r="AE7" i="1"/>
  <c r="M27" i="80"/>
  <c r="M27" i="78"/>
  <c r="F41" i="67"/>
  <c r="M27" i="67"/>
  <c r="M6" i="78"/>
  <c r="L51" i="80"/>
  <c r="M27" i="15"/>
  <c r="F41" i="15"/>
  <c r="L51" i="15"/>
  <c r="F41" i="78"/>
  <c r="E44" i="80" l="1"/>
  <c r="C58" i="15"/>
  <c r="C67" i="15" s="1"/>
  <c r="Q57" i="67"/>
  <c r="J29" i="15"/>
  <c r="C40" i="15"/>
  <c r="F69" i="15"/>
  <c r="C68" i="15" s="1"/>
  <c r="J29" i="67"/>
  <c r="F69" i="67"/>
  <c r="C68" i="67" s="1"/>
  <c r="C71" i="67" s="1"/>
  <c r="C40" i="67"/>
  <c r="Q65" i="67" s="1"/>
  <c r="Q75" i="67" s="1"/>
  <c r="J6" i="78"/>
  <c r="J10" i="78" s="1"/>
  <c r="J5" i="78" s="1"/>
  <c r="C80" i="80"/>
  <c r="C79" i="80" s="1"/>
  <c r="J16" i="80"/>
  <c r="J25" i="80" s="1"/>
  <c r="Q67" i="80"/>
  <c r="Q69" i="80"/>
  <c r="Q68" i="80" s="1"/>
  <c r="C58" i="80"/>
  <c r="C67" i="80" s="1"/>
  <c r="Q68" i="15"/>
  <c r="F69" i="78"/>
  <c r="C68" i="78" s="1"/>
  <c r="C40" i="78"/>
  <c r="Q67" i="15"/>
  <c r="I46" i="40"/>
  <c r="J46" i="40" s="1"/>
  <c r="I51" i="39"/>
  <c r="J51" i="39" s="1"/>
  <c r="G46" i="40"/>
  <c r="H46" i="40" s="1"/>
  <c r="G47" i="40"/>
  <c r="H47" i="40" s="1"/>
  <c r="E47" i="39"/>
  <c r="I52" i="39" s="1"/>
  <c r="J52" i="39" s="1"/>
  <c r="R48" i="39"/>
  <c r="R43" i="40"/>
  <c r="E42" i="40"/>
  <c r="G52" i="39"/>
  <c r="H52" i="39" s="1"/>
  <c r="G51" i="39"/>
  <c r="H51" i="39" s="1"/>
  <c r="F41" i="80"/>
  <c r="C46" i="15" l="1"/>
  <c r="B2" i="15"/>
  <c r="B3" i="15" s="1"/>
  <c r="Q47" i="15"/>
  <c r="Q53" i="15" s="1"/>
  <c r="C43" i="15"/>
  <c r="Q65" i="15"/>
  <c r="Q75" i="15" s="1"/>
  <c r="C83" i="15"/>
  <c r="C82" i="15" s="1"/>
  <c r="Q56" i="15"/>
  <c r="Q62" i="15" s="1"/>
  <c r="D2" i="67"/>
  <c r="B2" i="67" s="1"/>
  <c r="Q47" i="67"/>
  <c r="Q53" i="67" s="1"/>
  <c r="C43" i="67"/>
  <c r="C45" i="67"/>
  <c r="C46" i="67" s="1"/>
  <c r="Q56" i="67"/>
  <c r="Q62" i="67" s="1"/>
  <c r="C83" i="67"/>
  <c r="C82" i="67" s="1"/>
  <c r="F69" i="80"/>
  <c r="C68" i="80" s="1"/>
  <c r="C71" i="80" s="1"/>
  <c r="C40" i="80"/>
  <c r="C43" i="80" s="1"/>
  <c r="J29" i="80"/>
  <c r="J19" i="78"/>
  <c r="J24" i="78"/>
  <c r="J18" i="78"/>
  <c r="J17" i="78" s="1"/>
  <c r="C46" i="78"/>
  <c r="C71" i="78"/>
  <c r="C83" i="78"/>
  <c r="C82" i="78" s="1"/>
  <c r="C43" i="78"/>
  <c r="C71" i="15"/>
  <c r="E46" i="40"/>
  <c r="F46" i="40" s="1"/>
  <c r="E47" i="40"/>
  <c r="F47" i="40" s="1"/>
  <c r="C47" i="39"/>
  <c r="C48" i="39"/>
  <c r="C43" i="40"/>
  <c r="C42" i="40"/>
  <c r="E51" i="39"/>
  <c r="F51" i="39" s="1"/>
  <c r="E52" i="39"/>
  <c r="F52" i="39" s="1"/>
  <c r="I47" i="40"/>
  <c r="J47" i="40" s="1"/>
  <c r="B3" i="67" l="1"/>
  <c r="C83" i="80"/>
  <c r="C82" i="80" s="1"/>
  <c r="Q65" i="80"/>
  <c r="Q75" i="80" s="1"/>
  <c r="Q47" i="80"/>
  <c r="Q53" i="80" s="1"/>
  <c r="C46" i="80"/>
  <c r="B2" i="80"/>
  <c r="Q56" i="80"/>
  <c r="Q62" i="80" s="1"/>
  <c r="J16" i="78"/>
  <c r="J25" i="78" s="1"/>
  <c r="J26" i="78" s="1"/>
  <c r="J29" i="7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8" i="1"/>
  <c r="AO7" i="1"/>
  <c r="B7" i="70" l="1"/>
  <c r="B3" i="80"/>
  <c r="B8" i="70"/>
  <c r="B2" i="78"/>
  <c r="Q65" i="78"/>
  <c r="Q75" i="78" s="1"/>
  <c r="Q47" i="78"/>
  <c r="Q53" i="78" s="1"/>
  <c r="Q56" i="78"/>
  <c r="Q62" i="78" s="1"/>
  <c r="AO6" i="1"/>
  <c r="B6" i="70" l="1"/>
  <c r="B2" i="70" s="1"/>
  <c r="B3" i="70" s="1"/>
  <c r="B3" i="78"/>
  <c r="C20" i="9"/>
  <c r="C19" i="9"/>
  <c r="G19" i="9" l="1"/>
  <c r="J21" i="9" s="1"/>
  <c r="C102" i="9"/>
  <c r="C21" i="9"/>
  <c r="D22" i="9"/>
  <c r="C103" i="9"/>
  <c r="G20" i="9"/>
  <c r="G21" i="9" l="1"/>
  <c r="C32" i="9"/>
  <c r="H118" i="9" l="1"/>
  <c r="I118" i="9" s="1"/>
  <c r="J22" i="9" s="1"/>
  <c r="C104" i="9" l="1"/>
  <c r="F34" i="9"/>
  <c r="C105" i="9"/>
  <c r="I4" i="52"/>
  <c r="H102" i="9"/>
  <c r="D7" i="53" s="1"/>
  <c r="B21" i="72" s="1"/>
  <c r="H119" i="9"/>
  <c r="H5" i="52" s="1"/>
  <c r="H101" i="9"/>
  <c r="H109" i="9" s="1"/>
  <c r="D16" i="53" s="1"/>
  <c r="H4" i="52"/>
  <c r="D14" i="74"/>
  <c r="E14" i="74" s="1"/>
  <c r="C35" i="9"/>
  <c r="D45" i="9"/>
  <c r="D52" i="9" s="1"/>
  <c r="D35" i="9"/>
  <c r="F118" i="9" l="1"/>
  <c r="G118" i="9" s="1"/>
  <c r="G4" i="52" s="1"/>
  <c r="B52" i="72" s="1"/>
  <c r="C78" i="9"/>
  <c r="C73" i="9" s="1"/>
  <c r="H110" i="9"/>
  <c r="D18" i="53" s="1"/>
  <c r="B35" i="72" s="1"/>
  <c r="D124" i="9"/>
  <c r="H14" i="74" s="1"/>
  <c r="B7" i="74" s="1"/>
  <c r="M48" i="9"/>
  <c r="M49" i="9"/>
  <c r="L65" i="9" s="1"/>
  <c r="M65" i="9" s="1"/>
  <c r="D5" i="53"/>
  <c r="D6" i="53" s="1"/>
  <c r="B22" i="72" s="1"/>
  <c r="F14" i="74"/>
  <c r="B5" i="74"/>
  <c r="D55" i="9"/>
  <c r="M53" i="9" s="1"/>
  <c r="C93" i="9"/>
  <c r="C86" i="9" s="1"/>
  <c r="C34" i="9"/>
  <c r="D34" i="9" s="1"/>
  <c r="C72" i="9"/>
  <c r="C64" i="9"/>
  <c r="C63" i="9" s="1"/>
  <c r="C67" i="9" s="1"/>
  <c r="C68" i="9" s="1"/>
  <c r="D54" i="9" s="1"/>
  <c r="C85" i="9"/>
  <c r="D53" i="9"/>
  <c r="D17" i="53"/>
  <c r="B36" i="72" s="1"/>
  <c r="B34" i="72"/>
  <c r="D10" i="52" l="1"/>
  <c r="F119" i="9"/>
  <c r="F5" i="52" s="1"/>
  <c r="B53" i="72" s="1"/>
  <c r="F4" i="52"/>
  <c r="B51" i="72" s="1"/>
  <c r="D118" i="9"/>
  <c r="D119" i="9" s="1"/>
  <c r="D5" i="52" s="1"/>
  <c r="B49" i="72" s="1"/>
  <c r="L66" i="9"/>
  <c r="M66" i="9" s="1"/>
  <c r="D125" i="9"/>
  <c r="D11" i="52" s="1"/>
  <c r="C79" i="9"/>
  <c r="C80" i="9" s="1"/>
  <c r="E80" i="9" s="1"/>
  <c r="E81" i="9" s="1"/>
  <c r="L63" i="9"/>
  <c r="M63" i="9" s="1"/>
  <c r="L68" i="9"/>
  <c r="M68" i="9" s="1"/>
  <c r="B20" i="72"/>
  <c r="L67" i="9"/>
  <c r="M67" i="9" s="1"/>
  <c r="L64" i="9"/>
  <c r="M64" i="9" s="1"/>
  <c r="C5" i="74"/>
  <c r="D5" i="74"/>
  <c r="C95" i="9"/>
  <c r="C96" i="9" s="1"/>
  <c r="E96" i="9" s="1"/>
  <c r="E97" i="9" s="1"/>
  <c r="E118" i="9"/>
  <c r="E4" i="52" s="1"/>
  <c r="B48" i="72" s="1"/>
  <c r="D48" i="9"/>
  <c r="M52" i="9" s="1"/>
  <c r="C7" i="74"/>
  <c r="D7" i="74"/>
  <c r="D4" i="52" l="1"/>
  <c r="B47" i="72" s="1"/>
  <c r="M69" i="9"/>
  <c r="N69" i="9" s="1"/>
  <c r="C97" i="9"/>
  <c r="D58" i="9" s="1"/>
  <c r="D56" i="9" s="1"/>
  <c r="M54" i="9" s="1"/>
  <c r="N57" i="9" s="1"/>
  <c r="N58" i="9" s="1"/>
  <c r="C81" i="9"/>
  <c r="P57" i="9" l="1"/>
  <c r="N59" i="9"/>
  <c r="N61" i="9" l="1"/>
  <c r="H112" i="9" s="1"/>
  <c r="D21" i="53" s="1"/>
  <c r="B39" i="72" s="1"/>
  <c r="H111" i="9"/>
  <c r="N60" i="9"/>
  <c r="D126" i="9" l="1"/>
  <c r="D19" i="53"/>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<sst xmlns="http://schemas.openxmlformats.org/spreadsheetml/2006/main" count="8313" uniqueCount="3214">
  <si>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</si>
  <si>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</si>
  <si>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</si>
  <si>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</si>
  <si>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</si>
  <si>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</si>
  <si>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</si>
  <si>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</si>
  <si>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</si>
  <si>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</si>
  <si>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</si>
  <si>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</si>
  <si>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</si>
  <si>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</si>
  <si>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</si>
  <si>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</si>
  <si>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</si>
  <si>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</si>
  <si>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</si>
  <si>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</si>
  <si>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</si>
  <si>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</si>
  <si>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</si>
  <si>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</si>
  <si>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</si>
  <si>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</si>
  <si>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</si>
  <si>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</si>
  <si>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</si>
  <si>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</si>
  <si>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</si>
  <si>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</si>
  <si>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</si>
  <si>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</si>
  <si>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</si>
  <si>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</si>
  <si>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</si>
  <si>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</si>
  <si>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</si>
  <si>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</si>
  <si>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</si>
  <si>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</si>
  <si>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</si>
  <si>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</si>
  <si>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</si>
  <si>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</si>
  <si>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</si>
  <si>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</si>
  <si>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</si>
  <si>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</si>
  <si>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</si>
  <si>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</si>
  <si>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</si>
  <si>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</si>
  <si>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</si>
  <si>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</si>
  <si>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</si>
  <si>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</si>
  <si>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</si>
  <si>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</si>
  <si>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</si>
  <si>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</si>
  <si>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</si>
  <si>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</si>
  <si>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</si>
  <si>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</si>
  <si>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</si>
  <si>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</si>
  <si>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</si>
  <si>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</si>
  <si>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</si>
  <si>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</si>
  <si>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</si>
  <si>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</si>
  <si>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</si>
  <si>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</si>
  <si>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</si>
  <si>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</si>
  <si>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</si>
  <si>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</si>
  <si>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</si>
  <si>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</si>
  <si>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</si>
  <si>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</si>
  <si>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</si>
  <si>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</si>
  <si>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</si>
  <si>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</si>
  <si>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</si>
  <si>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</si>
  <si>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</si>
  <si>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</si>
  <si>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</si>
  <si>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</si>
  <si>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</si>
  <si>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</si>
  <si>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</si>
  <si>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</si>
  <si>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</si>
  <si>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</si>
  <si>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</si>
  <si>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</si>
  <si>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</si>
  <si>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</si>
  <si>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</si>
  <si>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</si>
  <si>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</si>
  <si>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</si>
  <si>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</si>
  <si>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</si>
  <si>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</si>
  <si>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</si>
  <si>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</si>
  <si>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</si>
  <si>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</si>
  <si>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</si>
  <si>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</si>
  <si>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</si>
  <si>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</si>
  <si>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</si>
  <si>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</si>
  <si>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</si>
  <si>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</si>
  <si>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</si>
  <si>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</si>
  <si>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</si>
  <si>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</si>
  <si>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</si>
  <si>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</si>
  <si>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</si>
  <si>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</si>
  <si>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</si>
  <si>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</si>
  <si>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</si>
  <si>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</si>
  <si>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</si>
  <si>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</si>
  <si>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</si>
  <si>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</si>
  <si>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</si>
  <si>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</si>
  <si>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</si>
  <si>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</si>
  <si>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</si>
  <si>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</si>
  <si>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</si>
  <si>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</si>
  <si>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</si>
  <si>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</si>
  <si>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</si>
  <si>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</si>
  <si>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</si>
  <si>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</si>
  <si>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</si>
  <si>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</si>
  <si>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</si>
  <si>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</si>
  <si>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</si>
  <si>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</si>
  <si>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</si>
  <si>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</si>
  <si>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</si>
  <si>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</si>
  <si>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</si>
  <si>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</si>
  <si>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</si>
  <si>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</si>
  <si>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</si>
  <si>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</si>
  <si>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</si>
  <si>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</si>
  <si>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</si>
  <si>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</si>
  <si>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</si>
  <si>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</si>
  <si>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</si>
  <si>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</si>
  <si>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</si>
  <si>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</si>
  <si>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</si>
  <si>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</si>
  <si>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</si>
  <si>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</si>
  <si>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</si>
  <si>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</si>
  <si>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</si>
  <si>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</si>
  <si>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</si>
  <si>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</si>
  <si>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</si>
  <si>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</si>
  <si>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</si>
  <si>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</si>
  <si>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</si>
  <si>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</si>
  <si>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</si>
  <si>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</si>
  <si>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</si>
  <si>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</si>
  <si>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</si>
  <si>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</si>
  <si>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</si>
  <si>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</si>
  <si>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</si>
  <si>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</si>
  <si>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</si>
  <si>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</si>
  <si>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</si>
  <si>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</si>
  <si>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</si>
  <si>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</si>
  <si>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</si>
  <si>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</si>
  <si>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</si>
  <si>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</si>
  <si>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</si>
  <si>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</si>
  <si>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</si>
  <si>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</si>
  <si>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</si>
  <si>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</si>
  <si>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</si>
  <si>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</si>
  <si>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</si>
  <si>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</si>
  <si>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</si>
  <si>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</si>
  <si>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</si>
  <si>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</si>
  <si>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</si>
  <si>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</si>
  <si>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</si>
  <si>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</si>
  <si>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</si>
  <si>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</si>
  <si>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</si>
  <si>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</si>
  <si>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</si>
  <si>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</si>
  <si>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</si>
  <si>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</si>
  <si>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</si>
  <si>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</si>
  <si>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</si>
  <si>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</si>
  <si>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</si>
  <si>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</si>
  <si>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</si>
  <si>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</si>
  <si>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</si>
  <si>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</si>
  <si>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</si>
  <si>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</si>
  <si>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</si>
  <si>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</si>
  <si>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</si>
  <si>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</si>
  <si>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</si>
  <si>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</si>
  <si>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</si>
  <si>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</si>
  <si>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</si>
  <si>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</si>
  <si>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</si>
  <si>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</si>
  <si>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</si>
  <si>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</si>
  <si>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</si>
  <si>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</si>
  <si>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</si>
  <si>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</si>
  <si>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</si>
  <si>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</si>
  <si>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</si>
  <si>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</si>
  <si>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</si>
  <si>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</si>
  <si>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</si>
  <si>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</si>
  <si>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</si>
  <si>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</si>
  <si>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</si>
  <si>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</si>
  <si>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</si>
  <si>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</si>
  <si>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</si>
  <si>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</si>
  <si>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</si>
  <si>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</si>
  <si>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</si>
  <si>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</si>
  <si>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</si>
  <si>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</si>
  <si>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</si>
  <si>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</si>
  <si>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</si>
  <si>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</si>
  <si>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</si>
  <si>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</si>
  <si>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</si>
  <si>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</si>
  <si>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</si>
  <si>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</si>
  <si>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</si>
  <si>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</si>
  <si>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</si>
  <si>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</si>
  <si>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</si>
  <si>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</si>
  <si>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</si>
  <si>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</si>
  <si>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</si>
  <si>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</si>
  <si>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</si>
  <si>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</si>
  <si>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</si>
  <si>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</si>
  <si>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</si>
  <si>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</si>
  <si>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</si>
  <si>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</si>
  <si>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</si>
  <si>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</si>
  <si>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</si>
  <si>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</si>
  <si>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</si>
  <si>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</si>
  <si>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</si>
  <si>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</si>
  <si>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</si>
  <si>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</si>
  <si>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</si>
  <si>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</si>
  <si>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</si>
  <si>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</si>
  <si>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</si>
  <si>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</si>
  <si>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</si>
  <si>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</si>
  <si>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</si>
  <si>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</si>
  <si>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</si>
  <si>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</si>
  <si>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</si>
  <si>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</si>
  <si>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</si>
  <si>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</si>
  <si>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</si>
  <si>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</si>
  <si>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</si>
  <si>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</si>
  <si>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</si>
  <si>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</si>
  <si>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</si>
  <si>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</si>
  <si>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</si>
  <si>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</si>
  <si>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</si>
  <si>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</si>
  <si>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</si>
  <si>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</si>
  <si>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</si>
  <si>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</si>
  <si>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</si>
  <si>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</si>
  <si>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</si>
  <si>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</si>
  <si>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</si>
  <si>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</si>
  <si>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</si>
  <si>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</si>
  <si>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</si>
  <si>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</si>
  <si>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</si>
  <si>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</si>
  <si>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</si>
  <si>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</si>
  <si>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</si>
  <si>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</si>
  <si>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</si>
  <si>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</si>
  <si>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</si>
  <si>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</si>
  <si>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</si>
  <si>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</si>
  <si>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</si>
  <si>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</si>
  <si>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</si>
  <si>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</si>
  <si>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</si>
  <si>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</si>
  <si>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</si>
  <si>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</si>
  <si>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</si>
  <si>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</si>
  <si>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</si>
  <si>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</si>
  <si>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</si>
  <si>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</si>
  <si>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</si>
  <si>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</si>
  <si>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</si>
  <si>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</si>
  <si>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</si>
  <si>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</si>
  <si>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</si>
  <si>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</si>
  <si>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</si>
  <si>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</si>
  <si>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</si>
  <si>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</si>
  <si>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</si>
  <si>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</si>
  <si>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</si>
  <si>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</si>
  <si>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</si>
  <si>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</si>
  <si>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</si>
  <si>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</si>
  <si>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</si>
  <si>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</si>
  <si>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</si>
  <si>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</si>
  <si>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</si>
  <si>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</si>
  <si>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</si>
  <si>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</si>
  <si>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</si>
  <si>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</si>
  <si>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</si>
  <si>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</si>
  <si>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</si>
  <si>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</si>
  <si>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</si>
  <si>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</si>
  <si>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</si>
  <si>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</si>
  <si>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</si>
  <si>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</si>
  <si>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</si>
  <si>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</si>
  <si>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</si>
  <si>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</si>
  <si>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</si>
  <si>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</si>
  <si>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</si>
  <si>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</si>
  <si>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</si>
  <si>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</si>
  <si>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</si>
  <si>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</si>
  <si>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</si>
  <si>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</si>
  <si>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</si>
  <si>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</si>
  <si>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</si>
  <si>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</si>
  <si>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</si>
  <si>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</si>
  <si>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</si>
  <si>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</si>
  <si>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</si>
  <si>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</si>
  <si>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</si>
  <si>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</si>
  <si>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</si>
  <si>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</si>
  <si>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</si>
  <si>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</si>
  <si>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</si>
  <si>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</si>
  <si>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</si>
  <si>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</si>
  <si>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</si>
  <si>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</si>
  <si>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</si>
  <si>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</si>
  <si>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</si>
  <si>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</si>
  <si>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</si>
  <si>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</si>
  <si>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</si>
  <si>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</si>
  <si>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</si>
  <si>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</si>
  <si>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</si>
  <si>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</si>
  <si>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</si>
  <si>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</si>
  <si>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</si>
  <si>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</si>
  <si>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</si>
  <si>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</si>
  <si>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</si>
  <si>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</si>
  <si>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</si>
  <si>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</si>
  <si>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</si>
  <si>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</si>
  <si>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</si>
  <si>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</si>
  <si>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</si>
  <si>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</si>
  <si>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</si>
  <si>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</si>
  <si>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</si>
  <si>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</si>
  <si>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</si>
  <si>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</si>
  <si>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</si>
  <si>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</si>
  <si>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</si>
  <si>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</si>
  <si>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</si>
  <si>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</si>
  <si>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</si>
  <si>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</si>
  <si>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</si>
  <si>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</si>
  <si>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</si>
  <si>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</si>
  <si>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</si>
  <si>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</si>
  <si>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</si>
  <si>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</si>
  <si>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</si>
  <si>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</si>
  <si>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</si>
  <si>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</si>
  <si>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</si>
  <si>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</si>
  <si>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</si>
  <si>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</si>
  <si>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</si>
  <si>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</si>
  <si>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</si>
  <si>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</si>
  <si>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</si>
  <si>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</si>
  <si>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</si>
  <si>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</si>
  <si>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</si>
  <si>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</si>
  <si>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</si>
  <si>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</si>
  <si>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</si>
  <si>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</si>
  <si>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</si>
  <si>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</si>
  <si>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</si>
  <si>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</si>
  <si>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</si>
  <si>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</si>
  <si>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</si>
  <si>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</si>
  <si>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</si>
  <si>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</si>
  <si>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</si>
  <si>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</si>
  <si>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</si>
  <si>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</si>
  <si>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</si>
  <si>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</si>
  <si>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</si>
  <si>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</si>
  <si>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</si>
  <si>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</si>
  <si>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</si>
  <si>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</si>
  <si>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</si>
  <si>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</si>
  <si>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</si>
  <si>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</si>
  <si>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</si>
  <si>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</si>
  <si>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</si>
  <si>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</si>
  <si>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</si>
  <si>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</si>
  <si>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</si>
  <si>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</si>
  <si>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</si>
  <si>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</si>
  <si>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</si>
  <si>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</si>
  <si>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</si>
  <si>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</si>
  <si>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</si>
  <si>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</si>
  <si>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</si>
  <si>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</si>
  <si>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</si>
  <si>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</si>
  <si>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</si>
  <si>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</si>
  <si>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</si>
  <si>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</si>
  <si>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</si>
  <si>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</si>
  <si>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</si>
  <si>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</si>
  <si>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</si>
  <si>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</si>
  <si>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</si>
  <si>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</si>
  <si>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</si>
  <si>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</si>
  <si>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</si>
  <si>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</si>
  <si>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</si>
  <si>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</si>
  <si>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</si>
  <si>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</si>
  <si>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</si>
  <si>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</si>
  <si>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</si>
  <si>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</si>
  <si>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</si>
  <si>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</si>
  <si>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</si>
  <si>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</si>
  <si>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</si>
  <si>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</si>
  <si>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</si>
  <si>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</si>
  <si>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</si>
  <si>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</si>
  <si>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</si>
  <si>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</si>
  <si>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</si>
  <si>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</si>
  <si>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</si>
  <si>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</si>
  <si>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</si>
  <si>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</si>
  <si>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</si>
  <si>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</si>
  <si>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</si>
  <si>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</si>
  <si>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</si>
  <si>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</si>
  <si>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</si>
  <si>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</si>
  <si>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</si>
  <si>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</si>
  <si>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</si>
  <si>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</si>
  <si>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</si>
  <si>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</si>
  <si>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</si>
  <si>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</si>
  <si>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</si>
  <si>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</si>
  <si>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</si>
  <si>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</si>
  <si>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</si>
  <si>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</si>
  <si>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</si>
  <si>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</si>
  <si>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</si>
  <si>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</si>
  <si>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</si>
  <si>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</si>
  <si>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</si>
  <si>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</si>
  <si>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</si>
  <si>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</si>
  <si>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</si>
  <si>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</si>
  <si>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</si>
  <si>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</si>
  <si>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</si>
  <si>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</si>
  <si>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</si>
  <si>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</si>
  <si>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</si>
  <si>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</si>
  <si>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</si>
  <si>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</si>
  <si>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</si>
  <si>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</si>
  <si>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</si>
  <si>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</si>
  <si>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</si>
  <si>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</si>
  <si>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</si>
  <si>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</si>
  <si>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</si>
  <si>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</si>
  <si>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</si>
  <si>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</si>
  <si>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</si>
  <si>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</si>
  <si>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</si>
  <si>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</si>
  <si>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</si>
  <si>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</si>
  <si>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</si>
  <si>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</si>
  <si>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</si>
  <si>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</si>
  <si>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</si>
  <si>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</si>
  <si>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</si>
  <si>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</si>
  <si>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</si>
  <si>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</si>
  <si>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</si>
  <si>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</si>
  <si>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</si>
  <si>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</si>
  <si>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</si>
  <si>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</si>
  <si>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</si>
  <si>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</si>
  <si>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</si>
  <si>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</si>
  <si>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</si>
  <si>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</si>
  <si>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</si>
  <si>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</si>
  <si>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</si>
  <si>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</si>
  <si>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</si>
  <si>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</si>
  <si>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</si>
  <si>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</si>
  <si>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</si>
  <si>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</si>
  <si>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</si>
  <si>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</si>
  <si>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</si>
  <si>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</si>
  <si>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</si>
  <si>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</si>
  <si>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</si>
  <si>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</si>
  <si>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</si>
  <si>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</si>
  <si>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</si>
  <si>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</si>
  <si>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</si>
  <si>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</si>
  <si>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</si>
  <si>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</si>
  <si>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</si>
  <si>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</si>
  <si>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</si>
  <si>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</si>
  <si>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</si>
  <si>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</si>
  <si>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</si>
  <si>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</si>
  <si>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</si>
  <si>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</si>
  <si>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</si>
  <si>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</si>
  <si>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</si>
  <si>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</si>
  <si>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</si>
  <si>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</si>
  <si>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</si>
  <si>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</si>
  <si>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</si>
  <si>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</si>
  <si>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</si>
  <si>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</si>
  <si>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</si>
  <si>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</si>
  <si>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</si>
  <si>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</si>
  <si>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</si>
  <si>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</si>
  <si>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</si>
  <si>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</si>
  <si>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</si>
  <si>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</si>
  <si>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</si>
  <si>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</si>
  <si>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</si>
  <si>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</si>
  <si>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</si>
  <si>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</si>
  <si>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</si>
  <si>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</si>
  <si>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</si>
  <si>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</si>
  <si>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</si>
  <si>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</si>
  <si>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</si>
  <si>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</si>
  <si>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</si>
  <si>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</si>
  <si>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</si>
  <si>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</si>
  <si>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</si>
  <si>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</si>
  <si>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</si>
  <si>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</si>
  <si>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</si>
  <si>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</si>
  <si>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</si>
  <si>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</si>
  <si>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</si>
  <si>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</si>
  <si>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</si>
  <si>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</si>
  <si>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</si>
  <si>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</si>
  <si>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</si>
  <si>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</si>
  <si>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</si>
  <si>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</si>
  <si>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</si>
  <si>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</si>
  <si>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</si>
  <si>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</si>
  <si>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</si>
  <si>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</si>
  <si>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</si>
  <si>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</si>
  <si>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</si>
  <si>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</si>
  <si>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</si>
  <si>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</si>
  <si>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</si>
  <si>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</si>
  <si>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</si>
  <si>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</si>
  <si>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</si>
  <si>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</si>
  <si>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</si>
  <si>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</si>
  <si>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</si>
  <si>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</si>
  <si>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</si>
  <si>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</si>
  <si>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</si>
  <si>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</si>
  <si>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</si>
  <si>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</si>
  <si>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</si>
  <si>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</si>
  <si>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</si>
  <si>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</si>
  <si>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</si>
  <si>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</si>
  <si>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</si>
  <si>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</si>
  <si>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</si>
  <si>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</si>
  <si>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</si>
  <si>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</si>
  <si>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</si>
  <si>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</si>
  <si>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</si>
  <si>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</si>
  <si>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</si>
  <si>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</si>
  <si>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</si>
  <si>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</si>
  <si>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</si>
  <si>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</si>
  <si>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</si>
  <si>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</si>
  <si>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</si>
  <si>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</si>
  <si>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</si>
  <si>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</si>
  <si>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</si>
  <si>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</si>
  <si>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</si>
  <si>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</si>
  <si>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</si>
  <si>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</si>
  <si>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</si>
  <si>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</si>
  <si>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</si>
  <si>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</si>
  <si>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</si>
  <si>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</si>
  <si>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</si>
  <si>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</si>
  <si>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</si>
  <si>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</si>
  <si>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</si>
  <si>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</si>
  <si>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</si>
  <si>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</si>
  <si>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</si>
  <si>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</si>
  <si>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</si>
  <si>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</si>
  <si>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</si>
  <si>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</si>
  <si>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</si>
  <si>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</si>
  <si>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</si>
  <si>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</si>
  <si>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</si>
  <si>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</si>
  <si>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</si>
  <si>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</si>
  <si>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</si>
  <si>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</si>
  <si>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</si>
  <si>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</si>
  <si>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</si>
  <si>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</si>
  <si>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</si>
  <si>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</si>
  <si>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</si>
  <si>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</si>
  <si>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</si>
  <si>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</si>
  <si>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</si>
  <si>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</si>
  <si>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</si>
  <si>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</si>
  <si>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</si>
  <si>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</si>
  <si>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</si>
  <si>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</si>
  <si>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</si>
  <si>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</si>
  <si>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</si>
  <si>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</si>
  <si>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</si>
  <si>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</si>
  <si>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</si>
  <si>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</si>
  <si>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</si>
  <si>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</si>
  <si>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</si>
  <si>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</si>
  <si>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</si>
  <si>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</si>
  <si>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</si>
  <si>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</si>
  <si>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</si>
  <si>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</si>
  <si>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</si>
  <si>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</si>
  <si>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</si>
  <si>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</si>
  <si>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</si>
  <si>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</si>
  <si>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</si>
  <si>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</si>
  <si>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</si>
  <si>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</si>
  <si>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</si>
  <si>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</si>
  <si>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</si>
  <si>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</si>
  <si>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</si>
  <si>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</si>
  <si>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</si>
  <si>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</si>
  <si>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</si>
  <si>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</si>
  <si>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</si>
  <si>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</si>
  <si>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</si>
  <si>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</si>
  <si>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</si>
  <si>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</si>
  <si>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</si>
  <si>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</si>
  <si>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</si>
  <si>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</si>
  <si>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</si>
  <si>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</si>
  <si>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</si>
  <si>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</si>
  <si>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</si>
  <si>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</si>
  <si>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</si>
  <si>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</si>
  <si>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</si>
  <si>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</si>
  <si>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</si>
  <si>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</si>
  <si>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</si>
  <si>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</si>
  <si>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</si>
  <si>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</si>
  <si>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</si>
  <si>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</si>
  <si>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</si>
  <si>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</si>
  <si>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</si>
  <si>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</si>
  <si>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</si>
  <si>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</si>
  <si>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</si>
  <si>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</si>
  <si>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</si>
  <si>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</si>
  <si>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</si>
  <si>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</si>
  <si>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</si>
  <si>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</si>
  <si>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</si>
  <si>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</si>
  <si>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</si>
  <si>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</si>
  <si>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</si>
  <si>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</si>
  <si>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</si>
  <si>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</si>
  <si>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</si>
  <si>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</si>
  <si>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</si>
  <si>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</si>
  <si>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</si>
  <si>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</si>
  <si>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</si>
  <si>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</si>
  <si>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</si>
  <si>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</si>
  <si>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</si>
  <si>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</si>
  <si>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</si>
  <si>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</si>
  <si>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</si>
  <si>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</si>
  <si>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</si>
  <si>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</si>
  <si>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</si>
  <si>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</si>
  <si>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</si>
  <si>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</si>
  <si>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</si>
  <si>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</si>
  <si>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</si>
  <si>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</si>
  <si>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</si>
  <si>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</si>
  <si>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</si>
  <si>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</si>
  <si>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</si>
  <si>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</si>
  <si>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</si>
  <si>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</si>
  <si>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</si>
  <si>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</si>
  <si>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</si>
  <si>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</si>
  <si>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</si>
  <si>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</si>
  <si>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</si>
  <si>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</si>
  <si>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</si>
  <si>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</si>
  <si>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</si>
  <si>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</si>
  <si>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</si>
  <si>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</si>
  <si>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</si>
  <si>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</si>
  <si>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</si>
  <si>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</si>
  <si>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</si>
  <si>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</si>
  <si>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</si>
  <si>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</si>
  <si>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</si>
  <si>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</si>
  <si>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</si>
  <si>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</si>
  <si>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</si>
  <si>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</si>
  <si>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</si>
  <si>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</si>
  <si>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</si>
  <si>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</si>
  <si>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</si>
  <si>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</si>
  <si>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</si>
  <si>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</si>
  <si>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</si>
  <si>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</si>
  <si>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</si>
  <si>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</si>
  <si>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</si>
  <si>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</si>
  <si>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</si>
  <si>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</si>
  <si>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</si>
  <si>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</si>
  <si>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</si>
  <si>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</si>
  <si>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</si>
  <si>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</si>
  <si>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</si>
  <si>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</si>
  <si>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</si>
  <si>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</si>
  <si>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</si>
  <si>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</si>
  <si>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</si>
  <si>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</si>
  <si>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</si>
  <si>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</si>
  <si>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</si>
  <si>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</si>
  <si>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</si>
  <si>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</si>
  <si>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</si>
  <si>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</si>
  <si>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</si>
  <si>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</si>
  <si>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</si>
  <si>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</si>
  <si>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</si>
  <si>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</si>
  <si>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</si>
  <si>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</si>
  <si>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</si>
  <si>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</si>
  <si>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</si>
  <si>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</si>
  <si>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</si>
  <si>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</si>
  <si>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</si>
  <si>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</si>
  <si>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</si>
  <si>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</si>
  <si>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</si>
  <si>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</si>
  <si>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</si>
  <si>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</si>
  <si>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</si>
  <si>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</si>
  <si>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</si>
  <si>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</si>
  <si>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</si>
  <si>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</si>
  <si>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</si>
  <si>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</si>
  <si>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</si>
  <si>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</si>
  <si>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</si>
  <si>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</si>
  <si>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</si>
  <si>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</si>
  <si>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</si>
  <si>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</si>
  <si>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</si>
  <si>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</si>
  <si>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</si>
  <si>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</si>
  <si>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</si>
  <si>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</si>
  <si>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</si>
  <si>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</si>
  <si>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</si>
  <si>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</si>
  <si>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</si>
  <si>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</si>
  <si>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</si>
  <si>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</si>
  <si>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</si>
  <si>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</si>
  <si>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</si>
  <si>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</si>
  <si>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</si>
  <si>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</si>
  <si>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</si>
  <si>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</si>
  <si>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</si>
  <si>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</si>
  <si>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</si>
  <si>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</si>
  <si>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</si>
  <si>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</si>
  <si>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</si>
  <si>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</si>
  <si>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</si>
  <si>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</si>
  <si>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</si>
  <si>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</si>
  <si>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</si>
  <si>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</si>
  <si>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</si>
  <si>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</si>
  <si>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</si>
  <si>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</si>
  <si>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</si>
  <si>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</si>
  <si>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</si>
  <si>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</si>
  <si>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</si>
  <si>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</si>
  <si>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</si>
  <si>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</si>
  <si>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</si>
  <si>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</si>
  <si>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</si>
  <si>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</si>
  <si>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</si>
  <si>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</si>
  <si>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</si>
  <si>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</si>
  <si>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</si>
  <si>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</si>
  <si>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</si>
  <si>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</si>
  <si>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</si>
  <si>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</si>
  <si>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</si>
  <si>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</si>
  <si>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</si>
  <si>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</si>
  <si>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</si>
  <si>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</si>
  <si>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</si>
  <si>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</si>
  <si>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</si>
  <si>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</si>
  <si>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</si>
  <si>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</si>
  <si>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</si>
  <si>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</si>
  <si>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</si>
  <si>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</si>
  <si>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</si>
  <si>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</si>
  <si>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</si>
  <si>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</si>
  <si>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</si>
  <si>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</si>
  <si>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</si>
  <si>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</si>
  <si>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</si>
  <si>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</si>
  <si>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</si>
  <si>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</si>
  <si>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</si>
  <si>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</si>
  <si>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</si>
  <si>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</si>
  <si>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</si>
  <si>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</si>
  <si>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</si>
  <si>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</si>
  <si>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</si>
  <si>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</si>
  <si>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</si>
  <si>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</si>
  <si>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</si>
  <si>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</si>
  <si>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</si>
  <si>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</si>
  <si>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</si>
  <si>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</si>
  <si>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</si>
  <si>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</si>
  <si>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</si>
  <si>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</si>
  <si>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</si>
  <si>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</si>
  <si>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</si>
  <si>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</si>
  <si>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</si>
  <si>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</si>
  <si>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</si>
  <si>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</si>
  <si>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</si>
  <si>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</si>
  <si>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</si>
  <si>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</si>
  <si>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</si>
  <si>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</si>
  <si>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</si>
  <si>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</si>
  <si>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</si>
  <si>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</si>
  <si>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</si>
  <si>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</si>
  <si>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</si>
  <si>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</si>
  <si>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</si>
  <si>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</si>
  <si>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</si>
  <si>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</si>
  <si>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</si>
  <si>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</si>
  <si>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</si>
  <si>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</si>
  <si>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</si>
  <si>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</si>
  <si>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</si>
  <si>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</si>
  <si>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</si>
  <si>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</si>
  <si>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</si>
  <si>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</si>
  <si>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</si>
  <si>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</si>
  <si>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</si>
  <si>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</si>
  <si>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</si>
  <si>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</si>
  <si>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</si>
  <si>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</si>
  <si>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</si>
  <si>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</si>
  <si>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</si>
  <si>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</si>
  <si>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</si>
  <si>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</si>
  <si>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</si>
  <si>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</si>
  <si>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</si>
  <si>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</si>
  <si>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</si>
  <si>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</si>
  <si>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</si>
  <si>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</si>
  <si>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</si>
  <si>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</si>
  <si>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</si>
  <si>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</si>
  <si>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</si>
  <si>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</si>
  <si>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</si>
  <si>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</si>
  <si>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</si>
  <si>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</si>
  <si>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</si>
  <si>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</si>
  <si>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</si>
  <si>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</si>
  <si>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</si>
  <si>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</si>
  <si>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</si>
  <si>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</si>
  <si>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</si>
  <si>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</si>
  <si>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</si>
  <si>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</si>
  <si>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</si>
  <si>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</si>
  <si>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</si>
  <si>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</si>
  <si>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</si>
  <si>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</si>
  <si>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</si>
  <si>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</si>
  <si>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</si>
  <si>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</si>
  <si>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</si>
  <si>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</si>
  <si>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</si>
  <si>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</si>
  <si>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</si>
  <si>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</si>
  <si>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</si>
  <si>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</si>
  <si>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</si>
  <si>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</si>
  <si>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</si>
  <si>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</si>
  <si>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</si>
  <si>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</si>
  <si>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</si>
  <si>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</si>
  <si>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</si>
  <si>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</si>
  <si>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</si>
  <si>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</si>
  <si>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</si>
  <si>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</si>
  <si>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</si>
  <si>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</si>
  <si>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</si>
  <si>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</si>
  <si>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</si>
  <si>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</si>
  <si>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</si>
  <si>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</si>
  <si>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</si>
  <si>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</si>
  <si>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</si>
  <si>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</si>
  <si>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</si>
  <si>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</si>
  <si>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</si>
  <si>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</si>
  <si>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</si>
  <si>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</si>
  <si>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</si>
  <si>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</si>
  <si>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</si>
  <si>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</si>
  <si>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</si>
  <si>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</si>
  <si>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</si>
  <si>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</si>
  <si>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</si>
  <si>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</si>
  <si>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</si>
  <si>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</si>
  <si>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</si>
  <si>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</si>
  <si>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</si>
  <si>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</si>
  <si>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</si>
  <si>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</si>
  <si>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</si>
  <si>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</si>
  <si>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</si>
  <si>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</si>
  <si>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</si>
  <si>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</si>
  <si>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</si>
  <si>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</si>
  <si>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</si>
  <si>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</si>
  <si>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</si>
  <si>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</si>
  <si>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</si>
  <si>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</si>
  <si>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</si>
  <si>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</si>
  <si>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</si>
  <si>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</si>
  <si>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</si>
  <si>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</si>
  <si>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</si>
  <si>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</si>
  <si>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</si>
  <si>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</si>
  <si>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</si>
  <si>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</si>
  <si>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</si>
  <si>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</si>
  <si>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</si>
  <si>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</si>
  <si>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</si>
  <si>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</si>
  <si>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</si>
  <si>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</si>
  <si>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</si>
  <si>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</si>
  <si>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</si>
  <si>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</si>
  <si>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</si>
  <si>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</si>
  <si>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</si>
  <si>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</si>
  <si>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</si>
  <si>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</si>
  <si>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</si>
  <si>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</si>
  <si>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</si>
  <si>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</si>
  <si>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</si>
  <si>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</si>
  <si>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</si>
  <si>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</si>
  <si>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</si>
  <si>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</si>
  <si>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</si>
  <si>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</si>
  <si>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</si>
  <si>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</si>
  <si>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</si>
  <si>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</si>
  <si>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</si>
  <si>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</si>
  <si>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</si>
  <si>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</si>
  <si>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</si>
  <si>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</si>
  <si>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</si>
  <si>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</si>
  <si>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</si>
  <si>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</si>
  <si>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</si>
  <si>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</si>
  <si>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</si>
  <si>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</si>
  <si>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</si>
  <si>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</si>
  <si>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</si>
  <si>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</si>
  <si>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</si>
  <si>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</si>
  <si>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</si>
  <si>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</si>
  <si>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</si>
  <si>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</si>
  <si>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</si>
  <si>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</si>
  <si>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</si>
  <si>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</si>
  <si>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</si>
  <si>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</si>
  <si>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</si>
  <si>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</si>
  <si>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</si>
  <si>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</si>
  <si>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</si>
  <si>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</si>
  <si>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</si>
  <si>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</si>
  <si>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</si>
  <si>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</si>
  <si>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</si>
  <si>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</si>
  <si>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</si>
  <si>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</si>
  <si>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</si>
  <si>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</si>
  <si>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</si>
  <si>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</si>
  <si>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</si>
  <si>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</si>
  <si>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</si>
  <si>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</si>
  <si>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</si>
  <si>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</si>
  <si>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</si>
  <si>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</si>
  <si>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</si>
  <si>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</si>
  <si>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</si>
  <si>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</si>
  <si>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</si>
  <si>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</si>
  <si>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</si>
  <si>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</si>
  <si>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</si>
  <si>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</si>
  <si>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</si>
  <si>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</si>
  <si>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</si>
  <si>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</si>
  <si>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</si>
  <si>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</si>
  <si>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</si>
  <si>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</si>
  <si>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</si>
  <si>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</si>
  <si>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</si>
  <si>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</si>
  <si>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</si>
  <si>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</si>
  <si>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</si>
  <si>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</si>
  <si>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</si>
  <si>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</si>
  <si>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</si>
  <si>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</si>
  <si>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</si>
  <si>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</si>
  <si>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</si>
  <si>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</si>
  <si>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</si>
  <si>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</si>
  <si>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</si>
  <si>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</si>
  <si>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</si>
  <si>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</si>
  <si>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</si>
  <si>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</si>
  <si>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</si>
  <si>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</si>
  <si>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</si>
  <si>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</si>
  <si>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</si>
  <si>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</si>
  <si>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</si>
  <si>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</si>
  <si>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</si>
  <si>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</si>
  <si>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</si>
  <si>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</si>
  <si>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</si>
  <si>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</si>
  <si>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</si>
  <si>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</si>
  <si>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</si>
  <si>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</si>
  <si>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</si>
  <si>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</si>
  <si>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</si>
  <si>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</si>
  <si>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</si>
  <si>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</si>
  <si>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</si>
  <si>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</si>
  <si>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</si>
  <si>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</si>
  <si>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</si>
  <si>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</si>
  <si>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</si>
  <si>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</si>
  <si>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</si>
  <si>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</si>
  <si>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</si>
  <si>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</si>
  <si>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</si>
  <si>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</si>
  <si>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</si>
  <si>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</si>
  <si>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</si>
  <si>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</si>
  <si>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</si>
  <si>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</si>
  <si>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</si>
  <si>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</si>
  <si>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</si>
  <si>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</si>
  <si>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</si>
  <si>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</si>
  <si>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</si>
  <si>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</si>
  <si>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</si>
  <si>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</si>
  <si>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</si>
  <si>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</si>
  <si>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</si>
  <si>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</si>
  <si>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</si>
  <si>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</si>
  <si>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</si>
  <si>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</si>
  <si>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</si>
  <si>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</si>
  <si>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</si>
  <si>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</si>
  <si>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</si>
  <si>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</si>
  <si>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</si>
  <si>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</si>
  <si>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</si>
  <si>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</si>
  <si>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</si>
  <si>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</si>
  <si>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</si>
  <si>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</si>
  <si>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</si>
  <si>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</si>
  <si>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</si>
  <si>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</si>
  <si>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</si>
  <si>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</si>
  <si>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</si>
  <si>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</si>
  <si>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</si>
  <si>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</si>
  <si>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</si>
  <si>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</si>
  <si>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</si>
  <si>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</si>
  <si>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</si>
  <si>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</si>
  <si>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</si>
  <si>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</si>
  <si>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</si>
  <si>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</si>
  <si>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</si>
  <si>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</si>
  <si>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</si>
  <si>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</si>
  <si>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</si>
  <si>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</si>
  <si>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</si>
  <si>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</si>
  <si>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</si>
  <si>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</si>
  <si>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</si>
  <si>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</si>
  <si>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</si>
  <si>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</si>
  <si>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</si>
  <si>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</si>
  <si>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</si>
  <si>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</si>
  <si>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</si>
  <si>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</si>
  <si>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</si>
  <si>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</si>
  <si>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</si>
  <si>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</si>
  <si>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</si>
  <si>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</si>
  <si>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</si>
  <si>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</si>
  <si>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</si>
  <si>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</si>
  <si>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</si>
  <si>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</si>
  <si>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</si>
  <si>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</si>
  <si>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</si>
  <si>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</si>
  <si>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</si>
  <si>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</si>
  <si>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</si>
  <si>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</si>
  <si>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</si>
  <si>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</si>
  <si>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</si>
  <si>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</si>
  <si>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</si>
  <si>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</si>
  <si>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</si>
  <si>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</si>
  <si>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</si>
  <si>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</si>
  <si>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</si>
  <si>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</si>
  <si>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</si>
  <si>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</si>
  <si>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</si>
  <si>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</si>
  <si>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</si>
  <si>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</si>
  <si>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</si>
  <si>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</si>
  <si>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</si>
  <si>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</si>
  <si>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</si>
  <si>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</si>
  <si>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</si>
  <si>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</si>
  <si>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</si>
  <si>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</si>
  <si>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</si>
  <si>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</si>
  <si>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</si>
  <si>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</si>
  <si>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</si>
  <si>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</si>
  <si>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</si>
  <si>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</si>
  <si>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</si>
  <si>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</si>
  <si>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</si>
  <si>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</si>
  <si>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</si>
  <si>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</si>
  <si>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</si>
  <si>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</si>
  <si>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</si>
  <si>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</si>
  <si>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</si>
  <si>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</si>
  <si>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</si>
  <si>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</si>
  <si>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</si>
  <si>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</si>
  <si>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</si>
  <si>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</si>
  <si>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</si>
  <si>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</si>
  <si>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</si>
  <si>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</si>
  <si>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</si>
  <si>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</si>
  <si>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</si>
  <si>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</si>
  <si>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</si>
  <si>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</si>
  <si>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</si>
  <si>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</si>
  <si>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</si>
  <si>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</si>
  <si>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</si>
  <si>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</si>
  <si>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</si>
  <si>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</si>
  <si>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</si>
  <si>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</si>
  <si>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</si>
  <si>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</si>
  <si>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</si>
  <si>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</si>
  <si>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</si>
  <si>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</si>
  <si>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</si>
  <si>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</si>
  <si>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</si>
  <si>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</si>
  <si>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</si>
  <si>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</si>
  <si>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</si>
  <si>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</si>
  <si>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</si>
  <si>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</si>
  <si>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</si>
  <si>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</si>
  <si>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</si>
  <si>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</si>
  <si>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</si>
  <si>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</si>
  <si>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</si>
  <si>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</si>
  <si>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</si>
  <si>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</si>
  <si>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</si>
  <si>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</si>
  <si>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</si>
  <si>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</si>
  <si>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</si>
  <si>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</si>
  <si>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</si>
  <si>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</si>
  <si>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</si>
  <si>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</si>
  <si>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</si>
  <si>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</si>
  <si>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</si>
  <si>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</si>
  <si>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</si>
  <si>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</si>
  <si>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</si>
  <si>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</si>
  <si>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</si>
  <si>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</si>
  <si>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</si>
  <si>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</si>
  <si>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</si>
  <si>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</si>
  <si>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</si>
  <si>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</si>
  <si>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</si>
  <si>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</si>
  <si>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</si>
  <si>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</si>
  <si>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</si>
  <si>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</si>
  <si>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</si>
  <si>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</si>
  <si>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</si>
  <si>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</si>
  <si>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</si>
  <si>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</si>
  <si>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</si>
  <si>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</si>
  <si>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</si>
  <si>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</si>
  <si>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</si>
  <si>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</si>
  <si>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</si>
  <si>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</si>
  <si>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</si>
  <si>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</si>
  <si>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</si>
  <si>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</si>
  <si>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</si>
  <si>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</si>
  <si>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</si>
  <si>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</si>
  <si>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</si>
  <si>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</si>
  <si>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</si>
  <si>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</si>
  <si>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</si>
  <si>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</si>
  <si>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</si>
  <si>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</si>
  <si>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</si>
  <si>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</si>
  <si>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</si>
  <si>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</si>
  <si>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</si>
  <si>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</si>
  <si>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</si>
  <si>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</si>
  <si>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</si>
  <si>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</si>
  <si>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</si>
  <si>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</si>
  <si>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</si>
  <si>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</si>
  <si>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</si>
  <si>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</si>
  <si>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</si>
  <si>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</si>
  <si>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</si>
  <si>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</si>
  <si>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</si>
  <si>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</si>
  <si>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</si>
  <si>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</si>
  <si>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</si>
  <si>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</si>
  <si>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</si>
  <si>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</si>
  <si>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</si>
  <si>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</si>
  <si>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</si>
  <si>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</si>
  <si>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</si>
  <si>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</si>
  <si>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</si>
  <si>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</si>
  <si>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</si>
  <si>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</si>
  <si>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</si>
  <si>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</si>
  <si>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</si>
  <si>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</si>
  <si>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</si>
  <si>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</si>
  <si>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</si>
  <si>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</si>
  <si>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</si>
  <si>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</si>
  <si>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</si>
  <si>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</si>
  <si>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</si>
  <si>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</si>
  <si>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</si>
  <si>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</si>
  <si>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</si>
  <si>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</si>
  <si>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</si>
  <si>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</si>
  <si>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</si>
  <si>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</si>
  <si>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</si>
  <si>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</si>
  <si>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</si>
  <si>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</si>
  <si>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</si>
  <si>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</si>
  <si>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</si>
  <si>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</si>
  <si>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</si>
  <si>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</si>
  <si>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</si>
  <si>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</si>
  <si>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</si>
  <si>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</si>
  <si>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</si>
  <si>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</si>
  <si>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</si>
  <si>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</si>
  <si>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</si>
  <si>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</si>
  <si>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</si>
  <si>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</si>
  <si>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</si>
  <si>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</si>
  <si>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</si>
  <si>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</si>
  <si>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</si>
  <si>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</si>
  <si>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</si>
  <si>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</si>
  <si>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</si>
  <si>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</si>
  <si>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</si>
  <si>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</si>
  <si>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</si>
  <si>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</si>
  <si>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</si>
  <si>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</si>
  <si>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</si>
  <si>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</si>
  <si>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</si>
  <si>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</si>
  <si>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</si>
  <si>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</si>
  <si>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</si>
  <si>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</si>
  <si>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</si>
  <si>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</si>
  <si>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</si>
  <si>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</si>
  <si>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</si>
  <si>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</si>
  <si>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</si>
  <si>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</si>
  <si>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</si>
  <si>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</si>
  <si>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</si>
  <si>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</si>
  <si>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</si>
  <si>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</si>
  <si>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</si>
  <si>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</si>
  <si>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</si>
  <si>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</si>
  <si>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</si>
  <si>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</si>
  <si>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</si>
  <si>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</si>
  <si>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</si>
  <si>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</si>
  <si>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</si>
  <si>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</si>
  <si>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</si>
  <si>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</si>
  <si>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</si>
  <si>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</si>
  <si>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</si>
  <si>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</si>
  <si>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</si>
  <si>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</si>
  <si>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</si>
  <si>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</si>
  <si>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</si>
  <si>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</si>
  <si>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</si>
  <si>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</si>
  <si>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</si>
  <si>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</si>
  <si>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</si>
  <si>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</si>
  <si>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</si>
  <si>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</si>
  <si>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</si>
  <si>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</si>
  <si>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</si>
  <si>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</si>
  <si>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</si>
  <si>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</si>
  <si>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</si>
  <si>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</si>
  <si>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</si>
  <si>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</si>
  <si>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</si>
  <si>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</si>
  <si>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</si>
  <si>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</si>
  <si>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</si>
  <si>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</si>
  <si>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</si>
  <si>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</si>
  <si>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</si>
  <si>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</si>
  <si>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</si>
  <si>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</si>
  <si>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</si>
  <si>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</si>
  <si>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</si>
  <si>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</si>
  <si>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</si>
  <si>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</si>
  <si>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</si>
  <si>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</si>
  <si>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</si>
  <si>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</si>
  <si>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</si>
  <si>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</si>
  <si>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</si>
  <si>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</si>
  <si>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</si>
  <si>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</si>
  <si>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</si>
  <si>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</si>
  <si>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</si>
  <si>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</si>
  <si>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</si>
  <si>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</si>
  <si>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</si>
  <si>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</si>
  <si>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</si>
  <si>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</si>
  <si>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</si>
  <si>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</si>
  <si>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</si>
  <si>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</si>
  <si>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</si>
  <si>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</si>
  <si>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</si>
  <si>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</si>
  <si>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</si>
  <si>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</si>
  <si>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</si>
  <si>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</si>
  <si>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</si>
  <si>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</si>
  <si>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</si>
  <si>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</si>
  <si>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</si>
  <si>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</si>
  <si>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</si>
  <si>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</si>
  <si>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</si>
  <si>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</si>
  <si>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</si>
  <si>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</si>
  <si>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</si>
  <si>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</si>
  <si>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</si>
  <si>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</si>
  <si>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</si>
  <si>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</si>
  <si>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</si>
  <si>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</si>
  <si>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</si>
  <si>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</si>
  <si>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</si>
  <si>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</si>
  <si>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</si>
  <si>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</si>
  <si>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</si>
  <si>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</si>
  <si>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</si>
  <si>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</si>
  <si>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</si>
  <si>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</si>
  <si>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</si>
  <si>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</si>
  <si>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</si>
  <si>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</si>
  <si>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</si>
  <si>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</si>
  <si>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</si>
  <si>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</si>
  <si>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</si>
  <si>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</si>
  <si>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</si>
  <si>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</si>
  <si>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</si>
  <si>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</si>
  <si>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</si>
  <si>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</si>
  <si>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</si>
  <si>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</si>
  <si>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</si>
  <si>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</si>
  <si>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</si>
  <si>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</si>
  <si>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</si>
  <si>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</si>
  <si>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</si>
  <si>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</si>
  <si>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</si>
  <si>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</si>
  <si>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</si>
  <si>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</si>
  <si>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</si>
  <si>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</si>
  <si>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</si>
  <si>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</si>
  <si>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</si>
  <si>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</si>
  <si>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</si>
  <si>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</si>
  <si>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</si>
  <si>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</si>
  <si>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</si>
  <si>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</si>
  <si>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</si>
  <si>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</si>
  <si>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</si>
  <si>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</si>
  <si>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</si>
  <si>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</si>
  <si>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</si>
  <si>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</si>
  <si>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</si>
  <si>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</si>
  <si>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</si>
  <si>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</si>
  <si>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</si>
  <si>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</si>
  <si>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</si>
  <si>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</si>
  <si>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</si>
  <si>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</si>
  <si>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</si>
  <si>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</si>
  <si>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</si>
  <si>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</si>
  <si>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</si>
  <si>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</si>
  <si>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</si>
  <si>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</si>
  <si>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</si>
  <si>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</si>
  <si>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</si>
  <si>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</si>
  <si>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</si>
  <si>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</si>
  <si>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</si>
  <si>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</si>
  <si>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</si>
  <si>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</si>
  <si>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</si>
  <si>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</si>
  <si>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</si>
  <si>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</si>
  <si>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</si>
  <si>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</si>
  <si>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</si>
  <si>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</si>
  <si>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</si>
  <si>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</si>
  <si>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</si>
  <si>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</si>
  <si>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</si>
  <si>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</si>
  <si>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</si>
  <si>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</si>
  <si>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</si>
  <si>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</si>
  <si>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</si>
  <si>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</si>
  <si>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</si>
  <si>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</si>
  <si>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</si>
  <si>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</si>
  <si>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</si>
  <si>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</si>
  <si>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</si>
  <si>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</si>
  <si>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</si>
  <si>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</si>
  <si>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</si>
  <si>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</si>
  <si>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</si>
  <si>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</si>
  <si>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</si>
  <si>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</si>
  <si>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</si>
  <si>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</si>
  <si>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</si>
  <si>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</si>
  <si>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</si>
  <si>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</si>
  <si>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</si>
  <si>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</si>
  <si>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</si>
  <si>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</si>
  <si>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</si>
  <si>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</si>
  <si>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</si>
  <si>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</si>
  <si>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</si>
  <si>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</si>
  <si>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</si>
  <si>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</si>
  <si>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</si>
  <si>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</si>
  <si>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</si>
  <si>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</si>
  <si>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</si>
  <si>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</si>
  <si>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</si>
  <si>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</si>
  <si>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</si>
  <si>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</si>
  <si>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</si>
  <si>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</si>
  <si>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</si>
  <si>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</si>
  <si>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</si>
  <si>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</si>
  <si>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</si>
  <si>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</si>
  <si>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</si>
  <si>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</si>
  <si>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</si>
  <si>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</si>
  <si>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</si>
  <si>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</si>
  <si>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</si>
  <si>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</si>
  <si>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</si>
  <si>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</si>
  <si>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</si>
  <si>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</si>
  <si>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</si>
  <si>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</si>
  <si>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</si>
  <si>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</si>
  <si>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</si>
  <si>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</si>
  <si>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</si>
  <si>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</si>
  <si>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</si>
  <si>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</si>
  <si>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</si>
  <si>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</si>
  <si>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</si>
  <si>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</si>
  <si>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</si>
  <si>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</si>
  <si>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</si>
  <si>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</si>
  <si>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</si>
  <si>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</si>
  <si>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</si>
  <si>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</si>
  <si>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</si>
  <si>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</si>
  <si>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</si>
  <si>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</si>
  <si>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</si>
  <si>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</si>
  <si>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</si>
  <si>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</si>
  <si>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</si>
  <si>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</si>
  <si>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</si>
  <si>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</si>
  <si>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</si>
  <si>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</si>
  <si>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</si>
  <si>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</si>
  <si>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</si>
  <si>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</si>
  <si>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</si>
  <si>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</si>
  <si>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</si>
  <si>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</si>
  <si>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</si>
  <si>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</si>
  <si>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</si>
  <si>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</si>
  <si>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</si>
  <si>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</si>
  <si>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</si>
  <si>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</si>
  <si>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</si>
  <si>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</si>
  <si>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</si>
  <si>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</si>
  <si>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</si>
  <si>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</si>
  <si>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</si>
  <si>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</si>
  <si>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</si>
  <si>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</si>
  <si>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</si>
  <si>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</si>
  <si>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</si>
  <si>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</si>
  <si>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</si>
  <si>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</si>
  <si>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</si>
  <si>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</si>
  <si>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</si>
  <si>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</si>
  <si>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</si>
  <si>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</si>
  <si>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</si>
  <si>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</si>
  <si>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</si>
  <si>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</si>
  <si>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</si>
  <si>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</si>
  <si>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</si>
  <si>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</si>
  <si>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</si>
  <si>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</si>
  <si>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</si>
  <si>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</si>
  <si>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</si>
  <si>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</si>
  <si>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</si>
  <si>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</si>
  <si>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</si>
  <si>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</si>
  <si>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</si>
  <si>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</si>
  <si>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</si>
  <si>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</si>
  <si>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</si>
  <si>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</si>
  <si>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</si>
  <si>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</si>
  <si>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</si>
  <si>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</si>
  <si>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</si>
  <si>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</si>
  <si>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</si>
  <si>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</si>
  <si>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</si>
  <si>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</si>
  <si>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</si>
  <si>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</si>
  <si>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</si>
  <si>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</si>
  <si>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</si>
  <si>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</si>
  <si>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</si>
  <si>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</si>
  <si>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</si>
  <si>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</si>
  <si>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</si>
  <si>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</si>
  <si>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</si>
  <si>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</si>
  <si>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</si>
  <si>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</si>
  <si>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</si>
  <si>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</si>
  <si>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</si>
  <si>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</si>
  <si>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</si>
  <si>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</si>
  <si>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</si>
  <si>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</si>
  <si>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</si>
  <si>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</si>
  <si>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</si>
  <si>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</si>
  <si>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</si>
  <si>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</si>
  <si>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</si>
  <si>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</si>
  <si>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</si>
  <si>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</si>
  <si>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</si>
  <si>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</si>
  <si>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</si>
  <si>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</si>
  <si>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</si>
  <si>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</si>
  <si>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</si>
  <si>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</si>
  <si>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</si>
  <si>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</si>
  <si>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</si>
  <si>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</si>
  <si>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</si>
  <si>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</si>
  <si>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</si>
  <si>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</si>
  <si>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</si>
  <si>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</si>
  <si>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</si>
  <si>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</si>
  <si>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</si>
  <si>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</si>
  <si>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</si>
  <si>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</si>
  <si>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</si>
  <si>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</si>
  <si>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</si>
  <si>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</si>
  <si>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</si>
  <si>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</si>
  <si>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</si>
  <si>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</si>
  <si>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</si>
  <si>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</si>
  <si>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</si>
  <si>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</si>
  <si>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</si>
  <si>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</si>
  <si>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</si>
  <si>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</si>
  <si>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</si>
  <si>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</si>
  <si>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</si>
  <si>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</si>
  <si>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</si>
  <si>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</si>
  <si>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</si>
  <si>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</si>
  <si>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</si>
  <si>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</si>
  <si>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</si>
  <si>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</si>
  <si>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</si>
  <si>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</si>
  <si>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</si>
  <si>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</si>
  <si>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</si>
  <si>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</si>
  <si>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</si>
  <si>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</si>
  <si>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</si>
  <si>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</si>
  <si>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</si>
  <si>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</si>
  <si>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</si>
  <si>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</si>
  <si>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</si>
  <si>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</si>
  <si>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</si>
  <si>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</si>
  <si>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</si>
  <si>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</si>
  <si>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</si>
  <si>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</si>
  <si>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</si>
  <si>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</si>
  <si>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</si>
  <si>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</si>
  <si>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</si>
  <si>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</si>
  <si>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</si>
  <si>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</si>
  <si>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</si>
  <si>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</si>
  <si>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</si>
  <si>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</si>
  <si>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</si>
  <si>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</si>
  <si>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</si>
  <si>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</si>
  <si>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</si>
  <si>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</si>
  <si>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</si>
  <si>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</si>
  <si>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</si>
  <si>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</si>
  <si>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</si>
  <si>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</si>
  <si>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</si>
  <si>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</si>
  <si>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</si>
  <si>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</si>
  <si>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</si>
  <si>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</si>
  <si>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</si>
  <si>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</si>
  <si>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</si>
  <si>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</si>
  <si>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</si>
  <si>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</si>
  <si>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</si>
  <si>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</si>
  <si>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</si>
  <si>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</si>
  <si>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</si>
  <si>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</si>
  <si>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</si>
  <si>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</si>
  <si>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</si>
  <si>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</si>
  <si>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</si>
  <si>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</si>
  <si>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</si>
  <si>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</si>
  <si>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</si>
  <si>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</si>
  <si>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</si>
  <si>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</si>
  <si>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</si>
  <si>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</si>
  <si>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</si>
  <si>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</si>
  <si>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</si>
  <si>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</si>
  <si>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</si>
  <si>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</si>
  <si>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</si>
  <si>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</si>
  <si>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</si>
  <si>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</si>
  <si>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</si>
  <si>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</si>
  <si>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</si>
  <si>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</si>
  <si>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</si>
  <si>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</si>
  <si>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</si>
  <si>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</si>
  <si>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</si>
  <si>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</si>
  <si>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</si>
  <si>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</si>
  <si>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</si>
  <si>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</si>
  <si>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</si>
  <si>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</si>
  <si>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</si>
  <si>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</si>
  <si>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</si>
  <si>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</si>
  <si>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</si>
  <si>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</si>
  <si>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</si>
  <si>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</si>
  <si>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</si>
  <si>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</si>
  <si>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</si>
  <si>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</si>
  <si>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</si>
  <si>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</si>
  <si>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</si>
  <si>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</si>
  <si>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</si>
  <si>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</si>
  <si>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</si>
  <si>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</si>
  <si>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</si>
  <si>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</si>
  <si>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</si>
  <si>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</si>
  <si>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</si>
  <si>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</si>
  <si>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</si>
  <si>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</si>
  <si>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</si>
  <si>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</si>
  <si>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</si>
  <si>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</si>
  <si>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</si>
  <si>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</si>
  <si>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</si>
  <si>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</si>
  <si>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</si>
  <si>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</si>
  <si>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</si>
  <si>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</si>
  <si>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</si>
  <si>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</si>
  <si>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</si>
  <si>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</si>
  <si>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</si>
  <si>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</si>
  <si>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</si>
  <si>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</si>
  <si>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</si>
  <si>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</si>
  <si>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</si>
  <si>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</si>
  <si>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</si>
  <si>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</si>
  <si>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</si>
  <si>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</si>
  <si>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</si>
  <si>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</si>
  <si>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</si>
  <si>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</si>
  <si>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</si>
  <si>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</si>
  <si>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</si>
  <si>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</si>
  <si>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</si>
  <si>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</si>
  <si>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</si>
  <si>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</si>
  <si>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</si>
  <si>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</si>
  <si>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</si>
  <si>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</si>
  <si>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</si>
  <si>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</si>
  <si>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</si>
  <si>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</si>
  <si>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</si>
  <si>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</si>
  <si>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</si>
  <si>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</si>
  <si>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</si>
  <si>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</si>
  <si>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</si>
  <si>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</si>
  <si>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</si>
  <si>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</si>
  <si>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</si>
  <si>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</si>
  <si>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</si>
  <si>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</si>
  <si>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</si>
  <si>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</si>
  <si>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</si>
  <si>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</si>
  <si>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</si>
  <si>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</si>
  <si>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</si>
  <si>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</si>
  <si>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</si>
  <si>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</si>
  <si>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</si>
  <si>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</si>
  <si>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</si>
  <si>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</si>
  <si>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</si>
  <si>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</si>
  <si>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</si>
  <si>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</si>
  <si>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</si>
  <si>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</si>
  <si>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</si>
  <si>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</si>
  <si>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</si>
  <si>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</si>
  <si>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</si>
  <si>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</si>
  <si>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</si>
  <si>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</si>
  <si>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</si>
  <si>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</si>
  <si>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</si>
  <si>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</si>
  <si>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</si>
  <si>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</si>
  <si>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</si>
  <si>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</si>
  <si>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</si>
  <si>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</si>
  <si>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</si>
  <si>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</si>
  <si>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</si>
  <si>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</si>
  <si>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</si>
  <si>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</si>
  <si>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</si>
  <si>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</si>
  <si>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</si>
  <si>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</si>
  <si>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</si>
  <si>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</si>
  <si>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</si>
  <si>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</si>
  <si>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</si>
  <si>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</si>
  <si>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</si>
  <si>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</si>
  <si>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</si>
  <si>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</si>
  <si>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</si>
  <si>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</si>
  <si>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</si>
  <si>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</si>
  <si>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</si>
  <si>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</si>
  <si>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</si>
  <si>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</si>
  <si>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</si>
  <si>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</si>
  <si>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</si>
  <si>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</si>
  <si>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</si>
  <si>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</si>
  <si>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</si>
  <si>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</si>
  <si>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</si>
  <si>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</si>
  <si>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</si>
  <si>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</si>
  <si>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</si>
  <si>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</si>
  <si>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</si>
  <si>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</si>
  <si>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</si>
  <si>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</si>
  <si>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</si>
  <si>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</si>
  <si>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</si>
  <si>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</si>
  <si>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</si>
  <si>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</si>
  <si>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</si>
  <si>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</si>
  <si>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</si>
  <si>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</si>
  <si>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</si>
  <si>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</si>
  <si>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</si>
  <si>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</si>
  <si>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</si>
  <si>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</si>
  <si>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</si>
  <si>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</si>
  <si>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</si>
  <si>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</si>
  <si>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</si>
  <si>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</si>
  <si>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</si>
  <si>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</si>
  <si>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</si>
  <si>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</si>
  <si>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</si>
  <si>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</si>
  <si>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</si>
  <si>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</si>
  <si>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</si>
  <si>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</si>
  <si>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</si>
  <si>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</si>
  <si>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</si>
  <si>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</si>
  <si>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</si>
  <si>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</si>
  <si>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</si>
  <si>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</si>
  <si>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</si>
  <si>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</si>
  <si>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</si>
  <si>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</si>
  <si>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</si>
  <si>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</si>
  <si>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</si>
  <si>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</si>
  <si>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</si>
  <si>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</si>
  <si>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</si>
  <si>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</si>
  <si>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</si>
  <si>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</si>
  <si>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</si>
  <si>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</si>
  <si>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</si>
  <si>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</si>
  <si>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</si>
  <si>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</si>
  <si>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</si>
  <si>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</si>
  <si>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</si>
  <si>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</si>
  <si>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</si>
  <si>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</si>
  <si>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</si>
  <si>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</si>
  <si>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</si>
  <si>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</si>
  <si>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</si>
  <si>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</si>
  <si>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</si>
  <si>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</si>
  <si>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</si>
  <si>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</si>
  <si>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</si>
  <si>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</si>
  <si>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</si>
  <si>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</si>
  <si>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</si>
  <si>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</si>
  <si>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</si>
  <si>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</si>
  <si>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</si>
  <si>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</si>
  <si>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</si>
  <si>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</si>
  <si>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</si>
  <si>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</si>
  <si>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</si>
  <si>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</si>
  <si>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</si>
  <si>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</si>
  <si>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</si>
  <si>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</si>
  <si>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</si>
  <si>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</si>
  <si>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</si>
  <si>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</si>
  <si>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</si>
  <si>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</si>
  <si>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</si>
  <si>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</si>
  <si>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</si>
  <si>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</si>
  <si>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</si>
  <si>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</si>
  <si>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</si>
  <si>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</si>
  <si>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</si>
  <si>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</si>
  <si>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</si>
  <si>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</si>
  <si>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</si>
  <si>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</si>
  <si>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</si>
  <si>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</si>
  <si>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</si>
  <si>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</si>
  <si>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</si>
  <si>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</si>
  <si>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</si>
  <si>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</si>
  <si>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</si>
  <si>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</si>
  <si>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</si>
  <si>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</si>
  <si>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</si>
  <si>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</si>
  <si>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</si>
  <si>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</si>
  <si>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</si>
  <si>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</si>
  <si>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</si>
  <si>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</si>
  <si>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</si>
  <si>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</si>
  <si>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</si>
  <si>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</si>
  <si>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</si>
  <si>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</si>
  <si>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</si>
  <si>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</si>
  <si>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</si>
  <si>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</si>
  <si>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</si>
  <si>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</si>
  <si>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</si>
  <si>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</si>
  <si>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</si>
  <si>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</si>
  <si>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</si>
  <si>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</si>
  <si>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</si>
  <si>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</si>
  <si>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</si>
  <si>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</si>
  <si>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</si>
  <si>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</si>
  <si>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</si>
  <si>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</si>
  <si>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</si>
  <si>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</si>
  <si>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</si>
  <si>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</si>
  <si>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</si>
  <si>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</si>
  <si>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</si>
  <si>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</si>
  <si>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</si>
  <si>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</si>
  <si>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</si>
  <si>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</si>
  <si>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</si>
  <si>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</si>
  <si>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</si>
  <si>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</si>
  <si>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</si>
  <si>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</si>
  <si>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</si>
  <si>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</si>
  <si>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</si>
  <si>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</si>
  <si>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</si>
  <si>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</si>
  <si>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</si>
  <si>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</si>
  <si>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</si>
  <si>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</si>
  <si>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</si>
  <si>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</si>
  <si>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</si>
  <si>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</si>
  <si>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</si>
  <si>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</si>
  <si>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</si>
  <si>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</si>
  <si>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</si>
  <si>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</si>
  <si>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</si>
  <si>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</si>
  <si>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</si>
  <si>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</si>
  <si>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</si>
  <si>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</si>
  <si>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</si>
  <si>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</si>
  <si>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</si>
  <si>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</si>
  <si>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</si>
  <si>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</si>
  <si>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</si>
  <si>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</si>
  <si>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</si>
  <si>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</si>
  <si>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</si>
  <si>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</si>
  <si>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</si>
  <si>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</si>
  <si>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</si>
  <si>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</si>
  <si>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</si>
  <si>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</si>
  <si>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</si>
  <si>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</si>
  <si>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</si>
  <si>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</si>
  <si>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</si>
  <si>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</si>
  <si>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</si>
  <si>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</si>
  <si>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</si>
  <si>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</si>
  <si>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</si>
  <si>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</si>
  <si>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</si>
  <si>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</si>
  <si>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</si>
  <si>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</si>
  <si>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</si>
  <si>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</si>
  <si>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</si>
  <si>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</si>
  <si>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</si>
  <si>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</si>
  <si>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</si>
  <si>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</si>
  <si>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</si>
  <si>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</si>
  <si>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</si>
  <si>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</si>
  <si>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</si>
  <si>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</si>
  <si>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</si>
  <si>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</si>
  <si>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</si>
  <si>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</si>
  <si>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</si>
  <si>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</si>
  <si>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</si>
  <si>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</si>
  <si>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</si>
  <si>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</si>
  <si>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</si>
  <si>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</si>
  <si>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</si>
  <si>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</si>
  <si>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</si>
  <si>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</si>
  <si>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</si>
  <si>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</si>
  <si>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</si>
  <si>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</si>
  <si>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</si>
  <si>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</si>
  <si>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</si>
  <si>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</si>
  <si>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</si>
  <si>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</si>
  <si>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</si>
  <si>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</si>
  <si>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</si>
  <si>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</si>
  <si>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</si>
  <si>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</si>
  <si>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</si>
  <si>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</si>
  <si>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</si>
  <si>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</si>
  <si>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</si>
  <si>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</si>
  <si>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</si>
  <si>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</si>
  <si>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</si>
  <si>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</si>
  <si>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</si>
  <si>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</si>
  <si>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</si>
  <si>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</si>
  <si>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</si>
  <si>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</si>
  <si>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</si>
  <si>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</si>
  <si>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</si>
  <si>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</si>
  <si>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</si>
  <si>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</si>
  <si>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</si>
  <si>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</si>
  <si>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</si>
  <si>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</si>
  <si>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</si>
  <si>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</si>
  <si>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</si>
  <si>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</si>
  <si>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</si>
  <si>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</si>
  <si>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</si>
  <si>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</si>
  <si>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</si>
  <si>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</si>
  <si>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</si>
  <si>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</si>
  <si>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</si>
  <si>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</si>
  <si>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</si>
  <si>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</si>
  <si>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</si>
  <si>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</si>
  <si>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</si>
  <si>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</si>
  <si>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</si>
  <si>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</si>
  <si>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</si>
  <si>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</si>
  <si>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</si>
  <si>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</si>
  <si>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</si>
  <si>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</si>
  <si>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</si>
  <si>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</si>
  <si>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</si>
  <si>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</si>
  <si>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</si>
  <si>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</si>
  <si>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</si>
  <si>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</si>
  <si>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</si>
  <si>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</si>
  <si>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</si>
  <si>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</si>
  <si>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</si>
  <si>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</si>
  <si>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</si>
  <si>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</si>
  <si>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</si>
  <si>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</si>
  <si>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</si>
  <si>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</si>
  <si>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</si>
  <si>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</si>
  <si>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</si>
  <si>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</si>
  <si>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</si>
  <si>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</si>
  <si>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</si>
  <si>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</si>
  <si>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</si>
  <si>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</si>
  <si>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</si>
  <si>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</si>
  <si>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</si>
  <si>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</si>
  <si>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</si>
  <si>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</si>
  <si>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</si>
  <si>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</si>
  <si>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</si>
  <si>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</si>
  <si>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</si>
  <si>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</si>
  <si>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</si>
  <si>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</si>
  <si>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</si>
  <si>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</si>
  <si>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</si>
  <si>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</si>
  <si>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</si>
  <si>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</si>
  <si>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</si>
  <si>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</si>
  <si>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</si>
  <si>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</si>
  <si>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</si>
  <si>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</si>
  <si>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</si>
  <si>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</si>
  <si>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</si>
  <si>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</si>
  <si>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</si>
  <si>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</si>
  <si>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</si>
  <si>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</si>
  <si>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</si>
  <si>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</si>
  <si>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</si>
  <si>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</si>
  <si>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</si>
  <si>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</si>
  <si>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</si>
  <si>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</si>
  <si>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</si>
  <si>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</si>
  <si>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</si>
  <si>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</si>
  <si>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</si>
  <si>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</si>
  <si>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</si>
  <si>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</si>
  <si>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</si>
  <si>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</si>
  <si>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</si>
  <si>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</si>
  <si>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</si>
  <si>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</si>
  <si>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</si>
  <si>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</si>
  <si>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</si>
  <si>
    <t>车库</t>
    <phoneticPr fontId="7" type="noConversion"/>
  </si>
  <si>
    <t>地下</t>
  </si>
  <si>
    <t>出让金+开发费</t>
  </si>
  <si>
    <t>估价方法</t>
  </si>
  <si>
    <t xml:space="preserve"> </t>
  </si>
  <si>
    <t>增值额未超过扣除项目金额50%</t>
  </si>
  <si>
    <t>土地增值税税额=增值额×30%</t>
  </si>
  <si>
    <t>——</t>
    <phoneticPr fontId="38" type="noConversion"/>
  </si>
  <si>
    <t>项目</t>
    <phoneticPr fontId="38" type="noConversion"/>
  </si>
  <si>
    <t>系数</t>
    <phoneticPr fontId="38" type="noConversion"/>
  </si>
  <si>
    <t>备注</t>
    <phoneticPr fontId="38" type="noConversion"/>
  </si>
  <si>
    <t>转让收入</t>
    <phoneticPr fontId="38" type="noConversion"/>
  </si>
  <si>
    <t>扣除项合计</t>
    <phoneticPr fontId="38" type="noConversion"/>
  </si>
  <si>
    <t>（1）</t>
    <phoneticPr fontId="38" type="noConversion"/>
  </si>
  <si>
    <t>土地取得成本</t>
    <phoneticPr fontId="38" type="noConversion"/>
  </si>
  <si>
    <t>1）</t>
    <phoneticPr fontId="38" type="noConversion"/>
  </si>
  <si>
    <t>土地取得费用</t>
    <phoneticPr fontId="38" type="noConversion"/>
  </si>
  <si>
    <t>出让价款内涵：</t>
    <phoneticPr fontId="34" type="noConversion"/>
  </si>
  <si>
    <t>2）</t>
    <phoneticPr fontId="38" type="noConversion"/>
  </si>
  <si>
    <t>相关税费</t>
    <phoneticPr fontId="38" type="noConversion"/>
  </si>
  <si>
    <t>契税及印花税</t>
    <phoneticPr fontId="34" type="noConversion"/>
  </si>
  <si>
    <t>（2）</t>
    <phoneticPr fontId="38" type="noConversion"/>
  </si>
  <si>
    <t>土地开发费</t>
    <phoneticPr fontId="38" type="noConversion"/>
  </si>
  <si>
    <t>（3）</t>
    <phoneticPr fontId="38" type="noConversion"/>
  </si>
  <si>
    <t>建造成本</t>
    <phoneticPr fontId="38" type="noConversion"/>
  </si>
  <si>
    <t>包括前期工程费、建筑安装工程费、基础设施费和公共配套费等</t>
    <phoneticPr fontId="34" type="noConversion"/>
  </si>
  <si>
    <t>（4）</t>
    <phoneticPr fontId="38" type="noConversion"/>
  </si>
  <si>
    <t>开发费用扣除</t>
    <phoneticPr fontId="38" type="noConversion"/>
  </si>
  <si>
    <t>凡不能按转让房地产项目计算分摊利息支出或不能提供金融机构证明的，按土地及建筑总投的10%以内；含销售、管理、财务费用</t>
    <phoneticPr fontId="34" type="noConversion"/>
  </si>
  <si>
    <t>（5）</t>
    <phoneticPr fontId="38" type="noConversion"/>
  </si>
  <si>
    <t>转让税金支出</t>
    <phoneticPr fontId="38" type="noConversion"/>
  </si>
  <si>
    <t>不含增值税，仅附加税</t>
    <phoneticPr fontId="34" type="noConversion"/>
  </si>
  <si>
    <t>（6）</t>
    <phoneticPr fontId="38" type="noConversion"/>
  </si>
  <si>
    <t>加计扣除金额</t>
    <phoneticPr fontId="38" type="noConversion"/>
  </si>
  <si>
    <t>对专门从事房地产开发的企业可以按（1）—（3）合计值的20％计算扣除；如为土地，则仅将土地开发费（2）加计20%扣减，请自行调整公式</t>
    <phoneticPr fontId="34" type="noConversion"/>
  </si>
  <si>
    <t>增值额</t>
    <phoneticPr fontId="38" type="noConversion"/>
  </si>
  <si>
    <t>增值额与扣除项比率</t>
    <phoneticPr fontId="38" type="noConversion"/>
  </si>
  <si>
    <t>应纳增值税税额</t>
    <phoneticPr fontId="38" type="noConversion"/>
  </si>
  <si>
    <t>依据估价委托人介绍</t>
    <phoneticPr fontId="34"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</si>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</sst>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
      <b/>
      <sz val="8"/>
      <name val="Arial"/>
      <family val="2"/>
    </font>
    <font>
      <sz val="8"/>
      <name val="Arial"/>
      <family val="2"/>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186" fillId="5" borderId="3" xfId="0" applyNumberFormat="1"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xf>
    <xf numFmtId="0" fontId="259" fillId="0" borderId="28" xfId="0" applyFont="1" applyFill="1" applyBorder="1" applyAlignment="1" applyProtection="1">
      <alignment horizontal="left" vertical="center" wrapText="1"/>
    </xf>
    <xf numFmtId="0" fontId="259" fillId="0" borderId="20" xfId="0" applyFont="1" applyFill="1" applyBorder="1" applyAlignment="1" applyProtection="1">
      <alignment horizontal="left" vertical="center" wrapText="1"/>
    </xf>
    <xf numFmtId="0" fontId="259" fillId="0" borderId="21" xfId="2" applyFont="1" applyFill="1" applyBorder="1" applyAlignment="1" applyProtection="1">
      <alignment horizontal="left" vertical="center" wrapText="1"/>
    </xf>
    <xf numFmtId="49" fontId="258" fillId="0" borderId="23" xfId="0" applyNumberFormat="1" applyFont="1" applyFill="1" applyBorder="1" applyAlignment="1" applyProtection="1">
      <alignment horizontal="left" vertical="center" wrapText="1"/>
    </xf>
    <xf numFmtId="0" fontId="258" fillId="0" borderId="1" xfId="0" applyFont="1" applyFill="1" applyBorder="1" applyAlignment="1" applyProtection="1">
      <alignment horizontal="left" vertical="center" wrapText="1"/>
    </xf>
    <xf numFmtId="177" fontId="258" fillId="0" borderId="1" xfId="0" applyNumberFormat="1" applyFont="1" applyFill="1" applyBorder="1" applyAlignment="1" applyProtection="1">
      <alignment horizontal="center" vertical="center" wrapText="1"/>
    </xf>
    <xf numFmtId="0" fontId="259" fillId="0" borderId="1" xfId="0" applyFont="1" applyFill="1" applyBorder="1" applyAlignment="1" applyProtection="1">
      <alignment horizontal="center" vertical="center" wrapText="1"/>
    </xf>
    <xf numFmtId="0" fontId="259" fillId="0" borderId="5" xfId="0" applyFont="1" applyFill="1" applyBorder="1" applyAlignment="1" applyProtection="1">
      <alignment horizontal="left" vertical="center" wrapText="1"/>
    </xf>
    <xf numFmtId="0" fontId="259" fillId="0" borderId="54" xfId="0" applyFont="1" applyFill="1" applyBorder="1" applyAlignment="1" applyProtection="1">
      <alignment horizontal="left" vertical="center" wrapText="1"/>
    </xf>
    <xf numFmtId="0" fontId="259" fillId="0" borderId="48" xfId="2" applyFont="1" applyFill="1" applyBorder="1" applyAlignment="1" applyProtection="1">
      <alignment horizontal="left" vertical="center" wrapText="1"/>
    </xf>
    <xf numFmtId="0" fontId="259" fillId="0" borderId="5" xfId="0" applyFont="1" applyFill="1" applyBorder="1" applyAlignment="1" applyProtection="1">
      <alignment horizontal="center" vertical="center" wrapText="1"/>
    </xf>
    <xf numFmtId="49" fontId="259" fillId="0" borderId="23" xfId="0" applyNumberFormat="1" applyFont="1" applyFill="1" applyBorder="1" applyAlignment="1" applyProtection="1">
      <alignment vertical="center" wrapText="1"/>
    </xf>
    <xf numFmtId="0" fontId="259" fillId="0" borderId="1" xfId="0" applyFont="1" applyFill="1" applyBorder="1" applyAlignment="1" applyProtection="1">
      <alignment horizontal="left" vertical="center" wrapText="1"/>
    </xf>
    <xf numFmtId="191" fontId="259" fillId="0" borderId="1" xfId="0" applyNumberFormat="1" applyFont="1" applyFill="1" applyBorder="1" applyAlignment="1" applyProtection="1">
      <alignment horizontal="center" vertical="center" wrapText="1"/>
    </xf>
    <xf numFmtId="10" fontId="258" fillId="0" borderId="5" xfId="0" applyNumberFormat="1" applyFont="1" applyFill="1" applyBorder="1" applyAlignment="1" applyProtection="1">
      <alignment horizontal="center" vertical="center" wrapText="1"/>
    </xf>
    <xf numFmtId="10" fontId="259" fillId="0" borderId="5" xfId="0" applyNumberFormat="1" applyFont="1" applyFill="1" applyBorder="1" applyAlignment="1" applyProtection="1">
      <alignment horizontal="left" vertical="center" wrapText="1"/>
    </xf>
    <xf numFmtId="10" fontId="259" fillId="0" borderId="54" xfId="0" applyNumberFormat="1" applyFont="1" applyFill="1" applyBorder="1" applyAlignment="1" applyProtection="1">
      <alignment horizontal="left" vertical="center" wrapText="1"/>
    </xf>
    <xf numFmtId="10" fontId="259" fillId="0" borderId="48" xfId="0" applyNumberFormat="1" applyFont="1" applyFill="1" applyBorder="1" applyAlignment="1" applyProtection="1">
      <alignment horizontal="left" vertical="center" wrapText="1"/>
    </xf>
    <xf numFmtId="191" fontId="259" fillId="0" borderId="1" xfId="0" applyNumberFormat="1" applyFont="1" applyFill="1" applyBorder="1" applyAlignment="1" applyProtection="1">
      <alignment horizontal="center" vertical="center" wrapText="1"/>
      <protection locked="0"/>
    </xf>
    <xf numFmtId="10" fontId="259" fillId="0" borderId="5" xfId="0" applyNumberFormat="1" applyFont="1" applyFill="1" applyBorder="1" applyAlignment="1" applyProtection="1">
      <alignment horizontal="left" vertical="center"/>
    </xf>
    <xf numFmtId="0" fontId="259" fillId="0" borderId="0" xfId="0" applyFont="1" applyFill="1" applyBorder="1" applyAlignment="1" applyProtection="1">
      <alignment horizontal="left" vertical="center"/>
    </xf>
    <xf numFmtId="10" fontId="259" fillId="0" borderId="48" xfId="0" applyNumberFormat="1" applyFont="1" applyFill="1" applyBorder="1" applyAlignment="1" applyProtection="1">
      <alignment horizontal="left" vertical="center" wrapText="1"/>
      <protection locked="0"/>
    </xf>
    <xf numFmtId="49" fontId="258" fillId="0" borderId="23" xfId="0" applyNumberFormat="1" applyFont="1" applyFill="1" applyBorder="1" applyAlignment="1" applyProtection="1">
      <alignment vertical="center" wrapText="1"/>
    </xf>
    <xf numFmtId="181" fontId="258" fillId="0" borderId="1" xfId="0" applyNumberFormat="1" applyFont="1" applyFill="1" applyBorder="1" applyAlignment="1" applyProtection="1">
      <alignment horizontal="center" vertical="center" wrapText="1"/>
    </xf>
    <xf numFmtId="0" fontId="259" fillId="0" borderId="5" xfId="0" applyFont="1" applyFill="1" applyBorder="1" applyAlignment="1" applyProtection="1">
      <alignment horizontal="left" vertical="center"/>
    </xf>
    <xf numFmtId="49" fontId="258" fillId="0" borderId="25" xfId="0" applyNumberFormat="1" applyFont="1" applyFill="1" applyBorder="1" applyAlignment="1" applyProtection="1">
      <alignment vertical="center" wrapText="1"/>
    </xf>
    <xf numFmtId="0" fontId="258" fillId="0" borderId="32" xfId="0" applyFont="1" applyFill="1" applyBorder="1" applyAlignment="1" applyProtection="1">
      <alignment horizontal="left" vertical="center" wrapText="1"/>
    </xf>
    <xf numFmtId="0" fontId="258" fillId="0" borderId="32" xfId="0" applyFont="1" applyFill="1" applyBorder="1" applyAlignment="1" applyProtection="1">
      <alignment horizontal="center" vertical="center" wrapText="1"/>
    </xf>
    <xf numFmtId="0" fontId="259" fillId="0" borderId="32" xfId="0" applyFont="1" applyFill="1" applyBorder="1" applyAlignment="1" applyProtection="1">
      <alignment horizontal="center" vertical="center" wrapText="1"/>
    </xf>
    <xf numFmtId="0" fontId="259" fillId="0" borderId="33" xfId="0" applyFont="1" applyFill="1" applyBorder="1" applyAlignment="1" applyProtection="1">
      <alignment horizontal="left" vertical="center"/>
    </xf>
    <xf numFmtId="0" fontId="259" fillId="0" borderId="52" xfId="0" applyFont="1" applyFill="1" applyBorder="1" applyAlignment="1" applyProtection="1">
      <alignment horizontal="left" vertical="center" wrapText="1"/>
    </xf>
    <xf numFmtId="0" fontId="259" fillId="0" borderId="68" xfId="2" applyFont="1" applyFill="1" applyBorder="1" applyAlignment="1" applyProtection="1">
      <alignment horizontal="left" vertical="center" wrapText="1"/>
    </xf>
    <xf numFmtId="10" fontId="260" fillId="0" borderId="5" xfId="0" applyNumberFormat="1" applyFont="1" applyFill="1" applyBorder="1" applyAlignment="1" applyProtection="1">
      <alignment horizontal="left" vertical="center"/>
    </xf>
    <xf numFmtId="9" fontId="120" fillId="0"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8" fillId="0" borderId="6"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xf>
    <xf numFmtId="10" fontId="259" fillId="0" borderId="5" xfId="0" applyNumberFormat="1" applyFont="1" applyFill="1" applyBorder="1" applyAlignment="1" applyProtection="1">
      <alignment horizontal="left" vertical="center" wrapText="1"/>
    </xf>
    <xf numFmtId="10" fontId="259" fillId="0" borderId="54" xfId="0" applyNumberFormat="1" applyFont="1" applyFill="1" applyBorder="1" applyAlignment="1" applyProtection="1">
      <alignment horizontal="left" vertical="center" wrapText="1"/>
    </xf>
    <xf numFmtId="10" fontId="259" fillId="0"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patternFill>
      </fill>
    </dxf>
    <dxf>
      <fill>
        <patternFill>
          <bgColor theme="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twoCellAnchor editAs="oneCell">
    <xdr:from>
      <xdr:col>13</xdr:col>
      <xdr:colOff>0</xdr:colOff>
      <xdr:row>65</xdr:row>
      <xdr:rowOff>0</xdr:rowOff>
    </xdr:from>
    <xdr:to>
      <xdr:col>27</xdr:col>
      <xdr:colOff>598933</xdr:colOff>
      <xdr:row>112</xdr:row>
      <xdr:rowOff>42735</xdr:rowOff>
    </xdr:to>
    <xdr:pic>
      <xdr:nvPicPr>
        <xdr:cNvPr id="2" name="图片 1"/>
        <xdr:cNvPicPr>
          <a:picLocks noChangeAspect="1"/>
        </xdr:cNvPicPr>
      </xdr:nvPicPr>
      <xdr:blipFill>
        <a:blip xmlns:r="http://schemas.openxmlformats.org/officeDocument/2006/relationships" r:embed="rId8"/>
        <a:stretch>
          <a:fillRect/>
        </a:stretch>
      </xdr:blipFill>
      <xdr:spPr>
        <a:xfrm>
          <a:off x="8366760" y="11887200"/>
          <a:ext cx="9133333" cy="8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1219</v>
      </c>
      <c r="B1" s="1582" t="s">
        <v>1298</v>
      </c>
    </row>
    <row r="2" spans="1:2" s="1587" customFormat="1" ht="16.2"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6.2" thickBot="1">
      <c r="A5" s="1591" t="s">
        <v>1223</v>
      </c>
      <c r="B5" s="1592" t="str">
        <f>'预评函-封皮'!B49</f>
        <v>康正预评字号</v>
      </c>
    </row>
    <row r="6" spans="1:2" s="1587" customFormat="1" ht="16.2"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1232</v>
      </c>
      <c r="B18" s="1592" t="str">
        <f>'预评函-1'!A24</f>
        <v>本次评估采用的主估价方法为收益法和比较法。</v>
      </c>
    </row>
    <row r="19" spans="1:2" s="1587" customFormat="1" ht="16.2"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185357</v>
      </c>
    </row>
    <row r="21" spans="1:2" s="1590" customFormat="1">
      <c r="A21" s="1588" t="s">
        <v>1235</v>
      </c>
      <c r="B21" s="1589">
        <f ca="1">'预评函-2'!D7</f>
        <v>24448</v>
      </c>
    </row>
    <row r="22" spans="1:2" s="1590" customFormat="1">
      <c r="A22" s="1588" t="s">
        <v>1236</v>
      </c>
      <c r="B22" s="1589" t="str">
        <f ca="1">'预评函-2'!D6</f>
        <v>壹拾捌亿伍仟叁佰伍拾柒万元整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185357</v>
      </c>
    </row>
    <row r="35" spans="1:2" s="1590" customFormat="1">
      <c r="A35" s="1588" t="s">
        <v>1275</v>
      </c>
      <c r="B35" s="1589">
        <f ca="1">'预评函-2'!D18</f>
        <v>24448</v>
      </c>
    </row>
    <row r="36" spans="1:2" s="1590" customFormat="1">
      <c r="A36" s="1588" t="s">
        <v>1242</v>
      </c>
      <c r="B36" s="1589" t="str">
        <f ca="1">'预评函-2'!D17</f>
        <v>壹拾捌亿伍仟叁佰伍拾柒万元整</v>
      </c>
    </row>
    <row r="37" spans="1:2" s="1590" customFormat="1">
      <c r="A37" s="1588" t="s">
        <v>1277</v>
      </c>
      <c r="B37" s="1589" t="str">
        <f>'预评函-2'!B19</f>
        <v>4.抵押净值</v>
      </c>
    </row>
    <row r="38" spans="1:2" s="1590" customFormat="1">
      <c r="A38" s="1588" t="s">
        <v>1295</v>
      </c>
      <c r="B38" s="1589">
        <f ca="1">'预评函-2'!D19</f>
        <v>169618</v>
      </c>
    </row>
    <row r="39" spans="1:2" s="1590" customFormat="1">
      <c r="A39" s="1588" t="s">
        <v>1243</v>
      </c>
      <c r="B39" s="1589">
        <f ca="1">'预评函-2'!D21</f>
        <v>22372</v>
      </c>
    </row>
    <row r="40" spans="1:2" s="1590" customFormat="1">
      <c r="A40" s="1588" t="s">
        <v>1244</v>
      </c>
      <c r="B40" s="1589" t="str">
        <f ca="1">'预评函-2'!D20</f>
        <v>壹拾陆亿玖仟陆佰壹拾捌万元整</v>
      </c>
    </row>
    <row r="41" spans="1:2" s="1590" customFormat="1">
      <c r="A41" s="1588" t="s">
        <v>1290</v>
      </c>
      <c r="B41" s="1589" t="str">
        <f>'预评函-3'!A4</f>
        <v>北京市海淀区上地九街9号工业用房房地产</v>
      </c>
    </row>
    <row r="42" spans="1:2" s="1590" customFormat="1" ht="31.2">
      <c r="A42" s="1588" t="s">
        <v>1288</v>
      </c>
      <c r="B42" s="1589" t="str">
        <f>'预评函-3'!B2</f>
        <v>建筑面积</v>
      </c>
    </row>
    <row r="43" spans="1:2" s="1590" customFormat="1">
      <c r="A43" s="1588" t="s">
        <v>1289</v>
      </c>
      <c r="B43" s="1589">
        <f>'预评函-3'!B4</f>
        <v>75816.33</v>
      </c>
    </row>
    <row r="44" spans="1:2" s="1590" customFormat="1" ht="31.2">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119847</v>
      </c>
    </row>
    <row r="48" spans="1:2" s="1590" customFormat="1">
      <c r="A48" s="1588" t="s">
        <v>1247</v>
      </c>
      <c r="B48" s="1589">
        <f ca="1">'预评函-3'!E4</f>
        <v>15808</v>
      </c>
    </row>
    <row r="49" spans="1:2" s="1590" customFormat="1">
      <c r="A49" s="1588" t="s">
        <v>1248</v>
      </c>
      <c r="B49" s="1589" t="str">
        <f ca="1">'预评函-3'!D5</f>
        <v>壹拾壹亿玖仟捌佰肆拾柒万元整</v>
      </c>
    </row>
    <row r="50" spans="1:2" s="1590" customFormat="1">
      <c r="A50" s="1588" t="s">
        <v>1272</v>
      </c>
      <c r="B50" s="1589" t="str">
        <f>'预评函-3'!F2</f>
        <v>建筑物价值</v>
      </c>
    </row>
    <row r="51" spans="1:2" s="1590" customFormat="1">
      <c r="A51" s="1588" t="s">
        <v>1249</v>
      </c>
      <c r="B51" s="1589">
        <f ca="1">'预评函-3'!F4</f>
        <v>65510</v>
      </c>
    </row>
    <row r="52" spans="1:2" s="1590" customFormat="1">
      <c r="A52" s="1588" t="s">
        <v>1250</v>
      </c>
      <c r="B52" s="1589">
        <f ca="1">'预评函-3'!G4</f>
        <v>8641</v>
      </c>
    </row>
    <row r="53" spans="1:2" s="1590" customFormat="1">
      <c r="A53" s="1588" t="s">
        <v>1278</v>
      </c>
      <c r="B53" s="1589" t="str">
        <f ca="1">'预评函-3'!F5</f>
        <v>陆亿伍仟伍佰壹拾万元整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抵押净值</v>
      </c>
    </row>
    <row r="57" spans="1:2" s="1584" customFormat="1" ht="16.2" thickBot="1">
      <c r="A57" s="1591" t="s">
        <v>1297</v>
      </c>
      <c r="B57" s="1592" t="str">
        <f>'预评函-3'!A6</f>
        <v>估价师知悉的法定优先受偿款</v>
      </c>
    </row>
    <row r="58" spans="1:2" s="1587" customFormat="1" ht="16.2"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6.2" thickBot="1">
      <c r="A69" s="1591" t="s">
        <v>1259</v>
      </c>
      <c r="B69" s="1593">
        <f>'预评函-4'!C31</f>
        <v>42551</v>
      </c>
    </row>
    <row r="70" spans="1:2" ht="16.2"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6.2" thickBot="1">
      <c r="A73" s="1591" t="s">
        <v>1263</v>
      </c>
      <c r="B73" s="1592">
        <f ca="1">'预评函-4'!B5</f>
        <v>1120100036</v>
      </c>
    </row>
    <row r="74" spans="1:2" ht="16.2"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3165</v>
      </c>
      <c r="C17" s="2012"/>
    </row>
    <row r="18" spans="1:3">
      <c r="A18" s="2011" t="s">
        <v>1766</v>
      </c>
      <c r="B18" s="2011" t="s">
        <v>3166</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66"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66"/>
      <c r="B54" s="2019" t="s">
        <v>864</v>
      </c>
      <c r="C54" s="2016" t="s">
        <v>1281</v>
      </c>
    </row>
    <row r="55" spans="1:4">
      <c r="A55" s="3066"/>
      <c r="B55" s="2019" t="s">
        <v>865</v>
      </c>
      <c r="C55" s="2016" t="s">
        <v>1282</v>
      </c>
    </row>
    <row r="56" spans="1:4">
      <c r="A56" s="3066"/>
      <c r="B56" s="2019" t="s">
        <v>866</v>
      </c>
      <c r="C56" s="2016" t="s">
        <v>1286</v>
      </c>
    </row>
    <row r="57" spans="1:4">
      <c r="A57" s="3066"/>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8671875" style="2029" customWidth="1"/>
    <col min="2" max="2" width="11.88671875" style="2029" customWidth="1"/>
    <col min="3" max="3" width="11.44140625" style="2029" customWidth="1"/>
    <col min="4" max="4" width="12.10937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75" t="str">
        <f>IF(B10="北京市","北京市",C10)&amp;F10&amp;IF(结果表!G1="在建","出让国有建设用地使用权及在建建筑物",IF(结果表!G1="土地","出让国有建设用地使用权",))&amp;B9&amp;"预评估"</f>
        <v>北京市海淀区上地九街9号工业用房房地产抵押价值预评估</v>
      </c>
      <c r="C1" s="3076"/>
      <c r="D1" s="3076"/>
      <c r="E1" s="3076"/>
      <c r="F1" s="3076"/>
      <c r="G1" s="3076"/>
      <c r="H1" s="3076"/>
      <c r="I1" s="307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3172</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78" t="s">
        <v>1784</v>
      </c>
      <c r="E8" s="2052" t="s">
        <v>3103</v>
      </c>
      <c r="F8" s="2053"/>
      <c r="G8" s="2023"/>
      <c r="H8" s="2023"/>
      <c r="I8" s="2023"/>
      <c r="J8" s="2039"/>
      <c r="K8" s="2040"/>
      <c r="L8" s="2025"/>
      <c r="M8" s="2025"/>
      <c r="N8" s="2026"/>
      <c r="O8" s="2027"/>
      <c r="P8" s="2026"/>
      <c r="Q8" s="2026"/>
      <c r="R8" s="2026"/>
    </row>
    <row r="9" spans="1:19" ht="18" customHeight="1" thickBot="1">
      <c r="A9" s="2037" t="s">
        <v>1785</v>
      </c>
      <c r="B9" s="2054" t="s">
        <v>3045</v>
      </c>
      <c r="C9" s="2055"/>
      <c r="D9" s="3079"/>
      <c r="E9" s="2054" t="s">
        <v>1285</v>
      </c>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3169</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85" t="s">
        <v>3069</v>
      </c>
      <c r="C16" s="3086"/>
      <c r="D16" s="3087"/>
      <c r="E16" s="2080" t="s">
        <v>1801</v>
      </c>
      <c r="F16" s="3088" t="s">
        <v>3070</v>
      </c>
      <c r="G16" s="3089"/>
      <c r="H16" s="3089"/>
      <c r="I16" s="3090"/>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91" t="s">
        <v>3105</v>
      </c>
      <c r="F17" s="3092"/>
      <c r="G17" s="3092"/>
      <c r="H17" s="3092"/>
      <c r="I17" s="3093"/>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94" t="s">
        <v>3049</v>
      </c>
      <c r="F18" s="3095"/>
      <c r="G18" s="3095"/>
      <c r="H18" s="3095"/>
      <c r="I18" s="3096"/>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81" t="s">
        <v>1810</v>
      </c>
      <c r="C20" s="3082"/>
      <c r="D20" s="3083" t="s">
        <v>1811</v>
      </c>
      <c r="E20" s="3084"/>
      <c r="F20" s="2092" t="s">
        <v>1812</v>
      </c>
      <c r="G20" s="2039"/>
      <c r="H20" s="2039"/>
      <c r="I20" s="2039"/>
      <c r="J20" s="2039"/>
      <c r="K20" s="308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8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8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68"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68"/>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68"/>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69"/>
      <c r="B30" s="2032" t="s">
        <v>1829</v>
      </c>
      <c r="C30" s="3070"/>
      <c r="D30" s="3071"/>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72"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73"/>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73"/>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67" t="s">
        <v>1839</v>
      </c>
      <c r="T34" s="2129" t="str">
        <f>NUMBERSTRING(7-K34,1)&amp;"通"</f>
        <v>七通</v>
      </c>
      <c r="U34" s="2026"/>
      <c r="V34" s="2026"/>
    </row>
    <row r="35" spans="1:22" ht="18" customHeight="1">
      <c r="A35" s="2130"/>
      <c r="B35" s="3074" t="s">
        <v>1840</v>
      </c>
      <c r="C35" s="3074"/>
      <c r="D35" s="3074"/>
      <c r="E35" s="3074"/>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7"/>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3.2">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5.2">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3.2">
      <c r="A9" s="2177"/>
      <c r="B9" s="2177"/>
      <c r="C9" s="2177"/>
      <c r="D9" s="2177"/>
      <c r="E9" s="2177"/>
      <c r="F9" s="2177"/>
      <c r="G9" s="1289"/>
      <c r="H9" s="2185" t="s">
        <v>1896</v>
      </c>
      <c r="I9" s="2186" t="s">
        <v>3060</v>
      </c>
      <c r="J9" s="978"/>
      <c r="K9" s="2186" t="s">
        <v>3175</v>
      </c>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3.2">
      <c r="A10" s="2177"/>
      <c r="B10" s="2177"/>
      <c r="C10" s="2177"/>
      <c r="D10" s="2177"/>
      <c r="E10" s="2177"/>
      <c r="F10" s="2177"/>
      <c r="G10" s="1289"/>
      <c r="H10" s="28"/>
      <c r="I10" s="2186" t="s">
        <v>6</v>
      </c>
      <c r="J10" s="978"/>
      <c r="K10" s="2192" t="s">
        <v>3120</v>
      </c>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t="str">
        <f>K9</f>
        <v>地下</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3.2">
      <c r="A11" s="2177"/>
      <c r="B11" s="2177"/>
      <c r="C11" s="2177"/>
      <c r="D11" s="2177"/>
      <c r="E11" s="2177"/>
      <c r="F11" s="2177"/>
      <c r="G11" s="1289"/>
      <c r="H11" s="2194"/>
      <c r="I11" s="2197" t="s">
        <v>3061</v>
      </c>
      <c r="J11" s="2198"/>
      <c r="K11" s="2197" t="s">
        <v>3120</v>
      </c>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车库</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3.2">
      <c r="A13" s="1269"/>
      <c r="B13" s="1269"/>
      <c r="C13" s="1269"/>
      <c r="D13" s="2208" t="s">
        <v>3059</v>
      </c>
      <c r="E13" s="16">
        <f>IF($C$3="是",ROUND($A$3*G13/$B$3,2),ROUND($A$3*(G13-AT13)/$B$3,2))</f>
        <v>36011.9</v>
      </c>
      <c r="F13" s="32"/>
      <c r="G13" s="33">
        <f>H13+AC13+AT13</f>
        <v>75816.33</v>
      </c>
      <c r="H13" s="20">
        <f>SUMIF(I$12:AB$12,"总值",I13:AB13)</f>
        <v>50526.07</v>
      </c>
      <c r="I13" s="2209">
        <v>50526.07</v>
      </c>
      <c r="J13" s="2209"/>
      <c r="K13" s="2209">
        <v>0</v>
      </c>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24453.85-K13</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3.2">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46.8">
      <c r="A3" s="3097"/>
      <c r="B3" s="3097"/>
      <c r="C3" s="3097"/>
      <c r="D3" s="3098"/>
      <c r="E3" s="30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1935</v>
      </c>
      <c r="B1" s="1389"/>
      <c r="C1" s="1389"/>
      <c r="D1" s="1389"/>
      <c r="E1" s="1389"/>
      <c r="F1" s="1389"/>
      <c r="G1" s="1389"/>
      <c r="H1" s="1389"/>
      <c r="I1" s="1389"/>
      <c r="J1" s="1389"/>
      <c r="K1" s="1389"/>
      <c r="L1" s="1389"/>
      <c r="M1" s="1389"/>
      <c r="N1" s="1389"/>
      <c r="O1" s="1389"/>
      <c r="P1" s="1389"/>
    </row>
    <row r="2" spans="1:16" ht="14.4">
      <c r="A2" s="3108" t="s">
        <v>1936</v>
      </c>
      <c r="B2" s="3108"/>
      <c r="C2" s="3108"/>
      <c r="D2" s="964" t="s">
        <v>1912</v>
      </c>
      <c r="E2" s="2222" t="s">
        <v>1913</v>
      </c>
      <c r="F2" s="1389"/>
      <c r="G2" s="2223"/>
      <c r="H2" s="2224"/>
      <c r="I2" s="2225" t="s">
        <v>1937</v>
      </c>
      <c r="J2" s="1389"/>
      <c r="K2" s="1389"/>
      <c r="L2" s="1389"/>
      <c r="M2" s="1389"/>
      <c r="N2" s="1424"/>
      <c r="O2" s="1389"/>
      <c r="P2" s="1389"/>
    </row>
    <row r="3" spans="1:16" ht="15" thickBot="1">
      <c r="A3" s="3109" t="s">
        <v>1910</v>
      </c>
      <c r="B3" s="3109"/>
      <c r="C3" s="3109"/>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4.4">
      <c r="A4" s="3110"/>
      <c r="B4" s="3111"/>
      <c r="C4" s="3112"/>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ht="14.4">
      <c r="A5" s="47" t="s">
        <v>1914</v>
      </c>
      <c r="B5" s="3113" t="s">
        <v>1915</v>
      </c>
      <c r="C5" s="3113"/>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113" t="s">
        <v>1916</v>
      </c>
      <c r="C6" s="3113"/>
      <c r="D6" s="48">
        <f>ROUND($D$3*E6/$E$3,2)</f>
        <v>36011.9</v>
      </c>
      <c r="E6" s="49">
        <f>E3-E5</f>
        <v>75816.33</v>
      </c>
      <c r="F6" s="1389"/>
      <c r="G6" s="2230" t="s">
        <v>1917</v>
      </c>
      <c r="H6" s="1396" t="s">
        <v>1918</v>
      </c>
      <c r="I6" s="936">
        <f>ROUND(F31/D31,2)</f>
        <v>1.43</v>
      </c>
      <c r="J6" s="1389"/>
      <c r="K6" s="1389"/>
      <c r="L6" s="1389"/>
      <c r="M6" s="1389"/>
      <c r="N6" s="1389"/>
      <c r="O6" s="1389"/>
      <c r="P6" s="1389"/>
    </row>
    <row r="7" spans="1:16" ht="14.4">
      <c r="A7" s="3105"/>
      <c r="B7" s="3106"/>
      <c r="C7" s="3107"/>
      <c r="D7" s="2226" t="s">
        <v>1912</v>
      </c>
      <c r="E7" s="2231" t="s">
        <v>1919</v>
      </c>
      <c r="F7" s="1389"/>
      <c r="G7" s="2223" t="s">
        <v>1920</v>
      </c>
      <c r="H7" s="64"/>
      <c r="I7" s="420"/>
      <c r="J7" s="1389"/>
      <c r="K7" s="1389"/>
      <c r="L7" s="1389"/>
      <c r="M7" s="1389"/>
      <c r="N7" s="1389"/>
      <c r="O7" s="1389"/>
      <c r="P7" s="1389"/>
    </row>
    <row r="8" spans="1:16" ht="14.4">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ht="14.4">
      <c r="A9" s="2233"/>
      <c r="B9" s="2234"/>
      <c r="C9" s="48" t="s">
        <v>1924</v>
      </c>
      <c r="D9" s="48">
        <f t="shared" si="0"/>
        <v>0</v>
      </c>
      <c r="E9" s="52">
        <v>0</v>
      </c>
      <c r="F9" s="1389"/>
      <c r="G9" s="2232"/>
      <c r="H9" s="2232"/>
      <c r="I9" s="1389"/>
      <c r="J9" s="1389"/>
      <c r="K9" s="1389"/>
      <c r="L9" s="1389"/>
      <c r="M9" s="1389"/>
      <c r="N9" s="1389"/>
      <c r="O9" s="1389"/>
      <c r="P9" s="1389"/>
    </row>
    <row r="10" spans="1:16" ht="14.4">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ht="14.4">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ht="14.4">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ht="14.4">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ht="14.4">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 thickBot="1">
      <c r="A16" s="2229"/>
      <c r="B16" s="2234"/>
      <c r="C16" s="50" t="s">
        <v>1928</v>
      </c>
      <c r="D16" s="50">
        <f>SUM(D8:D15)</f>
        <v>23999.31</v>
      </c>
      <c r="E16" s="53">
        <f>SUM(E8:E15)</f>
        <v>50526.07</v>
      </c>
      <c r="F16" s="1389"/>
      <c r="G16" s="2232"/>
      <c r="H16" s="2235" t="s">
        <v>1940</v>
      </c>
      <c r="I16" s="2236"/>
      <c r="J16" s="1389"/>
      <c r="K16" s="3102" t="s">
        <v>1940</v>
      </c>
      <c r="L16" s="3103"/>
      <c r="M16" s="3103"/>
      <c r="N16" s="3103"/>
      <c r="O16" s="3103"/>
      <c r="P16" s="3104"/>
    </row>
    <row r="17" spans="1:19" ht="14.4">
      <c r="A17" s="2237" t="s">
        <v>1941</v>
      </c>
      <c r="B17" s="2238" t="s">
        <v>1942</v>
      </c>
      <c r="C17" s="2239" t="s">
        <v>1943</v>
      </c>
      <c r="D17" s="2240" t="s">
        <v>1931</v>
      </c>
      <c r="E17" s="2241" t="s">
        <v>1932</v>
      </c>
      <c r="F17" s="2242"/>
      <c r="G17" s="2243"/>
      <c r="H17" s="2244" t="s">
        <v>1944</v>
      </c>
      <c r="I17" s="2245" t="s">
        <v>1929</v>
      </c>
      <c r="J17" s="1389"/>
      <c r="K17" s="3099" t="s">
        <v>1945</v>
      </c>
      <c r="L17" s="3100"/>
      <c r="M17" s="3101"/>
      <c r="N17" s="3099" t="s">
        <v>1946</v>
      </c>
      <c r="O17" s="3100"/>
      <c r="P17" s="3101"/>
      <c r="R17" s="2223" t="s">
        <v>1947</v>
      </c>
      <c r="S17" s="64"/>
    </row>
    <row r="18" spans="1:19" ht="14.4">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ht="14.4">
      <c r="A19" s="2254"/>
      <c r="B19" s="50" t="s">
        <v>1930</v>
      </c>
      <c r="C19" s="2947" t="s">
        <v>3173</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ht="14.4">
      <c r="A20" s="2257"/>
      <c r="B20" s="50" t="s">
        <v>1958</v>
      </c>
      <c r="C20" s="2947" t="s">
        <v>3174</v>
      </c>
      <c r="D20" s="48">
        <f t="shared" ref="D20:D26" si="6">ROUND($D$3*E20/$E$3,2)</f>
        <v>0</v>
      </c>
      <c r="E20" s="56">
        <f t="shared" si="1"/>
        <v>0</v>
      </c>
      <c r="F20" s="2948"/>
      <c r="G20" s="58">
        <f>'数据-基础表'!K13</f>
        <v>0</v>
      </c>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ht="14.4">
      <c r="A21" s="2257"/>
      <c r="B21" s="50" t="s">
        <v>1958</v>
      </c>
      <c r="C21" s="2947"/>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ht="14.4">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ht="14.4">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ht="14.4">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N17" sqref="AN17"/>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6500</v>
      </c>
      <c r="M6" s="75">
        <f t="shared" ref="M6:M14" si="0">ROUND(K6*L6/10000,0)</f>
        <v>32842</v>
      </c>
      <c r="N6" s="801">
        <f>ROUND((1-(2019-2006)/60+95%)/2,2)</f>
        <v>0.87</v>
      </c>
      <c r="O6" s="75" t="str">
        <f>IF($N$5="成新度","——",ROUND(M6*N6,0))</f>
        <v>——</v>
      </c>
      <c r="P6" s="76" t="str">
        <f>IF($N$5="成新度","——",M6-O6)</f>
        <v>——</v>
      </c>
      <c r="Q6" s="3022">
        <v>0.25</v>
      </c>
      <c r="R6" s="77">
        <f ca="1">SUMIF('数据-汇总表'!C$19:C$33,A6,'数据-汇总表'!R$19:R$27)</f>
        <v>36011.9</v>
      </c>
      <c r="S6" s="54">
        <f>IF('数据-汇总表'!$I$17="按面积比例",SUMIF('数据-汇总表'!C$19:C$33,A6,'数据-汇总表'!K$19:K$33),SUMIF('数据-汇总表'!C$19:C$33,A6,'数据-汇总表'!N$19:N$33))</f>
        <v>25290.26</v>
      </c>
      <c r="T6" s="1440">
        <f>ROUND($L$14*S6/10000,0)</f>
        <v>16439</v>
      </c>
      <c r="U6" s="2985">
        <v>6</v>
      </c>
      <c r="V6" s="79">
        <v>0.03</v>
      </c>
      <c r="W6" s="79">
        <v>0.05</v>
      </c>
      <c r="X6" s="1258"/>
      <c r="Y6" s="80">
        <f>N6</f>
        <v>0.87</v>
      </c>
      <c r="Z6" s="2986"/>
      <c r="AA6" s="74"/>
      <c r="AB6" s="74"/>
      <c r="AC6" s="1258"/>
      <c r="AD6" s="82"/>
      <c r="AE6" s="1259">
        <f ca="1">IF(AN6="",0,SUMIF(INDIRECT("'"&amp;AN6&amp;"'"&amp;"!E:E"),$AE$5,INDIRECT("'"&amp;AN6&amp;"'"&amp;"!F:F")))</f>
        <v>35.93</v>
      </c>
      <c r="AF6" s="2984"/>
      <c r="AG6" s="147">
        <f>IF(AF6="",0,AE6-AF6)</f>
        <v>0</v>
      </c>
      <c r="AH6" s="83"/>
      <c r="AI6" s="85">
        <v>365</v>
      </c>
      <c r="AJ6" s="86"/>
      <c r="AK6" s="87">
        <v>1.2999999999999999E-2</v>
      </c>
      <c r="AL6" s="88">
        <v>1.5E-3</v>
      </c>
      <c r="AM6" s="89">
        <v>0.01</v>
      </c>
      <c r="AN6" s="2303" t="s">
        <v>3167</v>
      </c>
      <c r="AO6" s="55">
        <f ca="1">SUMIF(INDIRECT("'"&amp;AN6&amp;"'"&amp;"!A:A"),"总价",INDIRECT("'"&amp;AN6&amp;"'"&amp;"!B:B"))</f>
        <v>173425</v>
      </c>
      <c r="AP6" s="2304">
        <f>IF(C6="住宅",K6*L6,0)</f>
        <v>0</v>
      </c>
      <c r="AQ6" s="55">
        <f>ROUND($L$14*$N$14*S6/10000,0)</f>
        <v>14302</v>
      </c>
      <c r="AR6" s="55">
        <f>ROUND($L$14*(1-$N$14)*S6/10000,0)</f>
        <v>2137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车库</v>
      </c>
      <c r="B7" s="2301" t="str">
        <f t="shared" ref="B7:B13" si="1">IF(A7=0,"","经营性")</f>
        <v>经营性</v>
      </c>
      <c r="C7" s="2302"/>
      <c r="D7" s="1048">
        <f>SUMIF(项目基本情况!D$12:I$12,C7,项目基本情况!D$14:I$14)</f>
        <v>0</v>
      </c>
      <c r="E7" s="1045">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85"/>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2010</v>
      </c>
      <c r="B14" s="2301" t="s">
        <v>2011</v>
      </c>
      <c r="C14" s="2306" t="s">
        <v>2010</v>
      </c>
      <c r="D14" s="1048"/>
      <c r="E14" s="1045"/>
      <c r="F14" s="72"/>
      <c r="G14" s="73"/>
      <c r="H14" s="1247"/>
      <c r="I14" s="1247"/>
      <c r="J14" s="1247"/>
      <c r="K14" s="1248">
        <f>SUMIF('数据-汇总表'!C$19:C$33,A14,'数据-汇总表'!E$19:E$33)</f>
        <v>25290.26</v>
      </c>
      <c r="L14" s="91">
        <f>L6</f>
        <v>6500</v>
      </c>
      <c r="M14" s="75">
        <f t="shared" si="0"/>
        <v>16439</v>
      </c>
      <c r="N14" s="92">
        <f>N6</f>
        <v>0.87</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6500</v>
      </c>
      <c r="M16" s="102">
        <f>SUM(M6:M14)</f>
        <v>49281</v>
      </c>
      <c r="N16" s="103">
        <f>ROUND(SUMPRODUCT(M6:M14,N6:N14)/M16,3)</f>
        <v>0.87</v>
      </c>
      <c r="O16" s="102">
        <f>SUM(O6:O14)</f>
        <v>0</v>
      </c>
      <c r="P16" s="102">
        <f>SUM(P6:P14)</f>
        <v>0</v>
      </c>
      <c r="Q16" s="104">
        <f>ROUND(SUMPRODUCT(Q6:Q13,K6:K13)/SUMPRODUCT((Q6:Q13&gt;0)*(K6:K13)),2)</f>
        <v>0.25</v>
      </c>
      <c r="R16" s="1252">
        <f ca="1">SUM(R6:R13)</f>
        <v>36011.9</v>
      </c>
      <c r="S16" s="105">
        <f>SUM(S6:S13)</f>
        <v>25290.26</v>
      </c>
      <c r="T16" s="106">
        <f>IF(SUMIF(T6:T13,"&lt;9E307")=M14,SUMIF(T6:T13,"&lt;9E307"),"有误，请检查")</f>
        <v>16439</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2020</v>
      </c>
      <c r="B21" s="113">
        <f>B20</f>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2044</v>
      </c>
      <c r="B37" s="124">
        <v>1.4999999999999999E-2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2046</v>
      </c>
      <c r="B38" s="122">
        <v>1.4999999999999999E-2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114" t="s">
        <v>2081</v>
      </c>
      <c r="B1" s="3115"/>
      <c r="C1" s="3115"/>
      <c r="D1" s="3115"/>
      <c r="E1" s="3115"/>
      <c r="F1" s="3115"/>
      <c r="G1" s="311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2082</v>
      </c>
      <c r="D2" s="2360"/>
      <c r="E2" s="2361"/>
      <c r="F2" s="2280"/>
      <c r="G2" s="2359" t="s">
        <v>2083</v>
      </c>
      <c r="H2" s="2362"/>
      <c r="I2" s="2362"/>
      <c r="J2" s="2362"/>
      <c r="K2" s="2362"/>
      <c r="L2" s="2362"/>
      <c r="M2" s="2362"/>
      <c r="N2" s="2362"/>
      <c r="O2" s="2362"/>
      <c r="P2" s="2362"/>
      <c r="Q2" s="2362"/>
      <c r="R2" s="2362"/>
    </row>
    <row r="3" spans="1:29" ht="57.6">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7.6">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3.2">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7.6">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3.8"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8.8">
      <c r="A8" s="431"/>
      <c r="B8" s="1792" t="s">
        <v>2097</v>
      </c>
      <c r="C8" s="2369" t="s">
        <v>2098</v>
      </c>
      <c r="D8" s="2370"/>
      <c r="E8" s="2370"/>
      <c r="F8" s="1130"/>
      <c r="G8" s="1130"/>
      <c r="H8" s="2362"/>
      <c r="I8" s="2362"/>
      <c r="J8" s="2362"/>
      <c r="K8" s="2362"/>
      <c r="L8" s="2362"/>
      <c r="M8" s="2362"/>
      <c r="N8" s="2362"/>
      <c r="O8" s="2362"/>
      <c r="P8" s="2362"/>
      <c r="Q8" s="2362"/>
      <c r="R8" s="2362"/>
    </row>
    <row r="9" spans="1:29" ht="43.2">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2103</v>
      </c>
      <c r="B13" s="2380"/>
      <c r="C13" s="2380"/>
      <c r="D13" s="2387"/>
      <c r="E13" s="2380"/>
      <c r="F13" s="2380"/>
      <c r="G13" s="2380"/>
    </row>
    <row r="14" spans="1:29" ht="15" thickBot="1">
      <c r="A14" s="2391"/>
      <c r="B14" s="2392"/>
      <c r="C14" s="2393" t="s">
        <v>2104</v>
      </c>
      <c r="D14" s="2365"/>
      <c r="E14" s="2394"/>
      <c r="F14" s="2394"/>
      <c r="G14" s="2359" t="s">
        <v>2105</v>
      </c>
    </row>
    <row r="15" spans="1:29" ht="55.2">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5.2">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1.4">
      <c r="A17" s="645"/>
      <c r="B17" s="2397" t="s">
        <v>2092</v>
      </c>
      <c r="C17" s="2398" t="str">
        <f>C5</f>
        <v>估价对象位于XX商圈，周边办公楼项目较多，入驻率高，办公集聚程度较好</v>
      </c>
      <c r="D17" s="2370"/>
      <c r="E17" s="2399"/>
      <c r="F17" s="2400" t="s">
        <v>2109</v>
      </c>
      <c r="G17" s="1566"/>
    </row>
    <row r="18" spans="1:18" ht="55.2">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7.6">
      <c r="A19" s="645"/>
      <c r="B19" s="2400" t="s">
        <v>2110</v>
      </c>
      <c r="C19" s="1566"/>
      <c r="D19" s="2365"/>
      <c r="E19" s="2399"/>
      <c r="F19" s="1792" t="s">
        <v>2094</v>
      </c>
      <c r="G19" s="136" t="str">
        <f>G5</f>
        <v>估价对象所在区域公共配套设施齐备情况好</v>
      </c>
    </row>
    <row r="20" spans="1:18" ht="41.4">
      <c r="A20" s="645"/>
      <c r="B20" s="2400" t="s">
        <v>2111</v>
      </c>
      <c r="C20" s="2398" t="str">
        <f>C9</f>
        <v>区域自然环境：；人文环境；综合评价环境状况一般</v>
      </c>
      <c r="D20" s="2370"/>
      <c r="E20" s="2399"/>
      <c r="F20" s="1792" t="s">
        <v>2112</v>
      </c>
      <c r="G20" s="136" t="str">
        <f>G6</f>
        <v>估价对象所在区域基础设施水平较好</v>
      </c>
    </row>
    <row r="21" spans="1:18" ht="27.6">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35" customWidth="1"/>
    <col min="2" max="9" width="15.77734375" style="1735" customWidth="1"/>
    <col min="10" max="16384" width="9" style="1735"/>
  </cols>
  <sheetData>
    <row r="1" spans="1:10" ht="16.2">
      <c r="A1" s="1740" t="s">
        <v>1365</v>
      </c>
      <c r="B1" s="1740">
        <f>SUM(B14:B23)</f>
        <v>75816.33</v>
      </c>
      <c r="C1" s="1739"/>
      <c r="D1" s="1739"/>
      <c r="E1" s="1739"/>
      <c r="F1" s="1739"/>
      <c r="G1" s="1737"/>
    </row>
    <row r="2" spans="1:10" ht="16.2">
      <c r="A2" s="1740" t="s">
        <v>1353</v>
      </c>
      <c r="B2" s="1740">
        <f>SUM(C14:C23)</f>
        <v>36011.9</v>
      </c>
      <c r="C2" s="1739"/>
      <c r="D2" s="1739"/>
      <c r="E2" s="1739"/>
      <c r="F2" s="1739"/>
      <c r="G2" s="1737"/>
    </row>
    <row r="3" spans="1:10" ht="15.6">
      <c r="A3" s="1740" t="s">
        <v>1362</v>
      </c>
      <c r="B3" s="1741">
        <f>项目基本情况!D3</f>
        <v>43496</v>
      </c>
      <c r="C3" s="1739"/>
      <c r="D3" s="1739"/>
      <c r="E3" s="1739"/>
      <c r="F3" s="1739"/>
      <c r="G3" s="1737"/>
    </row>
    <row r="4" spans="1:10" ht="31.2">
      <c r="A4" s="1740" t="s">
        <v>1361</v>
      </c>
      <c r="B4" s="1740" t="s">
        <v>1360</v>
      </c>
      <c r="C4" s="1740" t="s">
        <v>1359</v>
      </c>
      <c r="D4" s="1740" t="s">
        <v>1358</v>
      </c>
      <c r="E4" s="1739"/>
      <c r="F4" s="1737"/>
      <c r="G4" s="1737"/>
    </row>
    <row r="5" spans="1:10" ht="15.6">
      <c r="A5" s="1740" t="s">
        <v>1357</v>
      </c>
      <c r="B5" s="1740">
        <f ca="1">SUM(D14:D23)</f>
        <v>185357</v>
      </c>
      <c r="C5" s="1740">
        <f ca="1">ROUND(B5*10000/$B$1,0)</f>
        <v>24448</v>
      </c>
      <c r="D5" s="1740">
        <f ca="1">ROUND(B5*10000/$B$2,0)</f>
        <v>51471</v>
      </c>
      <c r="E5" s="1739"/>
      <c r="F5" s="1737"/>
      <c r="G5" s="1737"/>
    </row>
    <row r="6" spans="1:10" ht="15.6">
      <c r="A6" s="1740" t="s">
        <v>1356</v>
      </c>
      <c r="B6" s="1740">
        <f>SUM(G14:G23)</f>
        <v>0</v>
      </c>
      <c r="C6" s="1740">
        <f>ROUND(B6*10000/$B$1,0)</f>
        <v>0</v>
      </c>
      <c r="D6" s="1740">
        <f>ROUND(B6*10000/$B$2,0)</f>
        <v>0</v>
      </c>
      <c r="E6" s="1739"/>
      <c r="F6" s="1737"/>
      <c r="G6" s="1737"/>
    </row>
    <row r="7" spans="1:10" ht="15.6">
      <c r="A7" s="1740" t="s">
        <v>1364</v>
      </c>
      <c r="B7" s="1740">
        <f ca="1">SUM(H14:H23)</f>
        <v>185357</v>
      </c>
      <c r="C7" s="1740">
        <f ca="1">ROUND(B7*10000/$B$1,0)</f>
        <v>24448</v>
      </c>
      <c r="D7" s="1740">
        <f ca="1">ROUND(B7*10000/$B$2,0)</f>
        <v>51471</v>
      </c>
      <c r="E7" s="1739"/>
      <c r="F7" s="1737"/>
      <c r="G7" s="1737"/>
    </row>
    <row r="8" spans="1:10" ht="15.6">
      <c r="A8" s="1740" t="s">
        <v>1285</v>
      </c>
      <c r="B8" s="1740">
        <f ca="1">SUM(I14:I23)</f>
        <v>169618</v>
      </c>
      <c r="C8" s="1740">
        <f ca="1">ROUND(B8*10000/$B$1,0)</f>
        <v>22372</v>
      </c>
      <c r="D8" s="1740">
        <f ca="1">ROUND(B8*10000/$B$2,0)</f>
        <v>47101</v>
      </c>
      <c r="E8" s="1739"/>
      <c r="F8" s="1737"/>
      <c r="G8" s="1737"/>
    </row>
    <row r="9" spans="1:10" ht="15.6">
      <c r="A9" s="1740" t="s">
        <v>1355</v>
      </c>
      <c r="B9" s="1742"/>
      <c r="C9" s="1739"/>
      <c r="D9" s="1739"/>
      <c r="E9" s="1739"/>
      <c r="F9" s="1737"/>
      <c r="G9" s="1737"/>
    </row>
    <row r="10" spans="1:10" ht="15.6">
      <c r="A10" s="1740" t="s">
        <v>1354</v>
      </c>
      <c r="B10" s="1742"/>
      <c r="C10" s="1739"/>
      <c r="D10" s="1739"/>
      <c r="E10" s="1739"/>
      <c r="F10" s="1737"/>
      <c r="G10" s="1737"/>
    </row>
    <row r="11" spans="1:10" ht="15.6">
      <c r="A11" s="1740" t="s">
        <v>1370</v>
      </c>
      <c r="B11" s="1742"/>
      <c r="C11" s="1739"/>
      <c r="D11" s="1739"/>
      <c r="E11" s="1739"/>
      <c r="F11" s="1737"/>
      <c r="G11" s="1737"/>
    </row>
    <row r="12" spans="1:10" ht="15.6">
      <c r="A12" s="1739"/>
      <c r="B12" s="1739"/>
      <c r="C12" s="1739"/>
      <c r="D12" s="1739"/>
      <c r="E12" s="1739"/>
      <c r="F12" s="1737"/>
      <c r="G12" s="1737"/>
    </row>
    <row r="13" spans="1:10" ht="31.8">
      <c r="A13" s="1745" t="s">
        <v>1369</v>
      </c>
      <c r="B13" s="1738" t="s">
        <v>1366</v>
      </c>
      <c r="C13" s="1738" t="s">
        <v>1368</v>
      </c>
      <c r="D13" s="1738" t="s">
        <v>1367</v>
      </c>
      <c r="E13" s="1740" t="s">
        <v>1359</v>
      </c>
      <c r="F13" s="1740" t="s">
        <v>1358</v>
      </c>
      <c r="G13" s="1738" t="s">
        <v>1352</v>
      </c>
      <c r="H13" s="1738" t="s">
        <v>1363</v>
      </c>
      <c r="I13" s="1738" t="s">
        <v>1351</v>
      </c>
      <c r="J13" s="1737"/>
    </row>
    <row r="14" spans="1:10" ht="15.6">
      <c r="A14" s="1736" t="s">
        <v>1350</v>
      </c>
      <c r="B14" s="1738">
        <f>结果表!B118</f>
        <v>75816.33</v>
      </c>
      <c r="C14" s="1738">
        <f>结果表!C118</f>
        <v>36011.9</v>
      </c>
      <c r="D14" s="1738">
        <f ca="1">结果表!H118</f>
        <v>185357</v>
      </c>
      <c r="E14" s="1738">
        <f ca="1">ROUND(D14*10000/B14,0)</f>
        <v>24448</v>
      </c>
      <c r="F14" s="1738">
        <f ca="1">ROUND(D14*10000/C14,0)</f>
        <v>51471</v>
      </c>
      <c r="G14" s="1738" t="str">
        <f>结果表!D122</f>
        <v>——</v>
      </c>
      <c r="H14" s="1738">
        <f ca="1">结果表!D124</f>
        <v>185357</v>
      </c>
      <c r="I14" s="1738">
        <f ca="1">结果表!D126</f>
        <v>169618</v>
      </c>
      <c r="J14" s="1737"/>
    </row>
    <row r="15" spans="1:10" ht="15.6">
      <c r="A15" s="1736" t="s">
        <v>1349</v>
      </c>
      <c r="B15" s="1743"/>
      <c r="C15" s="1743"/>
      <c r="D15" s="1743"/>
      <c r="E15" s="1738" t="e">
        <f t="shared" ref="E15:E23" si="0">ROUND(D15*10000/B15,0)</f>
        <v>#DIV/0!</v>
      </c>
      <c r="F15" s="1738" t="e">
        <f t="shared" ref="F15:F23" si="1">ROUND(D15*10000/C15,0)</f>
        <v>#DIV/0!</v>
      </c>
      <c r="G15" s="1744"/>
      <c r="H15" s="1744"/>
      <c r="I15" s="1743"/>
      <c r="J15" s="1737"/>
    </row>
    <row r="16" spans="1:10" ht="15.6">
      <c r="A16" s="1736" t="s">
        <v>1348</v>
      </c>
      <c r="B16" s="1743"/>
      <c r="C16" s="1743"/>
      <c r="D16" s="1743"/>
      <c r="E16" s="1738" t="e">
        <f t="shared" si="0"/>
        <v>#DIV/0!</v>
      </c>
      <c r="F16" s="1738" t="e">
        <f t="shared" si="1"/>
        <v>#DIV/0!</v>
      </c>
      <c r="G16" s="1744"/>
      <c r="H16" s="1744"/>
      <c r="I16" s="1743"/>
    </row>
    <row r="17" spans="1:9" ht="15.6">
      <c r="A17" s="1736" t="s">
        <v>1347</v>
      </c>
      <c r="B17" s="1743"/>
      <c r="C17" s="1743"/>
      <c r="D17" s="1743"/>
      <c r="E17" s="1738" t="e">
        <f t="shared" si="0"/>
        <v>#DIV/0!</v>
      </c>
      <c r="F17" s="1738" t="e">
        <f t="shared" si="1"/>
        <v>#DIV/0!</v>
      </c>
      <c r="G17" s="1744"/>
      <c r="H17" s="1744"/>
      <c r="I17" s="1743"/>
    </row>
    <row r="18" spans="1:9" ht="15.6">
      <c r="A18" s="1736" t="s">
        <v>1346</v>
      </c>
      <c r="B18" s="1743"/>
      <c r="C18" s="1743"/>
      <c r="D18" s="1743"/>
      <c r="E18" s="1738" t="e">
        <f t="shared" si="0"/>
        <v>#DIV/0!</v>
      </c>
      <c r="F18" s="1738" t="e">
        <f t="shared" si="1"/>
        <v>#DIV/0!</v>
      </c>
      <c r="G18" s="1743"/>
      <c r="H18" s="1743"/>
      <c r="I18" s="1743"/>
    </row>
    <row r="19" spans="1:9" ht="15.6">
      <c r="A19" s="1736" t="s">
        <v>1345</v>
      </c>
      <c r="B19" s="1743"/>
      <c r="C19" s="1743"/>
      <c r="D19" s="1743"/>
      <c r="E19" s="1738" t="e">
        <f t="shared" si="0"/>
        <v>#DIV/0!</v>
      </c>
      <c r="F19" s="1738" t="e">
        <f t="shared" si="1"/>
        <v>#DIV/0!</v>
      </c>
      <c r="G19" s="1743"/>
      <c r="H19" s="1743"/>
      <c r="I19" s="1743"/>
    </row>
    <row r="20" spans="1:9" ht="15.6">
      <c r="A20" s="1736" t="s">
        <v>1344</v>
      </c>
      <c r="B20" s="1743"/>
      <c r="C20" s="1743"/>
      <c r="D20" s="1743"/>
      <c r="E20" s="1738" t="e">
        <f t="shared" si="0"/>
        <v>#DIV/0!</v>
      </c>
      <c r="F20" s="1738" t="e">
        <f t="shared" si="1"/>
        <v>#DIV/0!</v>
      </c>
      <c r="G20" s="1743"/>
      <c r="H20" s="1743"/>
      <c r="I20" s="1743"/>
    </row>
    <row r="21" spans="1:9" ht="15.6">
      <c r="A21" s="1736" t="s">
        <v>1343</v>
      </c>
      <c r="B21" s="1743"/>
      <c r="C21" s="1743"/>
      <c r="D21" s="1743"/>
      <c r="E21" s="1738" t="e">
        <f t="shared" si="0"/>
        <v>#DIV/0!</v>
      </c>
      <c r="F21" s="1738" t="e">
        <f t="shared" si="1"/>
        <v>#DIV/0!</v>
      </c>
      <c r="G21" s="1743"/>
      <c r="H21" s="1743"/>
      <c r="I21" s="1743"/>
    </row>
    <row r="22" spans="1:9" ht="15.6">
      <c r="A22" s="1736" t="s">
        <v>1342</v>
      </c>
      <c r="B22" s="1743"/>
      <c r="C22" s="1743"/>
      <c r="D22" s="1743"/>
      <c r="E22" s="1738" t="e">
        <f t="shared" si="0"/>
        <v>#DIV/0!</v>
      </c>
      <c r="F22" s="1738" t="e">
        <f t="shared" si="1"/>
        <v>#DIV/0!</v>
      </c>
      <c r="G22" s="1743"/>
      <c r="H22" s="1743"/>
      <c r="I22" s="1743"/>
    </row>
    <row r="23" spans="1:9" ht="15.6">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2" zoomScale="85" zoomScaleNormal="100" zoomScaleSheetLayoutView="85" zoomScalePageLayoutView="80" workbookViewId="0">
      <selection activeCell="D127" sqref="D127:I127"/>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47" t="str">
        <f>项目基本情况!S2</f>
        <v>北京市海淀区上地九街9号工业用房房地产</v>
      </c>
      <c r="B2" s="3148"/>
      <c r="C2" s="3148"/>
      <c r="D2" s="3148"/>
      <c r="E2" s="3148"/>
      <c r="F2" s="3148"/>
      <c r="G2" s="3148"/>
      <c r="H2" s="3148"/>
      <c r="I2" s="3149"/>
    </row>
    <row r="3" spans="1:12" ht="13.2">
      <c r="A3" s="3150" t="s">
        <v>2118</v>
      </c>
      <c r="B3" s="3151"/>
      <c r="C3" s="3151"/>
      <c r="D3" s="3151"/>
      <c r="E3" s="3151"/>
      <c r="F3" s="3151"/>
      <c r="G3" s="3151"/>
      <c r="H3" s="3151"/>
      <c r="I3" s="3151"/>
    </row>
    <row r="4" spans="1:12" ht="14.4">
      <c r="A4" s="2418" t="s">
        <v>2119</v>
      </c>
      <c r="B4" s="2419" t="s">
        <v>2120</v>
      </c>
      <c r="C4" s="2420" t="s">
        <v>3167</v>
      </c>
      <c r="D4" s="2420" t="s">
        <v>3099</v>
      </c>
      <c r="E4" s="3144" t="s">
        <v>2121</v>
      </c>
      <c r="F4" s="3145"/>
      <c r="G4" s="3145"/>
      <c r="H4" s="3145"/>
      <c r="I4" s="3152"/>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3.2" customHeight="1">
      <c r="A5" s="3129" t="s">
        <v>2122</v>
      </c>
      <c r="B5" s="3067">
        <v>25</v>
      </c>
      <c r="C5" s="3132">
        <v>23</v>
      </c>
      <c r="D5" s="3132">
        <v>23</v>
      </c>
      <c r="E5" s="140" t="s">
        <v>2123</v>
      </c>
      <c r="F5" s="2422"/>
      <c r="G5" s="2422"/>
      <c r="H5" s="2422"/>
      <c r="I5" s="1828"/>
    </row>
    <row r="6" spans="1:12" ht="13.2" customHeight="1">
      <c r="A6" s="3129"/>
      <c r="B6" s="3067"/>
      <c r="C6" s="3132"/>
      <c r="D6" s="3132"/>
      <c r="E6" s="140" t="s">
        <v>2124</v>
      </c>
      <c r="F6" s="2422"/>
      <c r="G6" s="2422"/>
      <c r="H6" s="2422"/>
      <c r="I6" s="1828"/>
    </row>
    <row r="7" spans="1:12" ht="13.2" customHeight="1">
      <c r="A7" s="3129"/>
      <c r="B7" s="3067"/>
      <c r="C7" s="3132"/>
      <c r="D7" s="3132"/>
      <c r="E7" s="140" t="s">
        <v>2125</v>
      </c>
      <c r="F7" s="2422"/>
      <c r="G7" s="2422"/>
      <c r="H7" s="2422"/>
      <c r="I7" s="1828"/>
    </row>
    <row r="8" spans="1:12" ht="13.2" customHeight="1">
      <c r="A8" s="3129" t="s">
        <v>2126</v>
      </c>
      <c r="B8" s="3067">
        <v>15</v>
      </c>
      <c r="C8" s="3132">
        <v>14</v>
      </c>
      <c r="D8" s="3132">
        <v>14</v>
      </c>
      <c r="E8" s="140" t="s">
        <v>2127</v>
      </c>
      <c r="F8" s="2422"/>
      <c r="G8" s="2422"/>
      <c r="H8" s="2422"/>
      <c r="I8" s="1828"/>
    </row>
    <row r="9" spans="1:12" ht="13.2" customHeight="1">
      <c r="A9" s="3129"/>
      <c r="B9" s="3067"/>
      <c r="C9" s="3132"/>
      <c r="D9" s="3132"/>
      <c r="E9" s="140" t="s">
        <v>2128</v>
      </c>
      <c r="F9" s="2422"/>
      <c r="G9" s="2422"/>
      <c r="H9" s="2422"/>
      <c r="I9" s="1828"/>
    </row>
    <row r="10" spans="1:12" ht="13.2" customHeight="1">
      <c r="A10" s="3129" t="s">
        <v>2129</v>
      </c>
      <c r="B10" s="3067">
        <v>15</v>
      </c>
      <c r="C10" s="3132">
        <v>14</v>
      </c>
      <c r="D10" s="3132">
        <v>14</v>
      </c>
      <c r="E10" s="140" t="s">
        <v>2130</v>
      </c>
      <c r="F10" s="2422"/>
      <c r="G10" s="2422"/>
      <c r="H10" s="2422"/>
      <c r="I10" s="1828"/>
    </row>
    <row r="11" spans="1:12" ht="13.2" customHeight="1">
      <c r="A11" s="3129"/>
      <c r="B11" s="3067"/>
      <c r="C11" s="3132"/>
      <c r="D11" s="3132"/>
      <c r="E11" s="140" t="s">
        <v>2131</v>
      </c>
      <c r="F11" s="2422"/>
      <c r="G11" s="2422"/>
      <c r="H11" s="2422"/>
      <c r="I11" s="1828"/>
    </row>
    <row r="12" spans="1:12" ht="13.2" customHeight="1">
      <c r="A12" s="3129" t="s">
        <v>2132</v>
      </c>
      <c r="B12" s="3067">
        <v>15</v>
      </c>
      <c r="C12" s="3132">
        <v>14</v>
      </c>
      <c r="D12" s="3132">
        <v>14</v>
      </c>
      <c r="E12" s="140" t="s">
        <v>2133</v>
      </c>
      <c r="F12" s="2422"/>
      <c r="G12" s="2422"/>
      <c r="H12" s="2422"/>
      <c r="I12" s="1828"/>
    </row>
    <row r="13" spans="1:12" ht="13.2" customHeight="1">
      <c r="A13" s="3129"/>
      <c r="B13" s="3067"/>
      <c r="C13" s="3132"/>
      <c r="D13" s="3132"/>
      <c r="E13" s="140" t="s">
        <v>2134</v>
      </c>
      <c r="F13" s="2422"/>
      <c r="G13" s="2422"/>
      <c r="H13" s="2422"/>
      <c r="I13" s="1828"/>
    </row>
    <row r="14" spans="1:12" ht="13.2" customHeight="1">
      <c r="A14" s="3129" t="s">
        <v>2135</v>
      </c>
      <c r="B14" s="3067">
        <v>30</v>
      </c>
      <c r="C14" s="3132">
        <v>28</v>
      </c>
      <c r="D14" s="3132">
        <v>28</v>
      </c>
      <c r="E14" s="140" t="s">
        <v>2136</v>
      </c>
      <c r="F14" s="2422"/>
      <c r="G14" s="2422"/>
      <c r="H14" s="2422"/>
      <c r="I14" s="1828"/>
    </row>
    <row r="15" spans="1:12" ht="13.2" customHeight="1">
      <c r="A15" s="3129"/>
      <c r="B15" s="3067"/>
      <c r="C15" s="3132"/>
      <c r="D15" s="3132"/>
      <c r="E15" s="140" t="s">
        <v>2137</v>
      </c>
      <c r="F15" s="2422"/>
      <c r="G15" s="2422"/>
      <c r="H15" s="2422"/>
      <c r="I15" s="1828"/>
    </row>
    <row r="16" spans="1:12" ht="13.2" customHeight="1">
      <c r="A16" s="3129"/>
      <c r="B16" s="3067"/>
      <c r="C16" s="3132"/>
      <c r="D16" s="3132"/>
      <c r="E16" s="140" t="s">
        <v>2138</v>
      </c>
      <c r="F16" s="2422"/>
      <c r="G16" s="2422"/>
      <c r="H16" s="2422"/>
      <c r="I16" s="1828"/>
    </row>
    <row r="17" spans="1:35" ht="14.4">
      <c r="A17" s="2423" t="s">
        <v>2139</v>
      </c>
      <c r="B17" s="64"/>
      <c r="C17" s="141">
        <f>SUM(C5:C16)</f>
        <v>93</v>
      </c>
      <c r="D17" s="141">
        <f>SUM(D5:D16)</f>
        <v>93</v>
      </c>
      <c r="E17" s="138"/>
      <c r="F17" s="138"/>
      <c r="G17" s="138"/>
      <c r="H17" s="138"/>
      <c r="I17" s="138"/>
      <c r="K17" s="2421"/>
      <c r="L17" s="2424" t="s">
        <v>2140</v>
      </c>
      <c r="M17" s="2424" t="s">
        <v>2141</v>
      </c>
    </row>
    <row r="18" spans="1:35" ht="15" thickBot="1">
      <c r="A18" s="2425" t="s">
        <v>2142</v>
      </c>
      <c r="B18" s="2426"/>
      <c r="C18" s="142">
        <f>ROUND(C17/SUM(C17:D17),2)</f>
        <v>0.5</v>
      </c>
      <c r="D18" s="142">
        <f>1-C18</f>
        <v>0.5</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4.4">
      <c r="A19" s="2427" t="s">
        <v>2144</v>
      </c>
      <c r="B19" s="2428" t="s">
        <v>2145</v>
      </c>
      <c r="C19" s="143">
        <f ca="1">SUMIF(INDIRECT("'"&amp;C4&amp;"'"&amp;"!A:A"),结果表!B19,INDIRECT("'"&amp;C4&amp;"'"&amp;"!B:B"))</f>
        <v>173425</v>
      </c>
      <c r="D19" s="144">
        <f ca="1">SUMIF(INDIRECT("'"&amp;D4&amp;"'"&amp;"!A:A"),结果表!B19,INDIRECT("'"&amp;D4&amp;"'"&amp;"!B:B"))</f>
        <v>197289</v>
      </c>
      <c r="E19" s="2427" t="s">
        <v>2146</v>
      </c>
      <c r="F19" s="2428" t="s">
        <v>2145</v>
      </c>
      <c r="G19" s="145">
        <f ca="1">ROUND(C19*$C$18+D19*$D$18,0)</f>
        <v>185357</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4.4">
      <c r="A20" s="2430"/>
      <c r="B20" s="1244" t="s">
        <v>2149</v>
      </c>
      <c r="C20" s="146">
        <f ca="1">SUMIF(INDIRECT("'"&amp;C4&amp;"'"&amp;"!A:A"),结果表!B20,INDIRECT("'"&amp;C4&amp;"'"&amp;"!B:B"))</f>
        <v>34324</v>
      </c>
      <c r="D20" s="147">
        <f ca="1">SUMIF(INDIRECT("'"&amp;D4&amp;"'"&amp;"!A:A"),结果表!B20,INDIRECT("'"&amp;D4&amp;"'"&amp;"!B:B"))</f>
        <v>39047</v>
      </c>
      <c r="E20" s="2430"/>
      <c r="F20" s="1244" t="s">
        <v>2149</v>
      </c>
      <c r="G20" s="148">
        <f ca="1">ROUND(C20*$C$18+D20*$D$18,0)</f>
        <v>36686</v>
      </c>
      <c r="H20" s="977" t="s">
        <v>2150</v>
      </c>
      <c r="I20" s="138"/>
    </row>
    <row r="21" spans="1:35" ht="15" customHeight="1" thickBot="1">
      <c r="A21" s="997"/>
      <c r="B21" s="2431" t="s">
        <v>2151</v>
      </c>
      <c r="C21" s="789">
        <f ca="1">ROUND(C19*10000/L19,0)</f>
        <v>48158</v>
      </c>
      <c r="D21" s="790">
        <f ca="1">ROUND(D19*10000/L19,0)</f>
        <v>54784</v>
      </c>
      <c r="E21" s="997"/>
      <c r="F21" s="2431" t="s">
        <v>2151</v>
      </c>
      <c r="G21" s="149">
        <f ca="1">ROUND(G19*10000/L19,0)</f>
        <v>51471</v>
      </c>
      <c r="H21" s="2432" t="s">
        <v>2150</v>
      </c>
      <c r="I21" s="138"/>
      <c r="J21" s="795">
        <f ca="1">G19/'数据-基础表'!I13</f>
        <v>3.6685418042606521</v>
      </c>
    </row>
    <row r="22" spans="1:35" ht="15" thickBot="1">
      <c r="A22" s="2275" t="s">
        <v>2152</v>
      </c>
      <c r="B22" s="2433"/>
      <c r="C22" s="2434"/>
      <c r="D22" s="791">
        <f ca="1">IF(C19&lt;D19,D19/C19-1,C19/D19-1)</f>
        <v>0.1376041516505695</v>
      </c>
      <c r="E22" s="138"/>
      <c r="F22" s="138"/>
      <c r="G22" s="138"/>
      <c r="H22" s="138"/>
      <c r="I22" s="138"/>
      <c r="J22" s="795">
        <f ca="1">I118</f>
        <v>24448</v>
      </c>
    </row>
    <row r="23" spans="1:35" ht="13.8" thickBot="1">
      <c r="A23" s="2411"/>
      <c r="B23" s="2411"/>
      <c r="C23" s="2411"/>
      <c r="D23" s="2411"/>
      <c r="E23" s="138"/>
      <c r="F23" s="138"/>
      <c r="G23" s="138"/>
      <c r="H23" s="138"/>
      <c r="I23" s="138"/>
    </row>
    <row r="24" spans="1:35" ht="14.4">
      <c r="A24" s="3123" t="s">
        <v>2153</v>
      </c>
      <c r="B24" s="2428" t="s">
        <v>2145</v>
      </c>
      <c r="C24" s="145">
        <f>IF(B30=0,0,D30)</f>
        <v>0</v>
      </c>
      <c r="D24" s="2435"/>
      <c r="E24" s="138"/>
      <c r="F24" s="138"/>
      <c r="G24" s="138"/>
      <c r="H24" s="138"/>
      <c r="I24" s="138"/>
    </row>
    <row r="25" spans="1:35" ht="14.4">
      <c r="A25" s="3124"/>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2158</v>
      </c>
      <c r="B30" s="151"/>
      <c r="C30" s="151"/>
      <c r="D30" s="151"/>
      <c r="E30" s="2920" t="s">
        <v>3032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2159</v>
      </c>
      <c r="B32" s="2441"/>
      <c r="C32" s="153">
        <f ca="1">IF(D32="总价",G19-C24,G20-C25)</f>
        <v>185357</v>
      </c>
      <c r="D32" s="2442" t="s">
        <v>2160</v>
      </c>
      <c r="E32" s="138"/>
      <c r="F32" s="138"/>
      <c r="G32" s="138"/>
      <c r="H32" s="138"/>
      <c r="I32" s="138"/>
    </row>
    <row r="33" spans="1:15" ht="14.4">
      <c r="A33" s="954" t="s">
        <v>2161</v>
      </c>
      <c r="B33" s="2443"/>
      <c r="C33" s="2444" t="s">
        <v>3108</v>
      </c>
      <c r="D33" s="2445" t="s">
        <v>3177</v>
      </c>
      <c r="E33" s="2446" t="s">
        <v>2162</v>
      </c>
      <c r="F33" s="2447" t="str">
        <f>IF(D32="楼面单价","取值（单价）","取值（总价）")</f>
        <v>取值（总价）</v>
      </c>
      <c r="G33" s="138"/>
      <c r="H33" s="138"/>
      <c r="I33" s="138"/>
    </row>
    <row r="34" spans="1:15" ht="14.4">
      <c r="A34" s="2448"/>
      <c r="B34" s="2449" t="s">
        <v>2163</v>
      </c>
      <c r="C34" s="157">
        <f ca="1">IF(C33="自定义",F34,C32-C35)</f>
        <v>119847</v>
      </c>
      <c r="D34" s="1052">
        <f ca="1">IF(C33="自定义",ROUND(C34/C32,3),IF(C33="收益比率",SUMIF(INDIRECT("'"&amp;D33&amp;"'"&amp;"!b:b"),"土地收益比率",INDIRECT("'"&amp;D33&amp;"'"&amp;"!c:c")),SUMIF(INDIRECT("'"&amp;D33&amp;"'"&amp;"!b:b"),"土地成本比率",INDIRECT("'"&amp;D33&amp;"'"&amp;"!c:c"))))</f>
        <v>0.64700000000000002</v>
      </c>
      <c r="E34" s="2450" t="s">
        <v>2164</v>
      </c>
      <c r="F34" s="1733">
        <f ca="1">H118-F35</f>
        <v>119847</v>
      </c>
      <c r="G34" s="138"/>
      <c r="H34" s="138"/>
      <c r="I34" s="138"/>
    </row>
    <row r="35" spans="1:15" ht="15" thickBot="1">
      <c r="A35" s="2451"/>
      <c r="B35" s="2452" t="s">
        <v>2165</v>
      </c>
      <c r="C35" s="1438">
        <f ca="1">IF(C33="自定义",F35,ROUND(C32*D35,0))</f>
        <v>65510</v>
      </c>
      <c r="D35" s="1439">
        <f ca="1">IF(C33="自定义",ROUND(C35/C32,3),IF(C33="收益比率",SUMIF(INDIRECT("'"&amp;D33&amp;"'"&amp;"!b:b"),"建筑物收益比率",INDIRECT("'"&amp;D33&amp;"'"&amp;"!c:c")),SUMIF(INDIRECT("'"&amp;D33&amp;"'"&amp;"!b:b"),"建筑物成本比率",INDIRECT("'"&amp;D33&amp;"'"&amp;"!c:c"))))</f>
        <v>0.35299999999999998</v>
      </c>
      <c r="E35" s="2453" t="s">
        <v>2166</v>
      </c>
      <c r="F35" s="163">
        <f ca="1">'收益法-自用'!C13</f>
        <v>65510</v>
      </c>
      <c r="G35" s="138"/>
      <c r="H35" s="138"/>
      <c r="I35" s="138"/>
    </row>
    <row r="36" spans="1:15" ht="15" thickBot="1">
      <c r="A36" s="3139" t="s">
        <v>2167</v>
      </c>
      <c r="B36" s="2454" t="s">
        <v>2168</v>
      </c>
      <c r="C36" s="154"/>
      <c r="D36" s="2455"/>
      <c r="E36" s="2456"/>
      <c r="F36" s="2457"/>
      <c r="G36" s="138"/>
      <c r="H36" s="138"/>
      <c r="I36" s="138"/>
    </row>
    <row r="37" spans="1:15" ht="15" thickBot="1">
      <c r="A37" s="3140"/>
      <c r="B37" s="2261" t="s">
        <v>2169</v>
      </c>
      <c r="C37" s="156"/>
      <c r="D37" s="1389"/>
      <c r="E37" s="1389"/>
      <c r="F37" s="2457"/>
      <c r="G37" s="138"/>
      <c r="H37" s="138"/>
      <c r="I37" s="138"/>
    </row>
    <row r="38" spans="1:15" ht="15" thickBot="1">
      <c r="A38" s="3141"/>
      <c r="B38" s="2458" t="s">
        <v>2170</v>
      </c>
      <c r="C38" s="727"/>
      <c r="D38" s="2459" t="s">
        <v>2171</v>
      </c>
      <c r="E38" s="1389"/>
      <c r="F38" s="2457"/>
      <c r="G38" s="138"/>
      <c r="H38" s="138"/>
      <c r="I38" s="138"/>
    </row>
    <row r="39" spans="1:15" ht="14.4">
      <c r="A39" s="2430" t="s">
        <v>2172</v>
      </c>
      <c r="B39" s="2460" t="s">
        <v>2173</v>
      </c>
      <c r="C39" s="2461" t="s">
        <v>2174</v>
      </c>
      <c r="D39" s="2461" t="s">
        <v>2175</v>
      </c>
      <c r="E39" s="2462" t="s">
        <v>2176</v>
      </c>
      <c r="F39" s="2457"/>
      <c r="G39" s="138"/>
      <c r="H39" s="138"/>
      <c r="I39" s="138"/>
    </row>
    <row r="40" spans="1:15" ht="13.8">
      <c r="A40" s="2463" t="s">
        <v>2177</v>
      </c>
      <c r="B40" s="158"/>
      <c r="C40" s="159"/>
      <c r="D40" s="159"/>
      <c r="E40" s="160"/>
      <c r="F40" s="2457"/>
      <c r="G40" s="138"/>
      <c r="H40" s="138"/>
      <c r="I40" s="138"/>
    </row>
    <row r="41" spans="1:15" ht="13.8">
      <c r="A41" s="2463" t="s">
        <v>2178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20" t="s">
        <v>2181</v>
      </c>
      <c r="B45" s="3121"/>
      <c r="C45" s="3122"/>
      <c r="D45" s="164">
        <f ca="1">ROUND(H101*F45,0)</f>
        <v>111214</v>
      </c>
      <c r="E45" s="165" t="s">
        <v>2182</v>
      </c>
      <c r="F45" s="166">
        <v>0.6</v>
      </c>
      <c r="G45" s="167" t="s">
        <v>2183</v>
      </c>
      <c r="H45" s="138"/>
      <c r="I45" s="138"/>
      <c r="J45" s="3177" t="s">
        <v>2184</v>
      </c>
      <c r="K45" s="3177"/>
      <c r="L45" s="3177"/>
      <c r="M45" s="3177"/>
      <c r="N45" s="3177"/>
      <c r="O45" s="3177"/>
    </row>
    <row r="46" spans="1:15" ht="14.25" customHeight="1">
      <c r="A46" s="3117" t="s">
        <v>2185</v>
      </c>
      <c r="B46" s="3118"/>
      <c r="C46" s="3118"/>
      <c r="D46" s="3118"/>
      <c r="E46" s="3118"/>
      <c r="F46" s="3118"/>
      <c r="G46" s="3119"/>
      <c r="H46" s="2473"/>
      <c r="I46" s="168"/>
      <c r="J46" s="1806">
        <v>1</v>
      </c>
      <c r="K46" s="3177" t="s">
        <v>2186</v>
      </c>
      <c r="L46" s="3177"/>
      <c r="M46" s="3197"/>
      <c r="N46" s="3197"/>
      <c r="O46" s="3197"/>
    </row>
    <row r="47" spans="1:15" ht="12" customHeight="1">
      <c r="A47" s="169" t="s">
        <v>2187</v>
      </c>
      <c r="B47" s="170"/>
      <c r="C47" s="171"/>
      <c r="D47" s="172" t="s">
        <v>2188</v>
      </c>
      <c r="E47" s="24" t="s">
        <v>2189</v>
      </c>
      <c r="F47" s="173" t="s">
        <v>2190</v>
      </c>
      <c r="G47" s="174" t="s">
        <v>2191</v>
      </c>
      <c r="H47" s="2473"/>
      <c r="I47" s="168"/>
      <c r="J47" s="1806">
        <v>2</v>
      </c>
      <c r="K47" s="3177" t="s">
        <v>2192</v>
      </c>
      <c r="L47" s="3177"/>
      <c r="M47" s="3198">
        <f>'数据-取费表'!B2</f>
        <v>43496</v>
      </c>
      <c r="N47" s="3198"/>
      <c r="O47" s="3198"/>
    </row>
    <row r="48" spans="1:15" ht="26.4">
      <c r="A48" s="3146" t="s">
        <v>2193</v>
      </c>
      <c r="B48" s="3131"/>
      <c r="C48" s="3131"/>
      <c r="D48" s="140">
        <f ca="1">IF(H48="情况1",0,IF(H48="情况2",D52,IF(H48="情况3",D53,IF(H48="情况4",D54))))</f>
        <v>5931</v>
      </c>
      <c r="E48" s="1795" t="str">
        <f>IF(H48="情况4","(销售额-原购置价)×税（费）率","销售额×税（费）率")</f>
        <v>销售额×税（费）率</v>
      </c>
      <c r="F48" s="175">
        <f>IF(H48="情况1","免征",'数据-取费表'!B41)</f>
        <v>5.6000000000000001E-2</v>
      </c>
      <c r="G48" s="2474" t="s">
        <v>2194</v>
      </c>
      <c r="H48" s="2475" t="s">
        <v>3119</v>
      </c>
      <c r="I48" s="2473"/>
      <c r="J48" s="1806">
        <v>3</v>
      </c>
      <c r="K48" s="3177" t="s">
        <v>2195</v>
      </c>
      <c r="L48" s="3177"/>
      <c r="M48" s="3199">
        <f ca="1">H101</f>
        <v>185357</v>
      </c>
      <c r="N48" s="3199"/>
      <c r="O48" s="3199"/>
    </row>
    <row r="49" spans="1:35" ht="25.5" customHeight="1">
      <c r="A49" s="176" t="s">
        <v>2196</v>
      </c>
      <c r="B49" s="3116" t="s">
        <v>2197</v>
      </c>
      <c r="C49" s="3116"/>
      <c r="D49" s="177">
        <v>0</v>
      </c>
      <c r="E49" s="23" t="s">
        <v>2198</v>
      </c>
      <c r="F49" s="28" t="s">
        <v>34</v>
      </c>
      <c r="G49" s="3183"/>
      <c r="H49" s="138"/>
      <c r="I49" s="2476"/>
      <c r="J49" s="1806">
        <v>4</v>
      </c>
      <c r="K49" s="3177" t="str">
        <f>IF(项目基本情况!E8="房地产抵押价值","房地产抵押价值","抵押担保权已注销时的房地产抵押价值")</f>
        <v>抵押担保权已注销时的房地产抵押价值</v>
      </c>
      <c r="L49" s="3177"/>
      <c r="M49" s="3199">
        <f ca="1">IF(项目基本情况!E8="房地产抵押价值",H107,H109)</f>
        <v>185357</v>
      </c>
      <c r="N49" s="3199"/>
      <c r="O49" s="3199"/>
    </row>
    <row r="50" spans="1:35" ht="25.5" customHeight="1">
      <c r="A50" s="178"/>
      <c r="B50" s="3116" t="s">
        <v>2199</v>
      </c>
      <c r="C50" s="3116"/>
      <c r="D50" s="179"/>
      <c r="E50" s="31"/>
      <c r="F50" s="180"/>
      <c r="G50" s="3184"/>
      <c r="H50" s="138"/>
      <c r="I50" s="2476"/>
      <c r="J50" s="3177" t="s">
        <v>2200</v>
      </c>
      <c r="K50" s="3177"/>
      <c r="L50" s="3177"/>
      <c r="M50" s="3177"/>
      <c r="N50" s="3177"/>
      <c r="O50" s="3177"/>
    </row>
    <row r="51" spans="1:35" ht="12" customHeight="1">
      <c r="A51" s="181"/>
      <c r="B51" s="3116" t="s">
        <v>2201</v>
      </c>
      <c r="C51" s="3116"/>
      <c r="D51" s="182"/>
      <c r="E51" s="30"/>
      <c r="F51" s="180"/>
      <c r="G51" s="3185"/>
      <c r="H51" s="138"/>
      <c r="I51" s="2476"/>
      <c r="J51" s="2477" t="s">
        <v>2202</v>
      </c>
      <c r="K51" s="3177" t="s">
        <v>2203</v>
      </c>
      <c r="L51" s="3177"/>
      <c r="M51" s="2477" t="s">
        <v>2204</v>
      </c>
      <c r="N51" s="2477" t="s">
        <v>2205</v>
      </c>
      <c r="O51" s="2477" t="s">
        <v>2206</v>
      </c>
    </row>
    <row r="52" spans="1:35" ht="24" customHeight="1">
      <c r="A52" s="183" t="s">
        <v>2207</v>
      </c>
      <c r="B52" s="3116" t="s">
        <v>2208</v>
      </c>
      <c r="C52" s="3116"/>
      <c r="D52" s="182">
        <f ca="1">ROUND(D45*'数据-取费表'!B41/(1+'数据-取费表'!C42),0)</f>
        <v>5931</v>
      </c>
      <c r="E52" s="11" t="s">
        <v>2209</v>
      </c>
      <c r="F52" s="184">
        <f>'数据-取费表'!B41</f>
        <v>5.6000000000000001E-2</v>
      </c>
      <c r="G52" s="2478"/>
      <c r="H52" s="138"/>
      <c r="I52" s="2476"/>
      <c r="J52" s="1806">
        <v>1</v>
      </c>
      <c r="K52" s="3178" t="s">
        <v>2210</v>
      </c>
      <c r="L52" s="3178"/>
      <c r="M52" s="1748">
        <f ca="1">D48</f>
        <v>5931</v>
      </c>
      <c r="N52" s="1806" t="str">
        <f>E48</f>
        <v>销售额×税（费）率</v>
      </c>
      <c r="O52" s="1749">
        <f>F48</f>
        <v>5.6000000000000001E-2</v>
      </c>
    </row>
    <row r="53" spans="1:35" ht="12" customHeight="1">
      <c r="A53" s="183" t="s">
        <v>2211</v>
      </c>
      <c r="B53" s="3137" t="s">
        <v>2212</v>
      </c>
      <c r="C53" s="3138"/>
      <c r="D53" s="182">
        <f ca="1">ROUND(D45*'数据-取费表'!B41/(1+'数据-取费表'!C42),0)</f>
        <v>5931</v>
      </c>
      <c r="E53" s="11" t="s">
        <v>2209</v>
      </c>
      <c r="F53" s="184">
        <f>'数据-取费表'!B41</f>
        <v>5.6000000000000001E-2</v>
      </c>
      <c r="G53" s="2478"/>
      <c r="H53" s="138"/>
      <c r="I53" s="2476"/>
      <c r="J53" s="1806">
        <v>2</v>
      </c>
      <c r="K53" s="3178" t="s">
        <v>2213</v>
      </c>
      <c r="L53" s="3178"/>
      <c r="M53" s="1748">
        <f t="shared" ref="M53:O54" ca="1" si="0">D55</f>
        <v>56</v>
      </c>
      <c r="N53" s="1806" t="str">
        <f t="shared" si="0"/>
        <v>销售额×税（费）率</v>
      </c>
      <c r="O53" s="1749">
        <f t="shared" si="0"/>
        <v>5.0000000000000001E-4</v>
      </c>
    </row>
    <row r="54" spans="1:35" ht="12" customHeight="1">
      <c r="A54" s="183" t="s">
        <v>2214</v>
      </c>
      <c r="B54" s="3137" t="s">
        <v>2215</v>
      </c>
      <c r="C54" s="3138"/>
      <c r="D54" s="182">
        <f ca="1">C68</f>
        <v>5931</v>
      </c>
      <c r="E54" s="30" t="s">
        <v>2216</v>
      </c>
      <c r="F54" s="184">
        <f>'数据-取费表'!B41</f>
        <v>5.6000000000000001E-2</v>
      </c>
      <c r="G54" s="2478"/>
      <c r="H54" s="2479"/>
      <c r="I54" s="2476"/>
      <c r="J54" s="1806">
        <v>3</v>
      </c>
      <c r="K54" s="3178" t="s">
        <v>2217</v>
      </c>
      <c r="L54" s="3178"/>
      <c r="M54" s="1748">
        <f t="shared" ca="1" si="0"/>
        <v>9752</v>
      </c>
      <c r="N54" s="1806" t="str">
        <f t="shared" si="0"/>
        <v>增值额×税（费）率</v>
      </c>
      <c r="O54" s="1750" t="str">
        <f t="shared" si="0"/>
        <v>——</v>
      </c>
    </row>
    <row r="55" spans="1:35" ht="24" customHeight="1">
      <c r="A55" s="3130" t="s">
        <v>2218</v>
      </c>
      <c r="B55" s="3131"/>
      <c r="C55" s="3131"/>
      <c r="D55" s="185">
        <f ca="1">IF(H55="个人住宅",0,ROUND(D45*I55,0))</f>
        <v>56</v>
      </c>
      <c r="E55" s="11" t="s">
        <v>2219</v>
      </c>
      <c r="F55" s="184">
        <f>IF(H55="正常",I55,"免征")</f>
        <v>5.0000000000000001E-4</v>
      </c>
      <c r="G55" s="2478"/>
      <c r="H55" s="2475" t="s">
        <v>2220</v>
      </c>
      <c r="I55" s="186">
        <f>'数据-取费表'!B49</f>
        <v>5.0000000000000001E-4</v>
      </c>
      <c r="J55" s="1806" t="str">
        <f>IF(H59="非个人房产","",4)</f>
        <v/>
      </c>
      <c r="K55" s="3178" t="str">
        <f>IF(H59="非个人房产","——","个人所得税")</f>
        <v>——</v>
      </c>
      <c r="L55" s="3178"/>
      <c r="M55" s="1751" t="str">
        <f>D59</f>
        <v>——</v>
      </c>
      <c r="N55" s="1804" t="str">
        <f>E59</f>
        <v>——</v>
      </c>
      <c r="O55" s="1752" t="str">
        <f>F59</f>
        <v>——</v>
      </c>
    </row>
    <row r="56" spans="1:35" ht="25.2">
      <c r="A56" s="3130" t="s">
        <v>2221</v>
      </c>
      <c r="B56" s="3131"/>
      <c r="C56" s="3131"/>
      <c r="D56" s="185">
        <f ca="1">IF(H56="个人住宅",D57,D58)</f>
        <v>9752</v>
      </c>
      <c r="E56" s="11" t="s">
        <v>2222</v>
      </c>
      <c r="F56" s="184" t="str">
        <f>IF(H56="正常",F58,"免征")</f>
        <v>——</v>
      </c>
      <c r="G56" s="2480" t="s">
        <v>2223</v>
      </c>
      <c r="H56" s="2481" t="s">
        <v>2220</v>
      </c>
      <c r="I56" s="2482"/>
      <c r="J56" s="1806" t="str">
        <f>IF(项目基本情况!K6="上海银行",IF(J55="",4,J55+1),"")</f>
        <v/>
      </c>
      <c r="K56" s="3201" t="str">
        <f>IF(项目基本情况!K6="上海银行","其他处置费用","")</f>
        <v/>
      </c>
      <c r="L56" s="3202"/>
      <c r="M56" s="1748" t="str">
        <f>IF(项目基本情况!K6="上海银行",M69,"")</f>
        <v/>
      </c>
      <c r="N56" s="3204" t="str">
        <f>IF(项目基本情况!K6="上海银行","包含处置中涉及的律师、诉讼、拍卖、评估等费用","")</f>
        <v/>
      </c>
      <c r="O56" s="3205"/>
    </row>
    <row r="57" spans="1:35" ht="13.2">
      <c r="A57" s="183" t="s">
        <v>2196</v>
      </c>
      <c r="B57" s="3144" t="s">
        <v>2224</v>
      </c>
      <c r="C57" s="3152"/>
      <c r="D57" s="187">
        <v>0</v>
      </c>
      <c r="E57" s="23" t="s">
        <v>2198</v>
      </c>
      <c r="F57" s="155"/>
      <c r="G57" s="2478"/>
      <c r="H57" s="2482"/>
      <c r="I57" s="2482"/>
      <c r="J57" s="3178">
        <f>IF(AND(J55="",J56=""),4,IF(项目基本情况!K6="上海银行",结果表!J56+1,结果表!J55+1))</f>
        <v>4</v>
      </c>
      <c r="K57" s="3178" t="s">
        <v>2225</v>
      </c>
      <c r="L57" s="2483" t="s">
        <v>2226</v>
      </c>
      <c r="M57" s="1753"/>
      <c r="N57" s="1754">
        <f ca="1">SUMIF(M52:M56,"&lt;9e307")</f>
        <v>15739</v>
      </c>
      <c r="O57" s="2484"/>
      <c r="P57" s="1747">
        <f ca="1">N57/M49</f>
        <v>8.4911818814503909E-2</v>
      </c>
    </row>
    <row r="58" spans="1:35" ht="25.2">
      <c r="A58" s="183" t="s">
        <v>2207</v>
      </c>
      <c r="B58" s="3144" t="s">
        <v>2227</v>
      </c>
      <c r="C58" s="3145"/>
      <c r="D58" s="185">
        <f ca="1">IF(H58="转让取得",C81,C97)</f>
        <v>9752</v>
      </c>
      <c r="E58" s="11" t="s">
        <v>2222</v>
      </c>
      <c r="F58" s="24" t="s">
        <v>34</v>
      </c>
      <c r="G58" s="2478"/>
      <c r="H58" s="2481" t="s">
        <v>2228</v>
      </c>
      <c r="I58" s="2482"/>
      <c r="J58" s="3178"/>
      <c r="K58" s="3178"/>
      <c r="L58" s="2483" t="s">
        <v>2229</v>
      </c>
      <c r="M58" s="1755"/>
      <c r="N58" s="2485" t="str">
        <f ca="1">NUMBERSTRING(INT(N57*10000),2)&amp;"元整"</f>
        <v>壹亿伍仟柒佰叁拾玖万元整</v>
      </c>
      <c r="O58" s="2486"/>
    </row>
    <row r="59" spans="1:35" ht="24.6" thickBot="1">
      <c r="A59" s="3181" t="s">
        <v>2230</v>
      </c>
      <c r="B59" s="3182"/>
      <c r="C59" s="3182"/>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79">
        <f>J57+1</f>
        <v>5</v>
      </c>
      <c r="K59" s="3178" t="s">
        <v>2232</v>
      </c>
      <c r="L59" s="1806" t="s">
        <v>2226</v>
      </c>
      <c r="M59" s="1756"/>
      <c r="N59" s="1757">
        <f ca="1">M49-N57</f>
        <v>169618</v>
      </c>
      <c r="O59" s="2488"/>
    </row>
    <row r="60" spans="1:35" ht="12" customHeight="1">
      <c r="A60" s="2489"/>
      <c r="B60" s="2411"/>
      <c r="C60" s="2411"/>
      <c r="D60" s="2411"/>
      <c r="E60" s="2161"/>
      <c r="F60" s="2482"/>
      <c r="G60" s="2482"/>
      <c r="H60" s="2490"/>
      <c r="I60" s="138"/>
      <c r="J60" s="3180"/>
      <c r="K60" s="3178"/>
      <c r="L60" s="2483" t="s">
        <v>2229</v>
      </c>
      <c r="M60" s="1755"/>
      <c r="N60" s="2485" t="str">
        <f ca="1">NUMBERSTRING(INT(N59*10000),2)&amp;"元整"</f>
        <v>壹拾陆亿玖仟陆佰壹拾捌万元整</v>
      </c>
      <c r="O60" s="2486"/>
    </row>
    <row r="61" spans="1:35" ht="13.8" thickBot="1">
      <c r="A61" s="3128" t="s">
        <v>2233</v>
      </c>
      <c r="B61" s="3128"/>
      <c r="C61" s="3128"/>
      <c r="D61" s="3128"/>
      <c r="E61" s="3128"/>
      <c r="F61" s="2482"/>
      <c r="G61" s="2482"/>
      <c r="H61" s="2490"/>
      <c r="I61" s="138"/>
      <c r="J61" s="1806">
        <f>J59+1</f>
        <v>6</v>
      </c>
      <c r="K61" s="3178" t="s">
        <v>2234</v>
      </c>
      <c r="L61" s="3178"/>
      <c r="M61" s="1758"/>
      <c r="N61" s="1759">
        <f ca="1">ROUND(N59*10000/'数据-汇总表'!E3,0)</f>
        <v>22372</v>
      </c>
      <c r="O61" s="2491"/>
    </row>
    <row r="62" spans="1:35" ht="13.2">
      <c r="A62" s="3142" t="s">
        <v>2235</v>
      </c>
      <c r="B62" s="3143"/>
      <c r="C62" s="1798"/>
      <c r="D62" s="1798" t="s">
        <v>2236</v>
      </c>
      <c r="E62" s="192" t="s">
        <v>2237</v>
      </c>
      <c r="F62" s="2482"/>
      <c r="G62" s="2482"/>
      <c r="H62" s="2490"/>
      <c r="I62" s="138"/>
    </row>
    <row r="63" spans="1:35" ht="13.2">
      <c r="A63" s="203" t="s">
        <v>775</v>
      </c>
      <c r="B63" s="193" t="s">
        <v>2238</v>
      </c>
      <c r="C63" s="194">
        <f ca="1">ROUND((C64+C65)/(1+'数据-取费表'!C42),0)</f>
        <v>105918</v>
      </c>
      <c r="D63" s="195"/>
      <c r="E63" s="196"/>
      <c r="F63" s="2482"/>
      <c r="G63" s="2482"/>
      <c r="H63" s="2490"/>
      <c r="I63" s="138"/>
      <c r="J63" s="3203" t="s">
        <v>2239</v>
      </c>
      <c r="K63" s="2492" t="s">
        <v>2240</v>
      </c>
      <c r="L63" s="1746">
        <f ca="1">IF(M49&gt;10000,M49*0.5%,IF(AND(M49&gt;1000,M49&lt;=10000),M49*1%,IF(AND(M49&gt;100,M49&lt;=1000),M49*3%,IF(AND(M49&gt;10,M49&lt;=100),M49*5%,M49*8%))))</f>
        <v>926.78499999999997</v>
      </c>
      <c r="M63" s="24">
        <f ca="1">ROUND(L63,1)</f>
        <v>926.8</v>
      </c>
      <c r="Z63" s="2416"/>
      <c r="AI63" s="2417"/>
    </row>
    <row r="64" spans="1:35" ht="14.25" customHeight="1">
      <c r="A64" s="197" t="s">
        <v>770</v>
      </c>
      <c r="B64" s="198" t="s">
        <v>2241</v>
      </c>
      <c r="C64" s="199">
        <f ca="1">D45</f>
        <v>111214</v>
      </c>
      <c r="D64" s="200" t="s">
        <v>32</v>
      </c>
      <c r="E64" s="201"/>
      <c r="F64" s="2482"/>
      <c r="G64" s="2482"/>
      <c r="H64" s="2490"/>
      <c r="I64" s="138"/>
      <c r="J64" s="3203"/>
      <c r="K64" s="2492" t="s">
        <v>2242</v>
      </c>
      <c r="L64" s="1746">
        <f ca="1">IF(M49&gt;2000,M49*0.5%,IF(AND(M49&gt;1000,M49&lt;=2000),M49*0.6%,IF(AND(M49&gt;500,M49&lt;=1000),M49*0.7%,IF(AND(M49&gt;200,M49&lt;=500),M49*0.8%,IF(AND(M49&gt;100,M49&lt;=200),M49*0.9%,IF(AND(M49&gt;50,M49&lt;=100),M49*1%,IF(AND(M49&gt;20,M49&lt;=50),M49*1.5%,IF(AND(M49&gt;10,M49&lt;=20),M49*2%,IF(AND(M49&gt;1,M49&lt;=10),M49*2.5%)))))))))</f>
        <v>926.78499999999997</v>
      </c>
      <c r="M64" s="24">
        <f t="shared" ref="M64:M65" ca="1" si="1">ROUND(L64,1)</f>
        <v>926.8</v>
      </c>
      <c r="N64" s="138" t="s">
        <v>2243</v>
      </c>
      <c r="Z64" s="2416"/>
      <c r="AI64" s="2417"/>
    </row>
    <row r="65" spans="1:35" ht="14.25" customHeight="1">
      <c r="A65" s="197" t="s">
        <v>771</v>
      </c>
      <c r="B65" s="198" t="s">
        <v>2244</v>
      </c>
      <c r="C65" s="202"/>
      <c r="D65" s="200"/>
      <c r="E65" s="201"/>
      <c r="F65" s="2482"/>
      <c r="G65" s="2482"/>
      <c r="H65" s="2490"/>
      <c r="I65" s="138"/>
      <c r="J65" s="3203"/>
      <c r="K65" s="2492" t="s">
        <v>2245</v>
      </c>
      <c r="L65" s="1746">
        <f ca="1">IF(M49&gt;1000,M49*0.1%,IF(AND(M49&gt;500,M49&lt;=1000),M49*0.5%,IF(AND(M49&gt;50,M49&lt;=500),M49*1%,IF(AND(M49&gt;1,M49&lt;=50),M49*1.5%))))</f>
        <v>185.357</v>
      </c>
      <c r="M65" s="24">
        <f t="shared" ca="1" si="1"/>
        <v>185.4</v>
      </c>
      <c r="N65" s="138" t="s">
        <v>2243</v>
      </c>
      <c r="Z65" s="2416"/>
      <c r="AI65" s="2417"/>
    </row>
    <row r="66" spans="1:35" ht="14.25" customHeight="1">
      <c r="A66" s="203" t="s">
        <v>772</v>
      </c>
      <c r="B66" s="204" t="s">
        <v>2246</v>
      </c>
      <c r="C66" s="205"/>
      <c r="D66" s="206" t="s">
        <v>32</v>
      </c>
      <c r="E66" s="1770" t="s">
        <v>1371</v>
      </c>
      <c r="F66" s="2482"/>
      <c r="G66" s="2482"/>
      <c r="H66" s="2490"/>
      <c r="I66" s="138"/>
      <c r="J66" s="3203"/>
      <c r="K66" s="2492" t="s">
        <v>2247</v>
      </c>
      <c r="L66" s="1746">
        <f ca="1">M49*0.5%</f>
        <v>926.78499999999997</v>
      </c>
      <c r="M66" s="24">
        <f ca="1">IF(L66&gt;0.5,0.5,ROUND(L66,0))</f>
        <v>0.5</v>
      </c>
      <c r="N66" s="138" t="s">
        <v>2248</v>
      </c>
      <c r="Z66" s="2416"/>
      <c r="AI66" s="2417"/>
    </row>
    <row r="67" spans="1:35" ht="14.25" customHeight="1">
      <c r="A67" s="203" t="s">
        <v>773</v>
      </c>
      <c r="B67" s="204" t="s">
        <v>2249</v>
      </c>
      <c r="C67" s="207">
        <f ca="1">C63-C66</f>
        <v>105918</v>
      </c>
      <c r="D67" s="200" t="s">
        <v>32</v>
      </c>
      <c r="E67" s="201"/>
      <c r="F67" s="2482"/>
      <c r="G67" s="2482"/>
      <c r="H67" s="2490"/>
      <c r="I67" s="138"/>
      <c r="J67" s="3203"/>
      <c r="K67" s="2492" t="s">
        <v>2250</v>
      </c>
      <c r="L67" s="1746">
        <f ca="1">IF(M49&gt;=10000,(8.25+(M49-10000)*0.01%),IF(AND(M49&gt;=8000,M49&lt;10000),(7.85+(M49-8000)*0.02%),IF(AND(M49&gt;=5000,M49&lt;8000),(6.65+(M49-5000)*0.04%),IF(AND(M49&gt;=2000,M49&lt;5000),(4.25+(PM49-2000)*0.08%),IF(AND(M49&gt;=1000,M49&lt;2000),(2.75+(M49-1000)*0.15%),IF(AND(M49&gt;=100,M49&lt;1000),(0.5+(M49-100)*0.25%),IF(AND(M49&gt;0,M49&lt;100),M49*0.5%)))))))</f>
        <v>25.785700000000002</v>
      </c>
      <c r="M67" s="24">
        <f ca="1">ROUND(L67*0.9,1)</f>
        <v>23.2</v>
      </c>
      <c r="Z67" s="2416"/>
      <c r="AI67" s="2417"/>
    </row>
    <row r="68" spans="1:35" ht="14.25" customHeight="1" thickBot="1">
      <c r="A68" s="208" t="s">
        <v>774</v>
      </c>
      <c r="B68" s="209" t="s">
        <v>2251</v>
      </c>
      <c r="C68" s="210">
        <f ca="1">IF(C67&lt;=0,0,ROUND(C67*D68,0))</f>
        <v>5931</v>
      </c>
      <c r="D68" s="211">
        <f>'数据-取费表'!B41</f>
        <v>5.6000000000000001E-2</v>
      </c>
      <c r="E68" s="212"/>
      <c r="F68" s="2482"/>
      <c r="G68" s="2482"/>
      <c r="H68" s="2490"/>
      <c r="I68" s="138"/>
      <c r="J68" s="3203"/>
      <c r="K68" s="2492" t="s">
        <v>2252</v>
      </c>
      <c r="L68" s="1746">
        <f ca="1">IF(M49&gt;10000,M49*0.5%,IF(AND(M49&gt;5000,M49&lt;=10000),M49*1%,IF(AND(M49&gt;1000,M49&lt;=5000),M49*2%,IF(AND(M49&gt;200,M49&lt;=1000),M49*3%,M49*5%))))</f>
        <v>926.78499999999997</v>
      </c>
      <c r="M68" s="24">
        <f ca="1">ROUND(L68,1)</f>
        <v>926.8</v>
      </c>
      <c r="Z68" s="2416"/>
      <c r="AI68" s="2417"/>
    </row>
    <row r="69" spans="1:35" s="2439" customFormat="1" ht="16.5" customHeight="1">
      <c r="A69" s="2493"/>
      <c r="B69" s="2494"/>
      <c r="C69" s="2495"/>
      <c r="D69" s="2496"/>
      <c r="E69" s="2497"/>
      <c r="F69" s="2161"/>
      <c r="G69" s="2161"/>
      <c r="H69" s="2160"/>
      <c r="I69" s="2411"/>
      <c r="J69" s="3203"/>
      <c r="K69" s="2492" t="s">
        <v>2253</v>
      </c>
      <c r="L69" s="2498"/>
      <c r="M69" s="24">
        <f ca="1">ROUND(SUM(M63:M68),0)</f>
        <v>2990</v>
      </c>
      <c r="N69" s="1747">
        <f ca="1">M69/M49</f>
        <v>1.6131033627000867E-2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62" t="s">
        <v>2254</v>
      </c>
      <c r="B70" s="3163"/>
      <c r="C70" s="3163"/>
      <c r="D70" s="3163"/>
      <c r="E70" s="3163"/>
      <c r="F70" s="3163"/>
      <c r="G70" s="3163"/>
      <c r="H70" s="316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42" t="s">
        <v>2235</v>
      </c>
      <c r="B71" s="3143"/>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2255</v>
      </c>
      <c r="C72" s="207">
        <f ca="1">ROUND(D45/(1+'数据-取费表'!C42),0)</f>
        <v>105918</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2256</v>
      </c>
      <c r="C73" s="207">
        <f ca="1">C74+C78</f>
        <v>636</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37" t="s">
        <v>2263</v>
      </c>
      <c r="F76" s="3116"/>
      <c r="G76" s="3116"/>
      <c r="H76" s="316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636</v>
      </c>
      <c r="D78" s="226">
        <f>'数据-取费表'!B43</f>
        <v>6.000000000000001E-3</v>
      </c>
      <c r="E78" s="3125" t="s">
        <v>2268</v>
      </c>
      <c r="F78" s="3126"/>
      <c r="G78" s="3126"/>
      <c r="H78" s="313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2269</v>
      </c>
      <c r="C79" s="207">
        <f ca="1">C72-C73</f>
        <v>105282</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165.53773584905662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2271</v>
      </c>
      <c r="C81" s="228">
        <f ca="1">ROUND(IF(C79&lt;=0,0,IF(C80&gt;=200%,C79*60%-C73*35%,IF(C80&gt;=100%,C79*50%-C73*15%,IF(C80&gt;=50%,C79*40%-C73*5%,IF(C80&lt;50%,C79*30%,0))))),0)</f>
        <v>62947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62" t="s">
        <v>2272</v>
      </c>
      <c r="B83" s="3163"/>
      <c r="C83" s="3163"/>
      <c r="D83" s="3163"/>
      <c r="E83" s="3163"/>
      <c r="F83" s="3163"/>
      <c r="G83" s="3163"/>
      <c r="H83" s="316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42" t="s">
        <v>2235</v>
      </c>
      <c r="B84" s="3143"/>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2255</v>
      </c>
      <c r="C85" s="207">
        <f ca="1">ROUND(D45/(1+'数据-取费表'!C42),0)</f>
        <v>105918</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2256</v>
      </c>
      <c r="C86" s="207">
        <f ca="1">IF(H88="仅含出让金",C87+C90+C91+C92+C93+C94,C87+C91+C92+C93+C94)</f>
        <v>73412</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26.4">
      <c r="A88" s="217" t="s">
        <v>776</v>
      </c>
      <c r="B88" s="198" t="s">
        <v>2274</v>
      </c>
      <c r="C88" s="236">
        <v>2880</v>
      </c>
      <c r="D88" s="226"/>
      <c r="E88" s="237" t="s">
        <v>2275</v>
      </c>
      <c r="F88" s="1794"/>
      <c r="G88" s="238" t="s">
        <v>2276</v>
      </c>
      <c r="H88" s="2510" t="s">
        <v>3176</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53014</v>
      </c>
      <c r="D91" s="226"/>
      <c r="E91" s="3125" t="s">
        <v>2281</v>
      </c>
      <c r="F91" s="3126"/>
      <c r="G91" s="3126"/>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5598</v>
      </c>
      <c r="D92" s="226">
        <v>0.1</v>
      </c>
      <c r="E92" s="3125" t="s">
        <v>2284</v>
      </c>
      <c r="F92" s="3126"/>
      <c r="G92" s="3126"/>
      <c r="H92" s="313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636</v>
      </c>
      <c r="D93" s="226">
        <f>'数据-取费表'!B43</f>
        <v>6.000000000000001E-3</v>
      </c>
      <c r="E93" s="3125" t="s">
        <v>2268</v>
      </c>
      <c r="F93" s="3126"/>
      <c r="G93" s="3126"/>
      <c r="H93" s="313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11196</v>
      </c>
      <c r="D94" s="226">
        <v>0.2</v>
      </c>
      <c r="E94" s="3134" t="s">
        <v>2288</v>
      </c>
      <c r="F94" s="3135"/>
      <c r="G94" s="3135"/>
      <c r="H94" s="313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2269</v>
      </c>
      <c r="C95" s="207">
        <f ca="1">ROUND(C85-C86,0)</f>
        <v>32506</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0.44278864490818942</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2271</v>
      </c>
      <c r="C97" s="228">
        <f ca="1">ROUND(IF(C95&lt;=0,0,IF(C96&gt;=200%,C95*60%-C86*35%,IF(C96&gt;=100%,C95*50%-C86*15%,IF(C96&gt;=50%,C95*40%-C86*5%,IF(C96&lt;50%,C95*30%,0))))),0)</f>
        <v>9752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110" t="s">
        <v>2290</v>
      </c>
      <c r="B100" s="3111"/>
      <c r="C100" s="3111"/>
      <c r="D100" s="3127"/>
      <c r="E100" s="3111" t="s">
        <v>2291</v>
      </c>
      <c r="F100" s="3111"/>
      <c r="G100" s="3111"/>
      <c r="H100" s="3127"/>
      <c r="I100" s="138"/>
    </row>
    <row r="101" spans="1:35" ht="18.75" customHeight="1">
      <c r="A101" s="3186" t="s">
        <v>2292</v>
      </c>
      <c r="B101" s="3187"/>
      <c r="C101" s="736" t="str">
        <f>C4</f>
        <v>收益法-自用</v>
      </c>
      <c r="D101" s="737" t="str">
        <f>D4</f>
        <v>比较法-工业</v>
      </c>
      <c r="E101" s="3200" t="s">
        <v>2293</v>
      </c>
      <c r="F101" s="3154"/>
      <c r="G101" s="2513" t="s">
        <v>2294</v>
      </c>
      <c r="H101" s="1042">
        <f ca="1">H118</f>
        <v>185357</v>
      </c>
      <c r="I101" s="138"/>
    </row>
    <row r="102" spans="1:35" ht="18.75" customHeight="1">
      <c r="A102" s="3156" t="s">
        <v>2295</v>
      </c>
      <c r="B102" s="2513" t="s">
        <v>2294</v>
      </c>
      <c r="C102" s="736">
        <f ca="1">C19</f>
        <v>173425</v>
      </c>
      <c r="D102" s="737">
        <f ca="1">D19</f>
        <v>197289</v>
      </c>
      <c r="E102" s="3200"/>
      <c r="F102" s="3154"/>
      <c r="G102" s="2513" t="s">
        <v>2296</v>
      </c>
      <c r="H102" s="371">
        <f ca="1">I118</f>
        <v>24448</v>
      </c>
      <c r="I102" s="138"/>
    </row>
    <row r="103" spans="1:35" ht="42.75" customHeight="1">
      <c r="A103" s="3156"/>
      <c r="B103" s="2513" t="s">
        <v>2296</v>
      </c>
      <c r="C103" s="738">
        <f ca="1">C20</f>
        <v>34324</v>
      </c>
      <c r="D103" s="739">
        <f ca="1">D20</f>
        <v>39047</v>
      </c>
      <c r="E103" s="3195" t="s">
        <v>2297</v>
      </c>
      <c r="F103" s="3196"/>
      <c r="G103" s="2514" t="s">
        <v>2298</v>
      </c>
      <c r="H103" s="1042">
        <f>IF(D36="正常操作",H104+H105+H106,H105+H106)</f>
        <v>0</v>
      </c>
      <c r="I103" s="138"/>
    </row>
    <row r="104" spans="1:35" ht="18.75" customHeight="1">
      <c r="A104" s="3156" t="s">
        <v>2299</v>
      </c>
      <c r="B104" s="2515" t="s">
        <v>2294</v>
      </c>
      <c r="C104" s="740">
        <f ca="1">H118</f>
        <v>185357</v>
      </c>
      <c r="D104" s="741"/>
      <c r="E104" s="2261" t="s">
        <v>2300</v>
      </c>
      <c r="F104" s="2253"/>
      <c r="G104" s="2514" t="s">
        <v>2298</v>
      </c>
      <c r="H104" s="1043">
        <f>IF(D36="同一抵押权人同一抵押物续贷",C36&amp;"（未扣减，详见特别提示）",C36)</f>
        <v>0</v>
      </c>
      <c r="I104" s="138"/>
    </row>
    <row r="105" spans="1:35" ht="18.75" customHeight="1" thickBot="1">
      <c r="A105" s="3157"/>
      <c r="B105" s="2516" t="s">
        <v>2296</v>
      </c>
      <c r="C105" s="742">
        <f ca="1">I118</f>
        <v>24448</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53" t="str">
        <f>IF(项目基本情况!E8="已注销","——","3.房地产抵押价值")</f>
        <v>——</v>
      </c>
      <c r="F107" s="3154"/>
      <c r="G107" s="2513" t="s">
        <v>2294</v>
      </c>
      <c r="H107" s="1042" t="str">
        <f>IF(E107="——","——",H101-H103)</f>
        <v>——</v>
      </c>
      <c r="I107" s="138"/>
    </row>
    <row r="108" spans="1:35" ht="18.75" customHeight="1">
      <c r="A108" s="138"/>
      <c r="B108" s="138"/>
      <c r="C108" s="138"/>
      <c r="D108" s="138"/>
      <c r="E108" s="3153"/>
      <c r="F108" s="3154"/>
      <c r="G108" s="2513" t="s">
        <v>2296</v>
      </c>
      <c r="H108" s="371" t="e">
        <f>ROUND(H107*10000/'数据-汇总表'!E3,0)</f>
        <v>#VALUE!</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3.抵押担保权已注销时的房地产抵押价值</v>
      </c>
      <c r="F109" s="3154"/>
      <c r="G109" s="2513" t="s">
        <v>2294</v>
      </c>
      <c r="H109" s="348">
        <f ca="1">IF(E109="——","——",H101-H105-H106)</f>
        <v>185357</v>
      </c>
      <c r="I109" s="138"/>
    </row>
    <row r="110" spans="1:35" ht="18.75" customHeight="1">
      <c r="A110" s="138"/>
      <c r="B110" s="138"/>
      <c r="C110" s="138"/>
      <c r="D110" s="138"/>
      <c r="E110" s="3153"/>
      <c r="F110" s="3154"/>
      <c r="G110" s="2513" t="s">
        <v>2296</v>
      </c>
      <c r="H110" s="371">
        <f ca="1">IF(H109="——","——",ROUND(H109*10000/'数据-汇总表'!E3,0))</f>
        <v>24448</v>
      </c>
      <c r="I110" s="138"/>
    </row>
    <row r="111" spans="1:35" ht="18.75" customHeight="1">
      <c r="A111" s="138"/>
      <c r="B111" s="138"/>
      <c r="C111" s="138"/>
      <c r="D111" s="138"/>
      <c r="E111" s="3188" t="str">
        <f>IF(项目基本情况!E9="抵押净值",IF(OR(项目基本情况!E8="已注销",项目基本情况!E8="房地产抵押价值"),"4.抵押净值","5.抵押净值"),"——")</f>
        <v>4.抵押净值</v>
      </c>
      <c r="F111" s="3189"/>
      <c r="G111" s="2513" t="s">
        <v>2294</v>
      </c>
      <c r="H111" s="1042">
        <f ca="1">IF(E111="——","——",N59)</f>
        <v>169618</v>
      </c>
      <c r="I111" s="138"/>
    </row>
    <row r="112" spans="1:35" ht="18.75" customHeight="1" thickBot="1">
      <c r="A112" s="138"/>
      <c r="B112" s="138"/>
      <c r="C112" s="138"/>
      <c r="D112" s="138"/>
      <c r="E112" s="3190"/>
      <c r="F112" s="3191"/>
      <c r="G112" s="2518" t="s">
        <v>2296</v>
      </c>
      <c r="H112" s="790">
        <f ca="1">IF(E111="——","——",N61)</f>
        <v>22372</v>
      </c>
      <c r="I112" s="138"/>
    </row>
    <row r="113" spans="1:11" ht="18.75" customHeight="1">
      <c r="A113" s="138"/>
      <c r="B113" s="138"/>
      <c r="C113" s="138"/>
      <c r="D113" s="138"/>
      <c r="E113" s="3158" t="s">
        <v>2302</v>
      </c>
      <c r="F113" s="3158"/>
      <c r="G113" s="3158"/>
      <c r="H113" s="3158"/>
      <c r="I113" s="138"/>
    </row>
    <row r="114" spans="1:11" ht="3.75" customHeight="1">
      <c r="A114" s="2411"/>
      <c r="B114" s="2411"/>
      <c r="C114" s="2411"/>
      <c r="D114" s="2411"/>
      <c r="E114" s="2489"/>
      <c r="F114" s="2489"/>
      <c r="G114" s="2489"/>
      <c r="H114" s="2489"/>
      <c r="I114" s="2411"/>
    </row>
    <row r="115" spans="1:11" ht="18.75" customHeight="1">
      <c r="A115" s="3171" t="s">
        <v>2304</v>
      </c>
      <c r="B115" s="3172"/>
      <c r="C115" s="3172"/>
      <c r="D115" s="3172"/>
      <c r="E115" s="3172"/>
      <c r="F115" s="3172"/>
      <c r="G115" s="3172"/>
      <c r="H115" s="3172"/>
      <c r="I115" s="3173"/>
    </row>
    <row r="116" spans="1:11" ht="27" customHeight="1">
      <c r="A116" s="3067" t="s">
        <v>2305</v>
      </c>
      <c r="B116" s="3159" t="s">
        <v>2306</v>
      </c>
      <c r="C116" s="3159" t="s">
        <v>2307</v>
      </c>
      <c r="D116" s="3175" t="s">
        <v>2308</v>
      </c>
      <c r="E116" s="3176"/>
      <c r="F116" s="3167" t="s">
        <v>3104</v>
      </c>
      <c r="G116" s="3167"/>
      <c r="H116" s="3067" t="s">
        <v>2309</v>
      </c>
      <c r="I116" s="3067"/>
    </row>
    <row r="117" spans="1:11" ht="18.75" customHeight="1">
      <c r="A117" s="3067"/>
      <c r="B117" s="3160"/>
      <c r="C117" s="3160"/>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119847</v>
      </c>
      <c r="E118" s="1792">
        <f ca="1">ROUND(IF(C33="自定义",IF(D32="楼面单价",C34,D118*10000/B118),I118-G118),0)</f>
        <v>15808</v>
      </c>
      <c r="F118" s="1792">
        <f ca="1">ROUND(IF(D32="总价",C35,G118*B118/10000),0)</f>
        <v>65510</v>
      </c>
      <c r="G118" s="1792">
        <f ca="1">ROUND(IF(D32="楼面单价",C35,F118*10000/B118),0)</f>
        <v>8641</v>
      </c>
      <c r="H118" s="1792">
        <f ca="1">ROUND(IF(D32="总价",C32,I118*B118/10000),0)</f>
        <v>185357</v>
      </c>
      <c r="I118" s="1792">
        <f ca="1">ROUND(IF(D32="楼面单价",C32,H118*10000/B118),0)</f>
        <v>24448</v>
      </c>
    </row>
    <row r="119" spans="1:11" ht="18.75" customHeight="1">
      <c r="A119" s="3067" t="s">
        <v>2313</v>
      </c>
      <c r="B119" s="3067"/>
      <c r="C119" s="3067"/>
      <c r="D119" s="3164" t="str">
        <f ca="1">NUMBERSTRING(INT(D118*10000),2)&amp;"元整"</f>
        <v>壹拾壹亿玖仟捌佰肆拾柒万元整</v>
      </c>
      <c r="E119" s="3166"/>
      <c r="F119" s="3164" t="str">
        <f ca="1">NUMBERSTRING(INT(F118*10000),2)&amp;"元整"</f>
        <v>陆亿伍仟伍佰壹拾万元整</v>
      </c>
      <c r="G119" s="3166"/>
      <c r="H119" s="3164" t="str">
        <f ca="1">NUMBERSTRING(INT(H118*10000),2)&amp;"元整"</f>
        <v>壹拾捌亿伍仟叁佰伍拾柒万元整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6" t="str">
        <f>IF(D120=0,"故，本次评估不存在"&amp;A120,"故，本次评估"&amp;A120&amp;"为人民币"&amp;D120&amp;"万元整。")</f>
        <v>故，本次评估不存在估价师知悉的法定优先受偿款</v>
      </c>
    </row>
    <row r="121" spans="1:11" ht="18.75" customHeight="1">
      <c r="A121" s="3168" t="s">
        <v>2313</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
      </c>
      <c r="B122" s="3155"/>
      <c r="C122" s="3155"/>
      <c r="D122" s="3192" t="str">
        <f>H107</f>
        <v>——</v>
      </c>
      <c r="E122" s="3193"/>
      <c r="F122" s="3193"/>
      <c r="G122" s="3193"/>
      <c r="H122" s="3193"/>
      <c r="I122" s="3194"/>
    </row>
    <row r="123" spans="1:11" ht="18.75" customHeight="1">
      <c r="A123" s="3067" t="s">
        <v>2313</v>
      </c>
      <c r="B123" s="3067"/>
      <c r="C123" s="3067"/>
      <c r="D123" s="3164" t="e">
        <f>NUMBERSTRING(INT(D122*10000),2)&amp;"元整"</f>
        <v>#VALUE!</v>
      </c>
      <c r="E123" s="3165"/>
      <c r="F123" s="3165"/>
      <c r="G123" s="3165"/>
      <c r="H123" s="3165"/>
      <c r="I123" s="3166"/>
    </row>
    <row r="124" spans="1:11" ht="18.75" customHeight="1">
      <c r="A124" s="3155" t="str">
        <f>IF(项目基本情况!B9="房地产市场价值","",MID(E109,3,LEN(E109)-2))</f>
        <v>抵押担保权已注销时的房地产抵押价值</v>
      </c>
      <c r="B124" s="3155"/>
      <c r="C124" s="3155"/>
      <c r="D124" s="3192">
        <f ca="1">H109</f>
        <v>185357</v>
      </c>
      <c r="E124" s="3193"/>
      <c r="F124" s="3193"/>
      <c r="G124" s="3193"/>
      <c r="H124" s="3193"/>
      <c r="I124" s="3194"/>
    </row>
    <row r="125" spans="1:11" ht="18.75" customHeight="1">
      <c r="A125" s="3067" t="s">
        <v>2313</v>
      </c>
      <c r="B125" s="3067"/>
      <c r="C125" s="3067"/>
      <c r="D125" s="3164" t="str">
        <f ca="1">NUMBERSTRING(INT(D124*10000),2)&amp;"元整"</f>
        <v>壹拾捌亿伍仟叁佰伍拾柒万元整</v>
      </c>
      <c r="E125" s="3165"/>
      <c r="F125" s="3165"/>
      <c r="G125" s="3165"/>
      <c r="H125" s="3165"/>
      <c r="I125" s="3166"/>
    </row>
    <row r="126" spans="1:11" ht="18.75" customHeight="1">
      <c r="A126" s="3155" t="str">
        <f>IF(项目基本情况!B9="房地产市场价值","",MID(E111,3,LEN(E111)-2))</f>
        <v>抵押净值</v>
      </c>
      <c r="B126" s="3155"/>
      <c r="C126" s="3155"/>
      <c r="D126" s="3192">
        <f ca="1">H111</f>
        <v>169618</v>
      </c>
      <c r="E126" s="3193"/>
      <c r="F126" s="3193"/>
      <c r="G126" s="3193"/>
      <c r="H126" s="3193"/>
      <c r="I126" s="3194"/>
    </row>
    <row r="127" spans="1:11" ht="18.75" customHeight="1">
      <c r="A127" s="3067" t="s">
        <v>2313</v>
      </c>
      <c r="B127" s="3067"/>
      <c r="C127" s="3067"/>
      <c r="D127" s="3164" t="str">
        <f ca="1">NUMBERSTRING(INT(D126*10000),2)&amp;"元整"</f>
        <v>壹拾陆亿玖仟陆佰壹拾捌万元整</v>
      </c>
      <c r="E127" s="3165"/>
      <c r="F127" s="3165"/>
      <c r="G127" s="3165"/>
      <c r="H127" s="3165"/>
      <c r="I127" s="3166"/>
    </row>
    <row r="128" spans="1:11" ht="21.75" customHeight="1">
      <c r="A128" s="3174" t="s">
        <v>2314</v>
      </c>
      <c r="B128" s="3174"/>
      <c r="C128" s="3174"/>
      <c r="D128" s="3174"/>
      <c r="E128" s="3174"/>
      <c r="F128" s="3174"/>
      <c r="G128" s="3174"/>
      <c r="H128" s="3174"/>
      <c r="I128" s="3174"/>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D5:D7">
    <cfRule type="cellIs" dxfId="155" priority="14" stopIfTrue="1" operator="equal">
      <formula>25</formula>
    </cfRule>
  </conditionalFormatting>
  <conditionalFormatting sqref="D8:D9">
    <cfRule type="cellIs" dxfId="154" priority="13" stopIfTrue="1" operator="equal">
      <formula>15</formula>
    </cfRule>
  </conditionalFormatting>
  <conditionalFormatting sqref="D10:D13">
    <cfRule type="cellIs" dxfId="153" priority="12" stopIfTrue="1" operator="equal">
      <formula>15</formula>
    </cfRule>
  </conditionalFormatting>
  <conditionalFormatting sqref="D14:D16">
    <cfRule type="cellIs" dxfId="152" priority="10" stopIfTrue="1" operator="equal">
      <formula>30</formula>
    </cfRule>
  </conditionalFormatting>
  <conditionalFormatting sqref="C90">
    <cfRule type="expression" dxfId="151" priority="7" stopIfTrue="1">
      <formula>$H$88&lt;&gt;"仅含出让金"</formula>
    </cfRule>
  </conditionalFormatting>
  <conditionalFormatting sqref="C91">
    <cfRule type="expression" dxfId="150" priority="6" stopIfTrue="1">
      <formula>$H$91="由企业提供"</formula>
    </cfRule>
  </conditionalFormatting>
  <conditionalFormatting sqref="E36">
    <cfRule type="expression" dxfId="149" priority="5" stopIfTrue="1">
      <formula>$D$36="同一抵押权人同一抵押物续贷"</formula>
    </cfRule>
  </conditionalFormatting>
  <conditionalFormatting sqref="C5:C7">
    <cfRule type="cellIs" dxfId="148" priority="4" stopIfTrue="1" operator="equal">
      <formula>25</formula>
    </cfRule>
  </conditionalFormatting>
  <conditionalFormatting sqref="C8:C9">
    <cfRule type="cellIs" dxfId="147" priority="3" stopIfTrue="1" operator="equal">
      <formula>15</formula>
    </cfRule>
  </conditionalFormatting>
  <conditionalFormatting sqref="C10:C13">
    <cfRule type="cellIs" dxfId="146" priority="2" stopIfTrue="1" operator="equal">
      <formula>15</formula>
    </cfRule>
  </conditionalFormatting>
  <conditionalFormatting sqref="C14:C16">
    <cfRule type="cellIs" dxfId="145"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14"/>
    </sheetView>
  </sheetViews>
  <sheetFormatPr defaultRowHeight="14.4"/>
  <cols>
    <col min="7" max="7" width="11.77734375" customWidth="1"/>
    <col min="8" max="8" width="12.44140625" customWidth="1"/>
  </cols>
  <sheetData>
    <row r="1" spans="1:8">
      <c r="A1" s="3206" t="s">
        <v>3182</v>
      </c>
      <c r="B1" s="3207"/>
      <c r="C1" s="2988"/>
      <c r="D1" s="2988" t="s">
        <v>3183</v>
      </c>
      <c r="E1" s="2989" t="s">
        <v>3184</v>
      </c>
      <c r="F1" s="2990"/>
      <c r="G1" s="2990"/>
      <c r="H1" s="2991"/>
    </row>
    <row r="2" spans="1:8">
      <c r="A2" s="2992" t="s">
        <v>775</v>
      </c>
      <c r="B2" s="2993" t="s">
        <v>3185</v>
      </c>
      <c r="C2" s="2994">
        <v>104285</v>
      </c>
      <c r="D2" s="2995" t="s">
        <v>3181</v>
      </c>
      <c r="E2" s="2996"/>
      <c r="F2" s="2997"/>
      <c r="G2" s="2997"/>
      <c r="H2" s="2998"/>
    </row>
    <row r="3" spans="1:8">
      <c r="A3" s="2992" t="s">
        <v>772</v>
      </c>
      <c r="B3" s="2993" t="s">
        <v>3186</v>
      </c>
      <c r="C3" s="2994">
        <v>73402</v>
      </c>
      <c r="D3" s="2999"/>
      <c r="E3" s="2996"/>
      <c r="F3" s="2997"/>
      <c r="G3" s="2997"/>
      <c r="H3" s="2998"/>
    </row>
    <row r="4" spans="1:8" ht="20.399999999999999">
      <c r="A4" s="3000" t="s">
        <v>3187</v>
      </c>
      <c r="B4" s="3001" t="s">
        <v>3188</v>
      </c>
      <c r="C4" s="3002">
        <v>2968</v>
      </c>
      <c r="D4" s="3003"/>
      <c r="E4" s="3004"/>
      <c r="F4" s="3005"/>
      <c r="G4" s="3005"/>
      <c r="H4" s="3006"/>
    </row>
    <row r="5" spans="1:8" ht="15" customHeight="1">
      <c r="A5" s="3000" t="s">
        <v>3189</v>
      </c>
      <c r="B5" s="3001" t="s">
        <v>3190</v>
      </c>
      <c r="C5" s="3007">
        <v>2880</v>
      </c>
      <c r="D5" s="3003"/>
      <c r="E5" s="3021" t="s">
        <v>3212</v>
      </c>
      <c r="F5" s="3005"/>
      <c r="G5" s="3009" t="s">
        <v>3191</v>
      </c>
      <c r="H5" s="3010" t="s">
        <v>3176</v>
      </c>
    </row>
    <row r="6" spans="1:8">
      <c r="A6" s="3000" t="s">
        <v>3192</v>
      </c>
      <c r="B6" s="3001" t="s">
        <v>3193</v>
      </c>
      <c r="C6" s="3002">
        <v>88</v>
      </c>
      <c r="D6" s="3003">
        <v>3.0499999999999999E-2</v>
      </c>
      <c r="E6" s="3008" t="s">
        <v>3194</v>
      </c>
      <c r="F6" s="3005"/>
      <c r="G6" s="3005"/>
      <c r="H6" s="3006"/>
    </row>
    <row r="7" spans="1:8">
      <c r="A7" s="3000" t="s">
        <v>3195</v>
      </c>
      <c r="B7" s="3001" t="s">
        <v>3196</v>
      </c>
      <c r="C7" s="3002" t="s">
        <v>3213</v>
      </c>
      <c r="D7" s="3003"/>
      <c r="E7" s="3008" t="s">
        <v>3178</v>
      </c>
      <c r="F7" s="3005"/>
      <c r="G7" s="3005"/>
      <c r="H7" s="3006"/>
    </row>
    <row r="8" spans="1:8" ht="21.6" customHeight="1">
      <c r="A8" s="3000" t="s">
        <v>3197</v>
      </c>
      <c r="B8" s="3001" t="s">
        <v>3198</v>
      </c>
      <c r="C8" s="3002">
        <v>53014</v>
      </c>
      <c r="D8" s="3003"/>
      <c r="E8" s="3208" t="s">
        <v>3199</v>
      </c>
      <c r="F8" s="3209"/>
      <c r="G8" s="3209"/>
      <c r="H8" s="3010" t="s">
        <v>70</v>
      </c>
    </row>
    <row r="9" spans="1:8" ht="36.6" customHeight="1">
      <c r="A9" s="3000" t="s">
        <v>3200</v>
      </c>
      <c r="B9" s="3001" t="s">
        <v>3201</v>
      </c>
      <c r="C9" s="3002">
        <v>5598</v>
      </c>
      <c r="D9" s="3003">
        <v>0.1</v>
      </c>
      <c r="E9" s="3208" t="s">
        <v>3202</v>
      </c>
      <c r="F9" s="3209"/>
      <c r="G9" s="3209"/>
      <c r="H9" s="3210"/>
    </row>
    <row r="10" spans="1:8" ht="26.4" customHeight="1">
      <c r="A10" s="3000" t="s">
        <v>3203</v>
      </c>
      <c r="B10" s="3001" t="s">
        <v>3204</v>
      </c>
      <c r="C10" s="3002">
        <v>626</v>
      </c>
      <c r="D10" s="3003">
        <v>6.000000000000001E-3</v>
      </c>
      <c r="E10" s="3208" t="s">
        <v>3205</v>
      </c>
      <c r="F10" s="3209"/>
      <c r="G10" s="3209"/>
      <c r="H10" s="3210"/>
    </row>
    <row r="11" spans="1:8" ht="38.4" customHeight="1">
      <c r="A11" s="3000" t="s">
        <v>3206</v>
      </c>
      <c r="B11" s="3001" t="s">
        <v>3207</v>
      </c>
      <c r="C11" s="3007">
        <v>11196</v>
      </c>
      <c r="D11" s="3003">
        <v>0.2</v>
      </c>
      <c r="E11" s="3208" t="s">
        <v>3208</v>
      </c>
      <c r="F11" s="3209"/>
      <c r="G11" s="3209"/>
      <c r="H11" s="3210"/>
    </row>
    <row r="12" spans="1:8">
      <c r="A12" s="3011" t="s">
        <v>773</v>
      </c>
      <c r="B12" s="2993" t="s">
        <v>3209</v>
      </c>
      <c r="C12" s="2994">
        <v>30883</v>
      </c>
      <c r="D12" s="2995" t="s">
        <v>3181</v>
      </c>
      <c r="E12" s="2996"/>
      <c r="F12" s="2997"/>
      <c r="G12" s="2997"/>
      <c r="H12" s="2998"/>
    </row>
    <row r="13" spans="1:8" ht="20.399999999999999">
      <c r="A13" s="3011" t="s">
        <v>780</v>
      </c>
      <c r="B13" s="2993" t="s">
        <v>3210</v>
      </c>
      <c r="C13" s="3012">
        <v>0.42073785455437179</v>
      </c>
      <c r="D13" s="2995" t="s">
        <v>3181</v>
      </c>
      <c r="E13" s="3013" t="s">
        <v>3179</v>
      </c>
      <c r="F13" s="2997"/>
      <c r="G13" s="2997"/>
      <c r="H13" s="2998"/>
    </row>
    <row r="14" spans="1:8" ht="21" thickBot="1">
      <c r="A14" s="3014" t="s">
        <v>781</v>
      </c>
      <c r="B14" s="3015" t="s">
        <v>3211</v>
      </c>
      <c r="C14" s="3016">
        <v>9265</v>
      </c>
      <c r="D14" s="3017" t="s">
        <v>3181</v>
      </c>
      <c r="E14" s="3018" t="s">
        <v>3180</v>
      </c>
      <c r="F14" s="3019"/>
      <c r="G14" s="3019"/>
      <c r="H14" s="3020"/>
    </row>
  </sheetData>
  <mergeCells count="5">
    <mergeCell ref="A1:B1"/>
    <mergeCell ref="E8:G8"/>
    <mergeCell ref="E9:H9"/>
    <mergeCell ref="E10:H10"/>
    <mergeCell ref="E11:H11"/>
  </mergeCells>
  <phoneticPr fontId="143" type="noConversion"/>
  <conditionalFormatting sqref="C8">
    <cfRule type="expression" dxfId="144" priority="2" stopIfTrue="1">
      <formula>$H$91="由企业提供"</formula>
    </cfRule>
  </conditionalFormatting>
  <conditionalFormatting sqref="C7">
    <cfRule type="expression" dxfId="143" priority="1" stopIfTrue="1">
      <formula>$H$91="由企业提供"</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23" t="str">
        <f>项目基本情况!B1</f>
        <v>北京市海淀区上地九街9号工业用房房地产抵押价值预评估</v>
      </c>
      <c r="C37" s="3023"/>
      <c r="D37" s="3023"/>
      <c r="E37" s="3023"/>
      <c r="F37" s="3023"/>
      <c r="G37" s="3023"/>
      <c r="H37" s="3023"/>
      <c r="I37" s="3023"/>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4"/>
      <c r="C1" s="242"/>
      <c r="D1" s="242"/>
      <c r="E1" s="242"/>
      <c r="F1" s="242"/>
      <c r="G1" s="1376">
        <f>MATCH(B1,'数据-取费表'!A6:A16,0)+5</f>
        <v>8</v>
      </c>
    </row>
    <row r="2" spans="1:9" s="244" customFormat="1" ht="18" customHeight="1">
      <c r="A2" s="245" t="s">
        <v>2323</v>
      </c>
      <c r="B2" s="246">
        <f ca="1">IF(D2="——",C52,C52-E2)</f>
        <v>93332</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12310</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3116</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283</v>
      </c>
      <c r="D20" s="276"/>
      <c r="E20" s="276"/>
      <c r="F20" s="277">
        <f>'数据-取费表'!B37</f>
        <v>1.4999999999999999E-2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1">
        <f ca="1">ROUND(SUM(C23:C25),0)</f>
        <v>1848</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13</v>
      </c>
      <c r="D25" s="282"/>
      <c r="E25" s="285"/>
      <c r="F25" s="283"/>
      <c r="G25" s="286" t="s">
        <v>2371</v>
      </c>
    </row>
    <row r="26" spans="1:7" s="258" customFormat="1">
      <c r="A26" s="948" t="s">
        <v>795</v>
      </c>
      <c r="B26" s="259" t="s">
        <v>2372</v>
      </c>
      <c r="C26" s="282">
        <f ca="1">ROUND(IF('数据-取费表'!B22&lt;=1,F21*F22*'数据-取费表'!B23/2,F21*(POWER((1+F22),'数据-取费表'!B23/2)-1)),4)</f>
        <v>6.9999999999999999E-4</v>
      </c>
      <c r="D26" s="282"/>
      <c r="E26" s="285"/>
      <c r="F26" s="283"/>
      <c r="G26" s="287"/>
    </row>
    <row r="27" spans="1:7" s="258" customFormat="1" ht="26.4">
      <c r="A27" s="299" t="s">
        <v>2373</v>
      </c>
      <c r="B27" s="288" t="s">
        <v>2374</v>
      </c>
      <c r="C27" s="289">
        <f ca="1">C28</f>
        <v>4790</v>
      </c>
      <c r="D27" s="279">
        <f ca="1">C29</f>
        <v>3.8E-3</v>
      </c>
      <c r="E27" s="280" t="s">
        <v>2375</v>
      </c>
      <c r="F27" s="290">
        <f ca="1">IF(B1="",'数据-取费表'!Q16,INDIRECT("'数据-取费表'!q"&amp;$G$1))</f>
        <v>0.25</v>
      </c>
      <c r="G27" s="291" t="s">
        <v>2376</v>
      </c>
    </row>
    <row r="28" spans="1:7" s="258" customFormat="1" ht="13.5" customHeight="1">
      <c r="A28" s="948" t="s">
        <v>791</v>
      </c>
      <c r="B28" s="292" t="s">
        <v>2377</v>
      </c>
      <c r="C28" s="293">
        <f ca="1">ROUND((C5+C19+C20)*F27*'数据-取费表'!B21/'数据-取费表'!B20,0)</f>
        <v>4790</v>
      </c>
      <c r="D28" s="279"/>
      <c r="E28" s="280"/>
      <c r="F28" s="290"/>
      <c r="G28" s="291"/>
    </row>
    <row r="29" spans="1:7" s="258" customFormat="1" ht="13.5" customHeight="1">
      <c r="A29" s="948" t="s">
        <v>792</v>
      </c>
      <c r="B29" s="292" t="s">
        <v>2378</v>
      </c>
      <c r="C29" s="282">
        <f ca="1">ROUND(C21*F27*'数据-取费表'!B21/'数据-取费表'!B20,4)</f>
        <v>3.8E-3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27822</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53014</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49281</v>
      </c>
      <c r="D34" s="261"/>
      <c r="E34" s="264"/>
      <c r="F34" s="301">
        <f ca="1">IF('数据-取费表'!B24=0,1,IF(B1="",'数据-取费表'!N16,INDIRECT("'数据-取费表'!n"&amp;$G$1)))</f>
        <v>1</v>
      </c>
      <c r="G34" s="263" t="s">
        <v>2387</v>
      </c>
    </row>
    <row r="35" spans="1:7" ht="13.5" customHeight="1">
      <c r="A35" s="948" t="s">
        <v>796</v>
      </c>
      <c r="B35" s="259" t="s">
        <v>2388</v>
      </c>
      <c r="C35" s="264">
        <f ca="1">ROUND(C34*F35,0)</f>
        <v>1478</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739</v>
      </c>
      <c r="D38" s="264"/>
      <c r="E38" s="264"/>
      <c r="F38" s="303">
        <f>'数据-取费表'!B36</f>
        <v>1.4999999999999999E-2</v>
      </c>
      <c r="G38" s="263" t="s">
        <v>2389</v>
      </c>
    </row>
    <row r="39" spans="1:7" s="258" customFormat="1" ht="13.5" customHeight="1">
      <c r="A39" s="299" t="s">
        <v>2395</v>
      </c>
      <c r="B39" s="254" t="s">
        <v>2396</v>
      </c>
      <c r="C39" s="276">
        <f ca="1">ROUND(C33*F20,0)</f>
        <v>795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2556</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2518</v>
      </c>
      <c r="D42" s="282"/>
      <c r="E42" s="282"/>
      <c r="F42" s="283"/>
      <c r="G42" s="3211" t="s">
        <v>2405</v>
      </c>
    </row>
    <row r="43" spans="1:7" ht="13.5" customHeight="1">
      <c r="A43" s="948" t="s">
        <v>792</v>
      </c>
      <c r="B43" s="259" t="s">
        <v>2406</v>
      </c>
      <c r="C43" s="282">
        <f ca="1">ROUND(IF('数据-取费表'!B22&lt;=1,C39*F22*'数据-取费表'!B21/2,C39*(POWER((1+F22),'数据-取费表'!B21/2)-1)),0)</f>
        <v>38</v>
      </c>
      <c r="D43" s="282"/>
      <c r="E43" s="282"/>
      <c r="F43" s="283"/>
      <c r="G43" s="3212"/>
    </row>
    <row r="44" spans="1:7" ht="13.5" customHeight="1">
      <c r="A44" s="948" t="s">
        <v>793</v>
      </c>
      <c r="B44" s="259" t="s">
        <v>2407</v>
      </c>
      <c r="C44" s="282">
        <f ca="1">ROUND(IF('数据-取费表'!B22&lt;=1,C40*F22*'数据-取费表'!B21/2,C40*(POWER((1+F22),'数据-取费表'!B21/2)-1)),4)</f>
        <v>6.9999999999999999E-4</v>
      </c>
      <c r="D44" s="282"/>
      <c r="E44" s="282"/>
      <c r="F44" s="283"/>
      <c r="G44" s="3213"/>
    </row>
    <row r="45" spans="1:7" s="258" customFormat="1" ht="13.5" customHeight="1">
      <c r="A45" s="299" t="s">
        <v>2408</v>
      </c>
      <c r="B45" s="288" t="s">
        <v>2374</v>
      </c>
      <c r="C45" s="289">
        <f ca="1">C46</f>
        <v>13452</v>
      </c>
      <c r="D45" s="279">
        <f ca="1">C47</f>
        <v>3.8E-3</v>
      </c>
      <c r="E45" s="280" t="s">
        <v>2400</v>
      </c>
      <c r="F45" s="290"/>
      <c r="G45" s="291" t="s">
        <v>2409</v>
      </c>
    </row>
    <row r="46" spans="1:7" s="258" customFormat="1" ht="13.5" customHeight="1">
      <c r="A46" s="948" t="s">
        <v>791</v>
      </c>
      <c r="B46" s="292" t="s">
        <v>2410</v>
      </c>
      <c r="C46" s="293">
        <f ca="1">ROUND((C33+C39)*F27,0)</f>
        <v>13452</v>
      </c>
      <c r="D46" s="307"/>
      <c r="E46" s="280"/>
      <c r="F46" s="290"/>
      <c r="G46" s="291"/>
    </row>
    <row r="47" spans="1:7" s="258" customFormat="1" ht="13.5" customHeight="1">
      <c r="A47" s="948" t="s">
        <v>792</v>
      </c>
      <c r="B47" s="292" t="s">
        <v>2411</v>
      </c>
      <c r="C47" s="282">
        <f ca="1">ROUND(C40*F27,4)</f>
        <v>3.8E-3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75299</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65510</v>
      </c>
      <c r="D51" s="276"/>
      <c r="E51" s="276"/>
      <c r="F51" s="308"/>
      <c r="G51" s="278" t="s">
        <v>2421</v>
      </c>
    </row>
    <row r="52" spans="1:7" s="252" customFormat="1" ht="16.8" thickBot="1">
      <c r="A52" s="309" t="s">
        <v>2422</v>
      </c>
      <c r="B52" s="310"/>
      <c r="C52" s="311">
        <f ca="1">C31+C51</f>
        <v>93332</v>
      </c>
      <c r="D52" s="310"/>
      <c r="E52" s="310"/>
      <c r="F52" s="310"/>
      <c r="G52" s="312"/>
    </row>
    <row r="55" spans="1:7" ht="15">
      <c r="B55" s="314" t="s">
        <v>2423</v>
      </c>
      <c r="C55" s="315"/>
    </row>
    <row r="56" spans="1:7">
      <c r="B56" s="317" t="s">
        <v>1513</v>
      </c>
      <c r="C56" s="319">
        <f ca="1">1-C57</f>
        <v>0.29800000000000004</v>
      </c>
    </row>
    <row r="57" spans="1:7">
      <c r="B57" s="317" t="s">
        <v>1514</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4"/>
      <c r="C1" s="2548" t="s">
        <v>2424</v>
      </c>
      <c r="D1" s="242"/>
      <c r="E1" s="242"/>
      <c r="F1" s="242"/>
      <c r="G1" s="1376">
        <f>MATCH(B1,'数据-取费表'!A6:A16,0)+5</f>
        <v>8</v>
      </c>
      <c r="H1" s="1279" t="str">
        <f>IF(ISERROR(FIND("住宅",B1)),"非住宅","住宅")</f>
        <v>非住宅</v>
      </c>
    </row>
    <row r="2" spans="1:8" s="244" customFormat="1" ht="18" customHeight="1">
      <c r="A2" s="245" t="s">
        <v>2323</v>
      </c>
      <c r="B2" s="246">
        <f ca="1">ROUND(IF(D2="——",C52/10000,C52/10000-E2),0)</f>
        <v>69981</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9230</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454898</v>
      </c>
      <c r="D20" s="276"/>
      <c r="E20" s="276"/>
      <c r="F20" s="277">
        <f>'数据-取费表'!B37</f>
        <v>1.4999999999999999E-2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77">
        <f ca="1">ROUND(SUM(C23:C25),0)</f>
        <v>2971052</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21608</v>
      </c>
      <c r="D25" s="282"/>
      <c r="E25" s="285"/>
      <c r="F25" s="283"/>
      <c r="G25" s="286" t="s">
        <v>2449</v>
      </c>
    </row>
    <row r="26" spans="1:7" s="258" customFormat="1">
      <c r="A26" s="948" t="s">
        <v>795</v>
      </c>
      <c r="B26" s="259" t="s">
        <v>2372</v>
      </c>
      <c r="C26" s="282">
        <f ca="1">ROUND(IF('数据-取费表'!B22&lt;=1,F21*F22*'数据-取费表'!B22/2,F21*(POWER((1+F22),'数据-取费表'!B22/2)-1)),4)</f>
        <v>6.9999999999999999E-4</v>
      </c>
      <c r="D26" s="282"/>
      <c r="E26" s="285"/>
      <c r="F26" s="283"/>
      <c r="G26" s="287"/>
    </row>
    <row r="27" spans="1:7" s="258" customFormat="1" ht="26.4">
      <c r="A27" s="299" t="s">
        <v>2373</v>
      </c>
      <c r="B27" s="288" t="s">
        <v>2374</v>
      </c>
      <c r="C27" s="289">
        <f ca="1">C28</f>
        <v>7695358</v>
      </c>
      <c r="D27" s="279">
        <f ca="1">C29</f>
        <v>3.8E-3</v>
      </c>
      <c r="E27" s="280" t="s">
        <v>2375</v>
      </c>
      <c r="F27" s="290">
        <f ca="1">IF(B1="",'数据-取费表'!Q16,INDIRECT("'数据-取费表'!q"&amp;$G$1))</f>
        <v>0.25</v>
      </c>
      <c r="G27" s="291" t="s">
        <v>2376</v>
      </c>
    </row>
    <row r="28" spans="1:7" s="258" customFormat="1" ht="13.5" customHeight="1">
      <c r="A28" s="948" t="s">
        <v>791</v>
      </c>
      <c r="B28" s="292" t="s">
        <v>2377</v>
      </c>
      <c r="C28" s="293">
        <f ca="1">ROUND((C5+C19+C20)*F27,0)</f>
        <v>7695358</v>
      </c>
      <c r="D28" s="279"/>
      <c r="E28" s="280"/>
      <c r="F28" s="290"/>
      <c r="G28" s="291"/>
    </row>
    <row r="29" spans="1:7" s="258" customFormat="1" ht="13.5" customHeight="1">
      <c r="A29" s="948" t="s">
        <v>792</v>
      </c>
      <c r="B29" s="292" t="s">
        <v>2378</v>
      </c>
      <c r="C29" s="282">
        <f ca="1">ROUND(C21*F27,4)</f>
        <v>3.8E-3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44702157</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530145687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492806145</v>
      </c>
      <c r="D34" s="261"/>
      <c r="E34" s="264"/>
      <c r="F34" s="301"/>
      <c r="G34" s="263"/>
    </row>
    <row r="35" spans="1:7" ht="13.5" customHeight="1">
      <c r="A35" s="948" t="s">
        <v>796</v>
      </c>
      <c r="B35" s="259" t="s">
        <v>2388</v>
      </c>
      <c r="C35" s="264">
        <f ca="1">ROUND(C34*F35,0)</f>
        <v>14784184</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7392092</v>
      </c>
      <c r="D38" s="264"/>
      <c r="E38" s="264"/>
      <c r="F38" s="303">
        <f>'数据-取费表'!B36</f>
        <v>1.4999999999999999E-2</v>
      </c>
      <c r="G38" s="263" t="s">
        <v>2389</v>
      </c>
    </row>
    <row r="39" spans="1:7" s="258" customFormat="1" ht="13.5" customHeight="1">
      <c r="A39" s="299" t="s">
        <v>2395</v>
      </c>
      <c r="B39" s="254" t="s">
        <v>2396</v>
      </c>
      <c r="C39" s="276">
        <f ca="1">ROUND(C33*F20,0)</f>
        <v>7952185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25559649</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25181920</v>
      </c>
      <c r="D42" s="282"/>
      <c r="E42" s="282"/>
      <c r="F42" s="283"/>
      <c r="G42" s="3211" t="s">
        <v>2452</v>
      </c>
    </row>
    <row r="43" spans="1:7" ht="13.5" customHeight="1">
      <c r="A43" s="948" t="s">
        <v>792</v>
      </c>
      <c r="B43" s="259" t="s">
        <v>2406</v>
      </c>
      <c r="C43" s="282">
        <f ca="1">ROUND(IF('数据-取费表'!B22&lt;=1,C39*F22*'数据-取费表'!B20/2,C39*(POWER((1+F22),'数据-取费表'!B20/2)-1)),0)</f>
        <v>377729</v>
      </c>
      <c r="D43" s="282"/>
      <c r="E43" s="282"/>
      <c r="F43" s="283"/>
      <c r="G43" s="3212"/>
    </row>
    <row r="44" spans="1:7" ht="13.5" customHeight="1">
      <c r="A44" s="948" t="s">
        <v>793</v>
      </c>
      <c r="B44" s="259" t="s">
        <v>2407</v>
      </c>
      <c r="C44" s="282">
        <f ca="1">ROUND(IF('数据-取费表'!B22&lt;=1,C40*F22*'数据-取费表'!B20/2,C40*(POWER((1+F22),'数据-取费表'!B20/2)-1)),4)</f>
        <v>6.9999999999999999E-4</v>
      </c>
      <c r="D44" s="282"/>
      <c r="E44" s="282"/>
      <c r="F44" s="283"/>
      <c r="G44" s="3213"/>
    </row>
    <row r="45" spans="1:7" s="258" customFormat="1" ht="13.5" customHeight="1">
      <c r="A45" s="299" t="s">
        <v>2408</v>
      </c>
      <c r="B45" s="288" t="s">
        <v>2374</v>
      </c>
      <c r="C45" s="289">
        <f ca="1">C46</f>
        <v>134524468</v>
      </c>
      <c r="D45" s="279">
        <f ca="1">C47</f>
        <v>3.8E-3</v>
      </c>
      <c r="E45" s="280" t="s">
        <v>2400</v>
      </c>
      <c r="F45" s="290"/>
      <c r="G45" s="291" t="s">
        <v>2409</v>
      </c>
    </row>
    <row r="46" spans="1:7" s="258" customFormat="1" ht="13.5" customHeight="1">
      <c r="A46" s="948" t="s">
        <v>791</v>
      </c>
      <c r="B46" s="292" t="s">
        <v>2410</v>
      </c>
      <c r="C46" s="293">
        <f ca="1">ROUND((C33+C39)*F27,0)</f>
        <v>134524468</v>
      </c>
      <c r="D46" s="307"/>
      <c r="E46" s="280"/>
      <c r="F46" s="290"/>
      <c r="G46" s="291"/>
    </row>
    <row r="47" spans="1:7" s="258" customFormat="1" ht="13.5" customHeight="1">
      <c r="A47" s="948" t="s">
        <v>792</v>
      </c>
      <c r="B47" s="292" t="s">
        <v>2411</v>
      </c>
      <c r="C47" s="282">
        <f ca="1">ROUND(C40*F27,4)</f>
        <v>3.8E-3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753000420</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655110365</v>
      </c>
      <c r="D51" s="276"/>
      <c r="E51" s="276"/>
      <c r="F51" s="308"/>
      <c r="G51" s="278" t="s">
        <v>2421</v>
      </c>
    </row>
    <row r="52" spans="1:7" s="252" customFormat="1" ht="16.8" thickBot="1">
      <c r="A52" s="309" t="s">
        <v>2422</v>
      </c>
      <c r="B52" s="310"/>
      <c r="C52" s="311">
        <f ca="1">C31+C51</f>
        <v>699812522</v>
      </c>
      <c r="D52" s="310"/>
      <c r="E52" s="310"/>
      <c r="F52" s="310"/>
      <c r="G52" s="312"/>
    </row>
    <row r="55" spans="1:7" ht="15">
      <c r="B55" s="314" t="s">
        <v>2423</v>
      </c>
      <c r="C55" s="315"/>
    </row>
    <row r="56" spans="1:7">
      <c r="B56" s="317" t="s">
        <v>1513</v>
      </c>
      <c r="C56" s="319">
        <f ca="1">1-C57</f>
        <v>6.3999999999999946E-2</v>
      </c>
    </row>
    <row r="57" spans="1:7">
      <c r="B57" s="317" t="s">
        <v>1514</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2455</v>
      </c>
      <c r="B1" s="1578"/>
      <c r="C1" s="1579"/>
      <c r="D1" s="1577"/>
      <c r="E1" s="320"/>
      <c r="F1" s="320"/>
      <c r="G1" s="1578"/>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5.2">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1.4999999999999999E-2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1.4999999999999999E-2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42" sqref="I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3120</v>
      </c>
      <c r="D1" s="1817" t="s">
        <v>70</v>
      </c>
      <c r="E1" s="1818" t="s">
        <v>1387</v>
      </c>
      <c r="F1" s="1280">
        <f ca="1">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214" t="s">
        <v>1403</v>
      </c>
      <c r="C6" s="1293">
        <f ca="1">ROUND(F6*F8*F7*(1-F9)/10000,0)</f>
        <v>0</v>
      </c>
      <c r="D6" s="164" t="s">
        <v>3028</v>
      </c>
      <c r="E6" s="347" t="s">
        <v>1405</v>
      </c>
      <c r="F6" s="348">
        <f ca="1">INDIRECT("'数据-取费表'!u"&amp;$G$1)</f>
        <v>0</v>
      </c>
      <c r="G6" s="1848"/>
      <c r="H6" s="1288" t="s">
        <v>1035</v>
      </c>
      <c r="I6" s="3214" t="s">
        <v>1403</v>
      </c>
      <c r="J6" s="346">
        <f ca="1">ROUND(M6*M8*M7*(1-M9)/10000,0)</f>
        <v>0</v>
      </c>
      <c r="K6" s="164" t="s">
        <v>3027</v>
      </c>
      <c r="L6" s="347" t="s">
        <v>1405</v>
      </c>
      <c r="M6" s="348">
        <f ca="1">INDIRECT("'数据-取费表'!z"&amp;$G$1)</f>
        <v>0</v>
      </c>
    </row>
    <row r="7" spans="1:37" ht="18" customHeight="1">
      <c r="A7" s="1292"/>
      <c r="B7" s="3215"/>
      <c r="C7" s="1294"/>
      <c r="D7" s="352"/>
      <c r="E7" s="2966" t="s">
        <v>1406</v>
      </c>
      <c r="F7" s="348">
        <f ca="1">IF(INDIRECT("'数据-取费表'!ah"&amp;$G$1)="",INDIRECT("'数据-取费表'!k"&amp;$G$1),INDIRECT("'数据-取费表'!ah"&amp;$G$1))</f>
        <v>0</v>
      </c>
      <c r="G7" s="1848"/>
      <c r="H7" s="349"/>
      <c r="I7" s="3215"/>
      <c r="J7" s="351"/>
      <c r="K7" s="352"/>
      <c r="L7" s="347" t="s">
        <v>1406</v>
      </c>
      <c r="M7" s="348">
        <f ca="1">F7</f>
        <v>0</v>
      </c>
    </row>
    <row r="8" spans="1:37" ht="18" customHeight="1">
      <c r="A8" s="349"/>
      <c r="B8" s="3215"/>
      <c r="C8" s="351"/>
      <c r="D8" s="352"/>
      <c r="E8" s="347" t="s">
        <v>1407</v>
      </c>
      <c r="F8" s="348">
        <f ca="1">INDIRECT("'数据-取费表'!ai"&amp;$G$1)</f>
        <v>0</v>
      </c>
      <c r="G8" s="1848"/>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3108</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0</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65510</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0</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8"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0</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0</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0</v>
      </c>
      <c r="K53" s="3217" t="s">
        <v>1548</v>
      </c>
      <c r="L53" s="3218"/>
      <c r="O53" s="1881" t="s">
        <v>1046</v>
      </c>
      <c r="P53" s="1882" t="s">
        <v>1549</v>
      </c>
      <c r="Q53" s="1883" t="e">
        <f ca="1">Q47+Q48</f>
        <v>#DIV/0!</v>
      </c>
      <c r="R53" s="1883" t="s">
        <v>1047</v>
      </c>
    </row>
    <row r="54" spans="1:18" s="1839" customFormat="1" ht="24.6"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#DIV/0!</v>
      </c>
      <c r="R62" s="1883" t="s">
        <v>1047</v>
      </c>
    </row>
    <row r="63" spans="1:18" s="1839" customFormat="1" ht="13.8"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0</v>
      </c>
      <c r="D64" s="1180" t="s">
        <v>1482</v>
      </c>
      <c r="E64" s="1166" t="s">
        <v>1422</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0</v>
      </c>
      <c r="D65" s="1180" t="s">
        <v>1454</v>
      </c>
      <c r="E65" s="1166" t="s">
        <v>1422</v>
      </c>
      <c r="F65" s="376">
        <f t="shared" ca="1" si="0"/>
        <v>0</v>
      </c>
      <c r="I65" s="1926" t="s">
        <v>1579</v>
      </c>
      <c r="J65" s="1927">
        <v>40</v>
      </c>
      <c r="K65" s="1927">
        <v>30</v>
      </c>
      <c r="L65" s="1927">
        <v>50</v>
      </c>
      <c r="M65" s="1929">
        <v>0.02</v>
      </c>
      <c r="O65" s="1881" t="s">
        <v>1040</v>
      </c>
      <c r="P65" s="1882" t="s">
        <v>1528</v>
      </c>
      <c r="Q65" s="1883" t="e">
        <f ca="1">C40+J29</f>
        <v>#DIV/0!</v>
      </c>
      <c r="R65" s="1883" t="s">
        <v>1529</v>
      </c>
    </row>
    <row r="66" spans="1:18" s="1839" customFormat="1" ht="16.2" thickBot="1">
      <c r="A66" s="1198" t="s">
        <v>1504</v>
      </c>
      <c r="B66" s="1166" t="s">
        <v>1439</v>
      </c>
      <c r="C66" s="24">
        <f ca="1">ROUND(C48*F66,1)</f>
        <v>0</v>
      </c>
      <c r="D66" s="1180" t="s">
        <v>1459</v>
      </c>
      <c r="E66" s="1166" t="s">
        <v>1422</v>
      </c>
      <c r="F66" s="357">
        <f t="shared" ca="1" si="0"/>
        <v>0</v>
      </c>
      <c r="O66" s="1881" t="s">
        <v>1041</v>
      </c>
      <c r="P66" s="1882" t="s">
        <v>1558</v>
      </c>
      <c r="Q66" s="1883">
        <f ca="1">L60</f>
        <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c r="O70" s="1891" t="s">
        <v>1049</v>
      </c>
      <c r="P70" s="1931" t="s">
        <v>1585</v>
      </c>
      <c r="Q70" s="1883">
        <f ca="1">C13</f>
        <v>0</v>
      </c>
      <c r="R70" s="1883" t="s">
        <v>1529</v>
      </c>
    </row>
    <row r="71" spans="1:18" s="1839" customFormat="1" ht="13.8"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3121</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214" t="s">
        <v>1403</v>
      </c>
      <c r="C6" s="1293" t="e">
        <f ca="1">ROUND(F6*F8*F7*(1-F9)/10000,0)</f>
        <v>#N/A</v>
      </c>
      <c r="D6" s="164" t="s">
        <v>3028</v>
      </c>
      <c r="E6" s="347" t="s">
        <v>1405</v>
      </c>
      <c r="F6" s="348" t="e">
        <f ca="1">INDIRECT("'数据-取费表'!u"&amp;$G$1)</f>
        <v>#N/A</v>
      </c>
      <c r="G6" s="1848"/>
      <c r="H6" s="1288" t="s">
        <v>1035</v>
      </c>
      <c r="I6" s="3214" t="s">
        <v>1403</v>
      </c>
      <c r="J6" s="346" t="e">
        <f ca="1">ROUND(M6*M8*M7*(1-M9)/10000,0)</f>
        <v>#N/A</v>
      </c>
      <c r="K6" s="164" t="s">
        <v>3027</v>
      </c>
      <c r="L6" s="347" t="s">
        <v>1405</v>
      </c>
      <c r="M6" s="348" t="e">
        <f ca="1">INDIRECT("'数据-取费表'!z"&amp;$G$1)</f>
        <v>#N/A</v>
      </c>
    </row>
    <row r="7" spans="1:37" ht="18" customHeight="1">
      <c r="A7" s="1292"/>
      <c r="B7" s="3215"/>
      <c r="C7" s="1294"/>
      <c r="D7" s="352"/>
      <c r="E7" s="2945" t="s">
        <v>1406</v>
      </c>
      <c r="F7" s="348" t="e">
        <f ca="1">IF(INDIRECT("'数据-取费表'!ah"&amp;$G$1)="",INDIRECT("'数据-取费表'!k"&amp;$G$1),INDIRECT("'数据-取费表'!ah"&amp;$G$1))</f>
        <v>#N/A</v>
      </c>
      <c r="G7" s="1848"/>
      <c r="H7" s="349"/>
      <c r="I7" s="3215"/>
      <c r="J7" s="351"/>
      <c r="K7" s="352"/>
      <c r="L7" s="347" t="s">
        <v>1406</v>
      </c>
      <c r="M7" s="348" t="e">
        <f ca="1">F7</f>
        <v>#N/A</v>
      </c>
    </row>
    <row r="8" spans="1:37" ht="18" customHeight="1">
      <c r="A8" s="349"/>
      <c r="B8" s="3215"/>
      <c r="C8" s="351"/>
      <c r="D8" s="352"/>
      <c r="E8" s="347" t="s">
        <v>1407</v>
      </c>
      <c r="F8" s="348" t="e">
        <f ca="1">INDIRECT("'数据-取费表'!ai"&amp;$G$1)</f>
        <v>#N/A</v>
      </c>
      <c r="G8" s="1848"/>
      <c r="H8" s="349"/>
      <c r="I8" s="3215"/>
      <c r="J8" s="351"/>
      <c r="K8" s="352"/>
      <c r="L8" s="347" t="s">
        <v>1407</v>
      </c>
      <c r="M8" s="348" t="e">
        <f ca="1">INDIRECT("'数据-取费表'!ai"&amp;$G$1)</f>
        <v>#N/A</v>
      </c>
    </row>
    <row r="9" spans="1:37" ht="18" customHeight="1">
      <c r="A9" s="349"/>
      <c r="B9" s="3216"/>
      <c r="C9" s="351"/>
      <c r="D9" s="352"/>
      <c r="E9" s="347" t="s">
        <v>1408</v>
      </c>
      <c r="F9" s="357" t="e">
        <f ca="1">INDIRECT("'数据-取费表'!w"&amp;$G$1)</f>
        <v>#N/A</v>
      </c>
      <c r="G9" s="1848"/>
      <c r="H9" s="349"/>
      <c r="I9" s="3216"/>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1.4999999999999999E-2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40.200000000000003"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8"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8"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8"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217" t="s">
        <v>1548</v>
      </c>
      <c r="L53" s="3218"/>
      <c r="O53" s="1881" t="s">
        <v>1046</v>
      </c>
      <c r="P53" s="1882" t="s">
        <v>1549</v>
      </c>
      <c r="Q53" s="1883" t="e">
        <f ca="1">Q47+Q48</f>
        <v>#N/A</v>
      </c>
      <c r="R53" s="1883" t="s">
        <v>1047</v>
      </c>
    </row>
    <row r="54" spans="1:18" s="1839" customFormat="1" ht="24.6"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8"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6"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6"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6"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2"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8"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8"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8"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2"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24.6"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2"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8"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8" thickBot="1">
      <c r="A70" s="1170"/>
      <c r="B70" s="1171"/>
      <c r="C70" s="355"/>
      <c r="D70" s="1182"/>
      <c r="E70" s="1166" t="s">
        <v>1477</v>
      </c>
      <c r="F70" s="1272"/>
      <c r="O70" s="1891" t="s">
        <v>1049</v>
      </c>
      <c r="P70" s="1931" t="s">
        <v>1585</v>
      </c>
      <c r="Q70" s="1883" t="e">
        <f ca="1">C13</f>
        <v>#N/A</v>
      </c>
      <c r="R70" s="1883" t="s">
        <v>1529</v>
      </c>
    </row>
    <row r="71" spans="1:18" s="1839" customFormat="1" ht="13.8"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#N/A</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8"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C36" sqref="C36: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173425</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34324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10525</v>
      </c>
      <c r="D5" s="1819" t="s">
        <v>1402</v>
      </c>
      <c r="E5" s="1290"/>
      <c r="F5" s="1291"/>
      <c r="G5" s="1848"/>
      <c r="H5" s="344">
        <v>1</v>
      </c>
      <c r="I5" s="345" t="s">
        <v>1401</v>
      </c>
      <c r="J5" s="1289">
        <f ca="1">J6+J10+J12</f>
        <v>0</v>
      </c>
      <c r="K5" s="1819" t="s">
        <v>1402</v>
      </c>
      <c r="L5" s="1290"/>
      <c r="M5" s="1291"/>
    </row>
    <row r="6" spans="1:37" ht="18" customHeight="1">
      <c r="A6" s="1288" t="s">
        <v>1035</v>
      </c>
      <c r="B6" s="3214" t="s">
        <v>1403</v>
      </c>
      <c r="C6" s="1293">
        <f ca="1">ROUND(F6*F8*F7*(1-F9)/10000,0)</f>
        <v>10512</v>
      </c>
      <c r="D6" s="164" t="s">
        <v>3028</v>
      </c>
      <c r="E6" s="347" t="s">
        <v>1405</v>
      </c>
      <c r="F6" s="348">
        <f ca="1">INDIRECT("'数据-取费表'!u"&amp;$G$1)</f>
        <v>6</v>
      </c>
      <c r="G6" s="1848"/>
      <c r="H6" s="1288" t="s">
        <v>1035</v>
      </c>
      <c r="I6" s="3214" t="s">
        <v>1403</v>
      </c>
      <c r="J6" s="346">
        <f ca="1">ROUND(M6*M8*M7*(1-M9)/10000,0)</f>
        <v>0</v>
      </c>
      <c r="K6" s="164" t="s">
        <v>3027</v>
      </c>
      <c r="L6" s="347" t="s">
        <v>1405</v>
      </c>
      <c r="M6" s="348">
        <f ca="1">INDIRECT("'数据-取费表'!z"&amp;$G$1)</f>
        <v>0</v>
      </c>
    </row>
    <row r="7" spans="1:37" ht="18" customHeight="1">
      <c r="A7" s="1292"/>
      <c r="B7" s="3215"/>
      <c r="C7" s="1294"/>
      <c r="D7" s="352"/>
      <c r="E7" s="1295" t="s">
        <v>1406</v>
      </c>
      <c r="F7" s="348">
        <f ca="1">IF(INDIRECT("'数据-取费表'!ah"&amp;$G$1)="",INDIRECT("'数据-取费表'!k"&amp;$G$1),INDIRECT("'数据-取费表'!ah"&amp;$G$1))</f>
        <v>50526.07</v>
      </c>
      <c r="G7" s="1848"/>
      <c r="H7" s="349"/>
      <c r="I7" s="3215"/>
      <c r="J7" s="351"/>
      <c r="K7" s="352"/>
      <c r="L7" s="347" t="s">
        <v>1406</v>
      </c>
      <c r="M7" s="348">
        <f ca="1">F7</f>
        <v>50526.07</v>
      </c>
    </row>
    <row r="8" spans="1:37" ht="18" customHeight="1">
      <c r="A8" s="349"/>
      <c r="B8" s="3215"/>
      <c r="C8" s="351"/>
      <c r="D8" s="352"/>
      <c r="E8" s="347" t="s">
        <v>1407</v>
      </c>
      <c r="F8" s="348">
        <f ca="1">INDIRECT("'数据-取费表'!ai"&amp;$G$1)</f>
        <v>365</v>
      </c>
      <c r="G8" s="1848"/>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0.05</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13</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65510</v>
      </c>
      <c r="D13" s="1328" t="s">
        <v>1415</v>
      </c>
      <c r="E13" s="1328" t="s">
        <v>1416</v>
      </c>
      <c r="F13" s="1329">
        <f ca="1">INDIRECT("'数据-取费表'!y"&amp;$G$1)</f>
        <v>0.87</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49281</v>
      </c>
      <c r="D14" s="1797" t="s">
        <v>1418</v>
      </c>
      <c r="E14" s="1791"/>
      <c r="F14" s="364"/>
      <c r="G14" s="1848"/>
      <c r="H14" s="1198" t="s">
        <v>1035</v>
      </c>
      <c r="I14" s="347" t="s">
        <v>1419</v>
      </c>
      <c r="J14" s="24">
        <f ca="1">C29</f>
        <v>75299</v>
      </c>
      <c r="K14" s="15"/>
      <c r="L14" s="976"/>
      <c r="M14" s="977"/>
    </row>
    <row r="15" spans="1:37" s="1855" customFormat="1" ht="18" customHeight="1" thickBot="1">
      <c r="A15" s="1198" t="s">
        <v>1036</v>
      </c>
      <c r="B15" s="347" t="s">
        <v>1420</v>
      </c>
      <c r="C15" s="24">
        <f ca="1">ROUND(C14*F15,0)</f>
        <v>1478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1622</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643.29999999999995</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739</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53014</v>
      </c>
      <c r="D19" s="140" t="s">
        <v>1436</v>
      </c>
      <c r="E19" s="1815"/>
      <c r="F19" s="26"/>
      <c r="G19" s="1848"/>
      <c r="H19" s="1198" t="s">
        <v>1036</v>
      </c>
      <c r="I19" s="347" t="s">
        <v>1437</v>
      </c>
      <c r="J19" s="24">
        <f ca="1">IF(K19="按租金收入计税",ROUND(J5*M19,2),ROUND(C29*M19*0.7,2))</f>
        <v>632.51</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795</v>
      </c>
      <c r="D20" s="369" t="s">
        <v>1440</v>
      </c>
      <c r="E20" s="347" t="s">
        <v>1422</v>
      </c>
      <c r="F20" s="367">
        <f>'数据-取费表'!B37</f>
        <v>1.4999999999999999E-2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978.9</v>
      </c>
      <c r="K22" s="1795" t="s">
        <v>1450</v>
      </c>
      <c r="L22" s="347" t="s">
        <v>1422</v>
      </c>
      <c r="M22" s="374">
        <f ca="1">INDIRECT("'数据-取费表'!Ak"&amp;$G$1)</f>
        <v>1.2999999999999999E-2</v>
      </c>
    </row>
    <row r="23" spans="1:37" s="1855" customFormat="1" ht="18" customHeight="1">
      <c r="A23" s="1198" t="s">
        <v>1034</v>
      </c>
      <c r="B23" s="347" t="s">
        <v>1451</v>
      </c>
      <c r="C23" s="24">
        <f ca="1">IF('数据-取费表'!B22&lt;=1,ROUND(C19*F24*F23/2,0)+ROUND(C20*F24*F23/2,0),ROUND(C19*(POWER((1+F24),F23/2)-1),0)+ROUND(C20*(POWER((1+F24),F23/2)-1),0))</f>
        <v>2556</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-1622</v>
      </c>
      <c r="K25" s="1342" t="s">
        <v>1464</v>
      </c>
      <c r="L25" s="1343"/>
      <c r="M25" s="1344"/>
    </row>
    <row r="26" spans="1:37">
      <c r="A26" s="1198" t="s">
        <v>1034</v>
      </c>
      <c r="B26" s="347" t="s">
        <v>1465</v>
      </c>
      <c r="C26" s="24">
        <f ca="1">ROUND((C19+C20)*F26,0)</f>
        <v>13452</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3.8E-3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75299</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3018</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1835.1</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561.33000000000004</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1263</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978.9</v>
      </c>
      <c r="D36" s="1795" t="s">
        <v>1482</v>
      </c>
      <c r="E36" s="347" t="s">
        <v>1422</v>
      </c>
      <c r="F36" s="374">
        <f ca="1">INDIRECT("'数据-取费表'!Ak"&amp;$G$1)</f>
        <v>1.2999999999999999E-2</v>
      </c>
      <c r="G36" s="1848"/>
      <c r="H36" s="1856"/>
      <c r="I36" s="1857"/>
      <c r="J36" s="1858"/>
      <c r="K36" s="751"/>
      <c r="L36" s="1856"/>
      <c r="M36" s="1856"/>
    </row>
    <row r="37" spans="1:18" ht="18" customHeight="1">
      <c r="A37" s="1198" t="s">
        <v>1075</v>
      </c>
      <c r="B37" s="347" t="s">
        <v>1453</v>
      </c>
      <c r="C37" s="24">
        <f ca="1">ROUND(C13*F37,1)</f>
        <v>98.3</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105.3</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7507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173425</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34324</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-288520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173425</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75299</v>
      </c>
      <c r="R49" s="1883" t="s">
        <v>1529</v>
      </c>
    </row>
    <row r="50" spans="1:18" s="1839" customFormat="1" ht="13.8"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37472</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217" t="s">
        <v>1548</v>
      </c>
      <c r="L53" s="3218"/>
      <c r="O53" s="1881" t="s">
        <v>1046</v>
      </c>
      <c r="P53" s="1882" t="s">
        <v>1549</v>
      </c>
      <c r="Q53" s="1883">
        <f ca="1">Q47+Q48</f>
        <v>173425</v>
      </c>
      <c r="R53" s="1883" t="s">
        <v>1047</v>
      </c>
    </row>
    <row r="54" spans="1:18" s="1839" customFormat="1" ht="24.6"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65510</v>
      </c>
      <c r="D56" s="1911"/>
      <c r="E56" s="1912"/>
      <c r="F56" s="1904"/>
      <c r="I56" s="1913" t="s">
        <v>1554</v>
      </c>
      <c r="J56" s="1914" t="s">
        <v>3059</v>
      </c>
      <c r="K56" s="1884" t="s">
        <v>1555</v>
      </c>
      <c r="L56" s="1887" t="str">
        <f ca="1">IF(L48&lt;J51,"——",L48-J53)</f>
        <v>——</v>
      </c>
      <c r="O56" s="1881" t="s">
        <v>1040</v>
      </c>
      <c r="P56" s="1882" t="s">
        <v>1528</v>
      </c>
      <c r="Q56" s="1883">
        <f ca="1">C40+J29</f>
        <v>173425</v>
      </c>
      <c r="R56" s="1883" t="s">
        <v>1529</v>
      </c>
    </row>
    <row r="57" spans="1:18" s="1839" customFormat="1" ht="24.6" thickBot="1">
      <c r="A57" s="1915"/>
      <c r="B57" s="1166" t="s">
        <v>1478</v>
      </c>
      <c r="C57" s="282">
        <f ca="1">C29</f>
        <v>75299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7413</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6335.9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IF(项目基本情况!B11="自然人","——",IF(D61="按租金收入计税",ROUND(C48*F61,2),IF(D61="按房产原值计税",ROUND(C57*F61*0.7,2),INDIRECT("'数据-取费表'!Aj"&amp;$G$1))))</f>
        <v>6325.12</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173425</v>
      </c>
      <c r="R62" s="1883" t="s">
        <v>1047</v>
      </c>
    </row>
    <row r="63" spans="1:18" s="1839" customFormat="1" ht="13.8"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ROUND(C57*F64,1)</f>
        <v>978.9</v>
      </c>
      <c r="D64" s="1180" t="s">
        <v>1502</v>
      </c>
      <c r="E64" s="1166" t="s">
        <v>1494</v>
      </c>
      <c r="F64" s="374">
        <f t="shared" ca="1" si="0"/>
        <v>1.2999999999999999E-2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98.3</v>
      </c>
      <c r="D65" s="1180" t="s">
        <v>1454</v>
      </c>
      <c r="E65" s="1166" t="s">
        <v>1455</v>
      </c>
      <c r="F65" s="376">
        <f t="shared" ca="1" si="0"/>
        <v>1.5E-3</v>
      </c>
      <c r="I65" s="1926" t="s">
        <v>1579</v>
      </c>
      <c r="J65" s="1927">
        <v>40</v>
      </c>
      <c r="K65" s="1927">
        <v>30</v>
      </c>
      <c r="L65" s="1927">
        <v>50</v>
      </c>
      <c r="M65" s="1929">
        <v>0.02</v>
      </c>
      <c r="O65" s="1881" t="s">
        <v>1040</v>
      </c>
      <c r="P65" s="1882" t="s">
        <v>1580</v>
      </c>
      <c r="Q65" s="1883">
        <f ca="1">C40+J29</f>
        <v>173425</v>
      </c>
      <c r="R65" s="1883" t="s">
        <v>1529</v>
      </c>
    </row>
    <row r="66" spans="1:18" s="1839" customFormat="1" ht="16.2"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-7413</v>
      </c>
      <c r="D67" s="1179" t="s">
        <v>1464</v>
      </c>
      <c r="E67" s="1184"/>
      <c r="F67" s="1185"/>
      <c r="O67" s="1891" t="s">
        <v>1042</v>
      </c>
      <c r="P67" s="1882" t="s">
        <v>1562</v>
      </c>
      <c r="Q67" s="1930">
        <f ca="1">L51</f>
        <v>37472</v>
      </c>
      <c r="R67" s="1883" t="s">
        <v>1582</v>
      </c>
    </row>
    <row r="68" spans="1:18" s="1839" customFormat="1" ht="16.2" thickBot="1">
      <c r="A68" s="1163" t="s">
        <v>1032</v>
      </c>
      <c r="B68" s="1164" t="s">
        <v>1485</v>
      </c>
      <c r="C68" s="346">
        <f ca="1">ROUND(C67*(1-((1+F70)/(1+F68))^F69)/(F68-F70),0)</f>
        <v>-115095</v>
      </c>
      <c r="D68" s="1181" t="s">
        <v>1469</v>
      </c>
      <c r="E68" s="1166" t="s">
        <v>1470</v>
      </c>
      <c r="F68" s="357">
        <f ca="1">F40</f>
        <v>5.5E-2</v>
      </c>
      <c r="O68" s="1891" t="s">
        <v>1043</v>
      </c>
      <c r="P68" s="1931" t="s">
        <v>1583</v>
      </c>
      <c r="Q68" s="1883">
        <f ca="1">ROUND(Q69-Q70*Q71,0)</f>
        <v>2266</v>
      </c>
      <c r="R68" s="1883" t="s">
        <v>1051</v>
      </c>
    </row>
    <row r="69" spans="1:18" s="1839" customFormat="1" ht="13.8" thickBot="1">
      <c r="A69" s="1167"/>
      <c r="B69" s="1168"/>
      <c r="C69" s="351"/>
      <c r="D69" s="1186" t="s">
        <v>1473</v>
      </c>
      <c r="E69" s="1166" t="s">
        <v>1474</v>
      </c>
      <c r="F69" s="379">
        <f ca="1">F41</f>
        <v>35.93</v>
      </c>
      <c r="O69" s="1891" t="s">
        <v>1048</v>
      </c>
      <c r="P69" s="1931" t="s">
        <v>1584</v>
      </c>
      <c r="Q69" s="1883">
        <f ca="1">C39</f>
        <v>7507</v>
      </c>
      <c r="R69" s="1883" t="s">
        <v>1529</v>
      </c>
    </row>
    <row r="70" spans="1:18" s="1839" customFormat="1" ht="13.8" thickBot="1">
      <c r="A70" s="1170"/>
      <c r="B70" s="1171"/>
      <c r="C70" s="355"/>
      <c r="D70" s="1182"/>
      <c r="E70" s="1166" t="s">
        <v>1477</v>
      </c>
      <c r="F70" s="1272"/>
      <c r="O70" s="1891" t="s">
        <v>1049</v>
      </c>
      <c r="P70" s="1931" t="s">
        <v>1585</v>
      </c>
      <c r="Q70" s="1883">
        <f ca="1">C13</f>
        <v>65510</v>
      </c>
      <c r="R70" s="1883" t="s">
        <v>1529</v>
      </c>
    </row>
    <row r="71" spans="1:18" s="1839" customFormat="1" ht="13.8" thickBot="1">
      <c r="A71" s="1187" t="s">
        <v>1033</v>
      </c>
      <c r="B71" s="1188" t="s">
        <v>1487</v>
      </c>
      <c r="C71" s="382">
        <f ca="1">ROUND(C68*10000/F71,0)</f>
        <v>-22779</v>
      </c>
      <c r="D71" s="1189" t="s">
        <v>1488</v>
      </c>
      <c r="E71" s="1190" t="s">
        <v>1489</v>
      </c>
      <c r="F71" s="385">
        <f ca="1">F43</f>
        <v>50526.07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5241</v>
      </c>
      <c r="D75" s="1839"/>
      <c r="E75" s="1839"/>
      <c r="F75" s="1839"/>
      <c r="K75" s="1865"/>
      <c r="L75" s="1839"/>
      <c r="O75" s="1881" t="s">
        <v>1046</v>
      </c>
      <c r="P75" s="1882" t="s">
        <v>1549</v>
      </c>
      <c r="Q75" s="1883">
        <f ca="1">Q65+Q66</f>
        <v>173425</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0.30200000000000005</v>
      </c>
    </row>
    <row r="80" spans="1:18">
      <c r="B80" s="386" t="s">
        <v>1511</v>
      </c>
      <c r="C80" s="318">
        <f ca="1">ROUND(C75/C39,3)</f>
        <v>0.69799999999999995</v>
      </c>
    </row>
    <row r="81" spans="2:3">
      <c r="B81" s="314" t="s">
        <v>1512</v>
      </c>
      <c r="C81" s="282"/>
    </row>
    <row r="82" spans="2:3">
      <c r="B82" s="317" t="s">
        <v>1513</v>
      </c>
      <c r="C82" s="319">
        <f ca="1">1-C83</f>
        <v>0.622</v>
      </c>
    </row>
    <row r="83" spans="2:3">
      <c r="B83" s="317" t="s">
        <v>1514</v>
      </c>
      <c r="C83" s="318">
        <f ca="1">ROUND(C13/C40,3)</f>
        <v>0.378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214" t="s">
        <v>1403</v>
      </c>
      <c r="C6" s="1293">
        <f ca="1">ROUND(F6*F8*F7*(1-F9),0)</f>
        <v>0</v>
      </c>
      <c r="D6" s="164" t="s">
        <v>3025</v>
      </c>
      <c r="E6" s="347" t="s">
        <v>1405</v>
      </c>
      <c r="F6" s="348">
        <f ca="1">INDIRECT("'数据-取费表'!u"&amp;$G$1)</f>
        <v>0</v>
      </c>
      <c r="G6" s="1848"/>
      <c r="H6" s="1288" t="s">
        <v>1035</v>
      </c>
      <c r="I6" s="3214" t="s">
        <v>1403</v>
      </c>
      <c r="J6" s="346">
        <f ca="1">ROUND(M6*M8*M7*(1-M9),0)</f>
        <v>0</v>
      </c>
      <c r="K6" s="1831" t="s">
        <v>3026</v>
      </c>
      <c r="L6" s="347" t="s">
        <v>1405</v>
      </c>
      <c r="M6" s="348">
        <f ca="1">INDIRECT("'数据-取费表'!z"&amp;$G$1)</f>
        <v>0</v>
      </c>
    </row>
    <row r="7" spans="1:37" ht="18" customHeight="1">
      <c r="A7" s="1292"/>
      <c r="B7" s="3215"/>
      <c r="C7" s="1294"/>
      <c r="D7" s="352"/>
      <c r="E7" s="1295" t="s">
        <v>1406</v>
      </c>
      <c r="F7" s="348">
        <f ca="1">IF(INDIRECT("'数据-取费表'!ah"&amp;$G$1)="",INDIRECT("'数据-取费表'!k"&amp;$G$1),INDIRECT("'数据-取费表'!ah"&amp;$G$1))</f>
        <v>0</v>
      </c>
      <c r="G7" s="1848"/>
      <c r="H7" s="349"/>
      <c r="I7" s="3215"/>
      <c r="J7" s="351"/>
      <c r="K7" s="352"/>
      <c r="L7" s="347" t="s">
        <v>1406</v>
      </c>
      <c r="M7" s="348">
        <f ca="1">F7</f>
        <v>0</v>
      </c>
    </row>
    <row r="8" spans="1:37" ht="18" customHeight="1">
      <c r="A8" s="349"/>
      <c r="B8" s="3215"/>
      <c r="C8" s="351"/>
      <c r="D8" s="352"/>
      <c r="E8" s="347" t="s">
        <v>1407</v>
      </c>
      <c r="F8" s="348">
        <f ca="1">INDIRECT("'数据-取费表'!ai"&amp;$G$1)</f>
        <v>0</v>
      </c>
      <c r="G8" s="1848"/>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8"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8"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8"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8"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8"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17" t="s">
        <v>1548</v>
      </c>
      <c r="L53" s="3218"/>
      <c r="O53" s="1881" t="s">
        <v>1046</v>
      </c>
      <c r="P53" s="1882" t="s">
        <v>1549</v>
      </c>
      <c r="Q53" s="1883" t="e">
        <f ca="1">Q47+Q48</f>
        <v>#DIV/0!</v>
      </c>
      <c r="R53" s="1883" t="s">
        <v>1047</v>
      </c>
    </row>
    <row r="54" spans="1:18" s="1839" customFormat="1" ht="13.8"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6"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8"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8"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2"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f ca="1">F42</f>
        <v>0</v>
      </c>
      <c r="O70" s="1891" t="s">
        <v>1049</v>
      </c>
      <c r="P70" s="1931" t="s">
        <v>1585</v>
      </c>
      <c r="Q70" s="1883">
        <f ca="1">C13</f>
        <v>0</v>
      </c>
      <c r="R70" s="1883" t="s">
        <v>1529</v>
      </c>
    </row>
    <row r="71" spans="1:18" s="1839" customFormat="1" ht="13.8"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2522</v>
      </c>
      <c r="B1" s="2557"/>
      <c r="C1" s="2557"/>
      <c r="D1" s="2557"/>
      <c r="E1" s="2558"/>
    </row>
    <row r="2" spans="1:6" ht="15.6">
      <c r="A2" s="2559" t="s">
        <v>2323</v>
      </c>
      <c r="B2" s="2560">
        <f ca="1">SUMIF(B6:B13,"&lt;&gt;#ref!",B6:B13)</f>
        <v>173425</v>
      </c>
      <c r="C2" s="2561" t="s">
        <v>2515</v>
      </c>
      <c r="D2" s="2562" t="s">
        <v>2516</v>
      </c>
      <c r="E2" s="2563">
        <f>SUM(E6:E13)</f>
        <v>75816.33</v>
      </c>
    </row>
    <row r="3" spans="1:6" ht="15.6">
      <c r="A3" s="2559" t="s">
        <v>1395</v>
      </c>
      <c r="B3" s="2560">
        <f ca="1">ROUND(B2*10000/E2,0)</f>
        <v>22874</v>
      </c>
      <c r="C3" s="2561" t="s">
        <v>2523</v>
      </c>
      <c r="D3" s="2564"/>
      <c r="E3" s="2565"/>
    </row>
    <row r="4" spans="1:6" ht="15.6">
      <c r="A4" s="2566"/>
      <c r="B4" s="2564"/>
      <c r="C4" s="2564"/>
      <c r="D4" s="2564"/>
      <c r="E4" s="2565"/>
    </row>
    <row r="5" spans="1:6" ht="14.4">
      <c r="A5" s="2567" t="s">
        <v>2517</v>
      </c>
      <c r="B5" s="3219" t="s">
        <v>2518</v>
      </c>
      <c r="C5" s="3219"/>
      <c r="D5" s="2568"/>
      <c r="E5" s="2569" t="s">
        <v>2519</v>
      </c>
      <c r="F5" s="2570" t="s">
        <v>2520</v>
      </c>
    </row>
    <row r="6" spans="1:6" ht="14.4">
      <c r="A6" s="2571" t="str">
        <f>'数据-取费表'!AN6</f>
        <v>收益法-自用</v>
      </c>
      <c r="B6" s="2570">
        <f ca="1">IF(F6="是",'数据-取费表'!AO6,0)</f>
        <v>173425</v>
      </c>
      <c r="C6" s="2561" t="s">
        <v>2515</v>
      </c>
      <c r="D6" s="2564"/>
      <c r="E6" s="2572">
        <f>IF(OR(A6=0,F6="否"),0,'数据-取费表'!K6+'数据-取费表'!S6)</f>
        <v>75816.33</v>
      </c>
      <c r="F6" s="2573" t="s">
        <v>2521</v>
      </c>
    </row>
    <row r="7" spans="1:6" ht="14.4">
      <c r="A7" s="2571">
        <f>'数据-取费表'!AN7</f>
        <v>0</v>
      </c>
      <c r="B7" s="2570" t="e">
        <f ca="1">IF(F7="是",'数据-取费表'!AO7,0)</f>
        <v>#REF!</v>
      </c>
      <c r="C7" s="2561" t="s">
        <v>2515</v>
      </c>
      <c r="D7" s="2564"/>
      <c r="E7" s="2572">
        <f>IF(OR(A7=0,F7="否"),0,'数据-取费表'!K7+'数据-取费表'!S7)</f>
        <v>0</v>
      </c>
      <c r="F7" s="2573" t="s">
        <v>2521</v>
      </c>
    </row>
    <row r="8" spans="1:6" ht="14.4">
      <c r="A8" s="2571">
        <f>'数据-取费表'!AN8</f>
        <v>0</v>
      </c>
      <c r="B8" s="2570" t="e">
        <f ca="1">IF(F8="是",'数据-取费表'!AO8,0)</f>
        <v>#REF!</v>
      </c>
      <c r="C8" s="2561" t="s">
        <v>2515</v>
      </c>
      <c r="D8" s="2564"/>
      <c r="E8" s="2572">
        <f>IF(OR(A8=0,F8="否"),0,'数据-取费表'!K8+'数据-取费表'!S8)</f>
        <v>0</v>
      </c>
      <c r="F8" s="2573" t="s">
        <v>2521</v>
      </c>
    </row>
    <row r="9" spans="1:6" ht="14.4">
      <c r="A9" s="2571">
        <f>'数据-取费表'!AN9</f>
        <v>0</v>
      </c>
      <c r="B9" s="2570" t="e">
        <f ca="1">IF(F9="是",'数据-取费表'!AO9,0)</f>
        <v>#REF!</v>
      </c>
      <c r="C9" s="2561" t="s">
        <v>2515</v>
      </c>
      <c r="D9" s="2564"/>
      <c r="E9" s="2572">
        <f>IF(OR(A9=0,F9="否"),0,'数据-取费表'!K9+'数据-取费表'!S9)</f>
        <v>0</v>
      </c>
      <c r="F9" s="2573" t="s">
        <v>2521</v>
      </c>
    </row>
    <row r="10" spans="1:6" ht="14.4">
      <c r="A10" s="2571">
        <f>'数据-取费表'!AN10</f>
        <v>0</v>
      </c>
      <c r="B10" s="2570" t="e">
        <f ca="1">IF(F10="是",'数据-取费表'!AO10,0)</f>
        <v>#REF!</v>
      </c>
      <c r="C10" s="2561" t="s">
        <v>2515</v>
      </c>
      <c r="D10" s="2564"/>
      <c r="E10" s="2572">
        <f>IF(OR(A10=0,F10="否"),0,'数据-取费表'!K10+'数据-取费表'!S10)</f>
        <v>0</v>
      </c>
      <c r="F10" s="2573" t="s">
        <v>2521</v>
      </c>
    </row>
    <row r="11" spans="1:6" ht="14.4">
      <c r="A11" s="2571">
        <f>'数据-取费表'!AN11</f>
        <v>0</v>
      </c>
      <c r="B11" s="2570" t="e">
        <f ca="1">IF(F11="是",'数据-取费表'!AO11,0)</f>
        <v>#REF!</v>
      </c>
      <c r="C11" s="2561" t="s">
        <v>2515</v>
      </c>
      <c r="D11" s="2564"/>
      <c r="E11" s="2572">
        <f>IF(OR(A11=0,F11="否"),0,'数据-取费表'!K11+'数据-取费表'!S11)</f>
        <v>0</v>
      </c>
      <c r="F11" s="2573" t="s">
        <v>2521</v>
      </c>
    </row>
    <row r="12" spans="1:6" ht="14.4">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36" t="s">
        <v>1076</v>
      </c>
      <c r="B1" s="3237"/>
      <c r="C1" s="3238"/>
      <c r="D1" s="3239">
        <f>SUM(I10,I15,I20,I21,I23)</f>
        <v>0</v>
      </c>
      <c r="E1" s="3239"/>
      <c r="F1" s="3239"/>
      <c r="G1" s="3239"/>
      <c r="H1" s="3239"/>
      <c r="I1" s="3240"/>
    </row>
    <row r="2" spans="1:9">
      <c r="A2" s="3226" t="s">
        <v>1077</v>
      </c>
      <c r="B2" s="3227" t="s">
        <v>1078</v>
      </c>
      <c r="C2" s="3227"/>
      <c r="D2" s="1298" t="s">
        <v>1079</v>
      </c>
      <c r="E2" s="1298" t="s">
        <v>1080</v>
      </c>
      <c r="F2" s="1298" t="s">
        <v>1081</v>
      </c>
      <c r="G2" s="1298" t="s">
        <v>1082</v>
      </c>
      <c r="H2" s="1298" t="s">
        <v>1083</v>
      </c>
      <c r="I2" s="1299" t="s">
        <v>1084</v>
      </c>
    </row>
    <row r="3" spans="1:9">
      <c r="A3" s="3226"/>
      <c r="B3" s="3227" t="s">
        <v>1085</v>
      </c>
      <c r="C3" s="3227"/>
      <c r="D3" s="1300"/>
      <c r="E3" s="1298"/>
      <c r="F3" s="1301"/>
      <c r="G3" s="1301"/>
      <c r="H3" s="1302"/>
      <c r="I3" s="1303">
        <f>ROUND(D3*E3*F3*G3*H3/10000,0)</f>
        <v>0</v>
      </c>
    </row>
    <row r="4" spans="1:9">
      <c r="A4" s="3226"/>
      <c r="B4" s="3227" t="s">
        <v>1086</v>
      </c>
      <c r="C4" s="3227"/>
      <c r="D4" s="1300"/>
      <c r="E4" s="1298"/>
      <c r="F4" s="1301"/>
      <c r="G4" s="1301"/>
      <c r="H4" s="1302"/>
      <c r="I4" s="1303">
        <f t="shared" ref="I4:I9" si="0">ROUND(D4*E4*F4*G4*H4/10000,0)</f>
        <v>0</v>
      </c>
    </row>
    <row r="5" spans="1:9">
      <c r="A5" s="3226"/>
      <c r="B5" s="3227" t="s">
        <v>1087</v>
      </c>
      <c r="C5" s="3227"/>
      <c r="D5" s="1300"/>
      <c r="E5" s="1298"/>
      <c r="F5" s="1301"/>
      <c r="G5" s="1301"/>
      <c r="H5" s="1302"/>
      <c r="I5" s="1303">
        <f t="shared" si="0"/>
        <v>0</v>
      </c>
    </row>
    <row r="6" spans="1:9">
      <c r="A6" s="3226"/>
      <c r="B6" s="3227" t="s">
        <v>1088</v>
      </c>
      <c r="C6" s="3227"/>
      <c r="D6" s="1300"/>
      <c r="E6" s="1298"/>
      <c r="F6" s="1301"/>
      <c r="G6" s="1301"/>
      <c r="H6" s="1302"/>
      <c r="I6" s="1303">
        <f t="shared" si="0"/>
        <v>0</v>
      </c>
    </row>
    <row r="7" spans="1:9">
      <c r="A7" s="3226"/>
      <c r="B7" s="3227" t="s">
        <v>1089</v>
      </c>
      <c r="C7" s="3227"/>
      <c r="D7" s="1300"/>
      <c r="E7" s="1298"/>
      <c r="F7" s="1301"/>
      <c r="G7" s="1301"/>
      <c r="H7" s="1302"/>
      <c r="I7" s="1303">
        <f t="shared" si="0"/>
        <v>0</v>
      </c>
    </row>
    <row r="8" spans="1:9">
      <c r="A8" s="3226"/>
      <c r="B8" s="3227" t="s">
        <v>1090</v>
      </c>
      <c r="C8" s="3227"/>
      <c r="D8" s="1300"/>
      <c r="E8" s="1298"/>
      <c r="F8" s="1301"/>
      <c r="G8" s="1301"/>
      <c r="H8" s="1302"/>
      <c r="I8" s="1303">
        <f t="shared" si="0"/>
        <v>0</v>
      </c>
    </row>
    <row r="9" spans="1:9">
      <c r="A9" s="3226"/>
      <c r="B9" s="3227" t="s">
        <v>1091</v>
      </c>
      <c r="C9" s="3227"/>
      <c r="D9" s="1300"/>
      <c r="E9" s="1298"/>
      <c r="F9" s="1301"/>
      <c r="G9" s="1301"/>
      <c r="H9" s="1302"/>
      <c r="I9" s="1303">
        <f t="shared" si="0"/>
        <v>0</v>
      </c>
    </row>
    <row r="10" spans="1:9">
      <c r="A10" s="3226"/>
      <c r="B10" s="3228" t="s">
        <v>1092</v>
      </c>
      <c r="C10" s="3228"/>
      <c r="D10" s="1304"/>
      <c r="E10" s="1304" t="e">
        <f>ROUND(D1*10000/D10/H9,0)</f>
        <v>#DIV/0!</v>
      </c>
      <c r="F10" s="1305"/>
      <c r="G10" s="1305"/>
      <c r="H10" s="1306"/>
      <c r="I10" s="1307">
        <f>SUM(I3:I9)</f>
        <v>0</v>
      </c>
    </row>
    <row r="11" spans="1:9" ht="15.6">
      <c r="A11" s="3226" t="s">
        <v>1093</v>
      </c>
      <c r="B11" s="3227" t="s">
        <v>1094</v>
      </c>
      <c r="C11" s="3227"/>
      <c r="D11" s="1300" t="s">
        <v>1095</v>
      </c>
      <c r="E11" s="1300" t="s">
        <v>1096</v>
      </c>
      <c r="F11" s="1301" t="s">
        <v>1097</v>
      </c>
      <c r="G11" s="1301" t="s">
        <v>1083</v>
      </c>
      <c r="H11" s="1308" t="s">
        <v>1098</v>
      </c>
      <c r="I11" s="1299" t="s">
        <v>1084</v>
      </c>
    </row>
    <row r="12" spans="1:9">
      <c r="A12" s="3226"/>
      <c r="B12" s="3227" t="s">
        <v>1099</v>
      </c>
      <c r="C12" s="3227"/>
      <c r="D12" s="1300"/>
      <c r="E12" s="1300"/>
      <c r="F12" s="1301"/>
      <c r="G12" s="1302"/>
      <c r="H12" s="1309"/>
      <c r="I12" s="1299">
        <f>ROUND(D12*E12*F12*G12/10000,0)</f>
        <v>0</v>
      </c>
    </row>
    <row r="13" spans="1:9">
      <c r="A13" s="3226"/>
      <c r="B13" s="3227" t="s">
        <v>1100</v>
      </c>
      <c r="C13" s="3227"/>
      <c r="D13" s="1300"/>
      <c r="E13" s="1300"/>
      <c r="F13" s="1301"/>
      <c r="G13" s="1302"/>
      <c r="H13" s="1309"/>
      <c r="I13" s="1299">
        <f>ROUND(D13*E13*F13*G13/10000,0)</f>
        <v>0</v>
      </c>
    </row>
    <row r="14" spans="1:9">
      <c r="A14" s="3226"/>
      <c r="B14" s="3227" t="s">
        <v>1101</v>
      </c>
      <c r="C14" s="3227"/>
      <c r="D14" s="1300"/>
      <c r="E14" s="1300"/>
      <c r="F14" s="1301"/>
      <c r="G14" s="1302"/>
      <c r="H14" s="1309"/>
      <c r="I14" s="1299">
        <f>ROUND(D14*E14*F14*G14/10000,0)</f>
        <v>0</v>
      </c>
    </row>
    <row r="15" spans="1:9">
      <c r="A15" s="3226"/>
      <c r="B15" s="3228" t="s">
        <v>1092</v>
      </c>
      <c r="C15" s="3228"/>
      <c r="D15" s="1304"/>
      <c r="E15" s="1304">
        <f>SUM(E12:E14)</f>
        <v>0</v>
      </c>
      <c r="F15" s="1305"/>
      <c r="G15" s="1302"/>
      <c r="H15" s="1309"/>
      <c r="I15" s="1310">
        <f>SUM(I12:I14)</f>
        <v>0</v>
      </c>
    </row>
    <row r="16" spans="1:9" ht="24">
      <c r="A16" s="3226" t="s">
        <v>1102</v>
      </c>
      <c r="B16" s="3227" t="s">
        <v>1103</v>
      </c>
      <c r="C16" s="3227"/>
      <c r="D16" s="1300" t="s">
        <v>1079</v>
      </c>
      <c r="E16" s="1311" t="s">
        <v>1104</v>
      </c>
      <c r="F16" s="1301" t="s">
        <v>1105</v>
      </c>
      <c r="G16" s="1302" t="s">
        <v>1083</v>
      </c>
      <c r="H16" s="1308" t="s">
        <v>1098</v>
      </c>
      <c r="I16" s="1299" t="s">
        <v>1084</v>
      </c>
    </row>
    <row r="17" spans="1:9" ht="15.6">
      <c r="A17" s="3226"/>
      <c r="B17" s="3227" t="s">
        <v>1106</v>
      </c>
      <c r="C17" s="3227"/>
      <c r="D17" s="1300"/>
      <c r="E17" s="1300"/>
      <c r="F17" s="1301"/>
      <c r="G17" s="1302"/>
      <c r="H17" s="1312"/>
      <c r="I17" s="1313">
        <f>ROUND(D17*E17*F17*G17/10000,0)</f>
        <v>0</v>
      </c>
    </row>
    <row r="18" spans="1:9" ht="15.6">
      <c r="A18" s="3226"/>
      <c r="B18" s="3227" t="s">
        <v>1107</v>
      </c>
      <c r="C18" s="3227"/>
      <c r="D18" s="1300"/>
      <c r="E18" s="1300"/>
      <c r="F18" s="1301"/>
      <c r="G18" s="1302"/>
      <c r="H18" s="1312"/>
      <c r="I18" s="1313">
        <f>ROUND(D18*E18*F18*G18/10000,0)</f>
        <v>0</v>
      </c>
    </row>
    <row r="19" spans="1:9" ht="15.6">
      <c r="A19" s="3226"/>
      <c r="B19" s="3227" t="s">
        <v>1108</v>
      </c>
      <c r="C19" s="3227"/>
      <c r="D19" s="1300"/>
      <c r="E19" s="1300"/>
      <c r="F19" s="1301"/>
      <c r="G19" s="1302"/>
      <c r="H19" s="1312"/>
      <c r="I19" s="1313">
        <f>ROUND(D19*E19*F19*G19/10000,0)</f>
        <v>0</v>
      </c>
    </row>
    <row r="20" spans="1:9">
      <c r="A20" s="3226"/>
      <c r="B20" s="3228" t="s">
        <v>1092</v>
      </c>
      <c r="C20" s="3228"/>
      <c r="D20" s="1304">
        <f>SUM(D17:D19)</f>
        <v>0</v>
      </c>
      <c r="E20" s="1304"/>
      <c r="F20" s="1305"/>
      <c r="G20" s="1302"/>
      <c r="H20" s="1309"/>
      <c r="I20" s="1310">
        <f>SUM(I17:I19)</f>
        <v>0</v>
      </c>
    </row>
    <row r="21" spans="1:9">
      <c r="A21" s="3226" t="s">
        <v>1109</v>
      </c>
      <c r="B21" s="3229"/>
      <c r="C21" s="3229"/>
      <c r="D21" s="3229"/>
      <c r="E21" s="3229"/>
      <c r="F21" s="3229"/>
      <c r="G21" s="3229"/>
      <c r="H21" s="1762">
        <v>0.1</v>
      </c>
      <c r="I21" s="1307">
        <f>ROUND(I10*H21,0)</f>
        <v>0</v>
      </c>
    </row>
    <row r="22" spans="1:9" ht="15.6">
      <c r="A22" s="3230" t="s">
        <v>1110</v>
      </c>
      <c r="B22" s="3231"/>
      <c r="C22" s="3232"/>
      <c r="D22" s="1314" t="s">
        <v>1111</v>
      </c>
      <c r="E22" s="1314" t="s">
        <v>1112</v>
      </c>
      <c r="F22" s="1315" t="s">
        <v>1113</v>
      </c>
      <c r="G22" s="1315" t="s">
        <v>1114</v>
      </c>
      <c r="H22" s="1308" t="s">
        <v>1115</v>
      </c>
      <c r="I22" s="1299" t="s">
        <v>1116</v>
      </c>
    </row>
    <row r="23" spans="1:9" ht="15" thickBot="1">
      <c r="A23" s="3233"/>
      <c r="B23" s="3234"/>
      <c r="C23" s="3235"/>
      <c r="D23" s="1316"/>
      <c r="E23" s="1316"/>
      <c r="F23" s="1316"/>
      <c r="G23" s="1317"/>
      <c r="H23" s="1318"/>
      <c r="I23" s="1319">
        <f>ROUND(E23*D23*F23*(1-G23)/10000,0)</f>
        <v>0</v>
      </c>
    </row>
    <row r="26" spans="1:9">
      <c r="A26" s="1320" t="s">
        <v>1117</v>
      </c>
      <c r="B26" s="1320"/>
      <c r="C26" s="1320"/>
      <c r="D26" s="1320"/>
      <c r="E26" s="3223">
        <f>C27-C30-C31-C32</f>
        <v>0</v>
      </c>
      <c r="F26" s="3223"/>
      <c r="G26" s="3223"/>
      <c r="H26" s="1734" t="s">
        <v>1340</v>
      </c>
    </row>
    <row r="27" spans="1:9">
      <c r="A27" s="1321">
        <v>1</v>
      </c>
      <c r="B27" s="1322" t="s">
        <v>1118</v>
      </c>
      <c r="C27" s="1322">
        <f>C28+C29</f>
        <v>0</v>
      </c>
      <c r="D27" s="1322"/>
      <c r="E27" s="3224"/>
      <c r="F27" s="3224"/>
      <c r="G27" s="3224"/>
    </row>
    <row r="28" spans="1:9">
      <c r="A28" s="1323" t="s">
        <v>1119</v>
      </c>
      <c r="B28" s="1322" t="s">
        <v>1120</v>
      </c>
      <c r="C28" s="1322"/>
      <c r="D28" s="1322"/>
      <c r="E28" s="3224"/>
      <c r="F28" s="3224"/>
      <c r="G28" s="3224"/>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25"/>
      <c r="F32" s="3225"/>
      <c r="G32" s="3225"/>
    </row>
    <row r="33" spans="1:7" hidden="1">
      <c r="A33" s="3220" t="s">
        <v>1129</v>
      </c>
      <c r="B33" s="3221"/>
      <c r="C33" s="3221"/>
      <c r="D33" s="3222"/>
      <c r="E33" s="3223"/>
      <c r="F33" s="3223"/>
      <c r="G33" s="3223"/>
    </row>
    <row r="34" spans="1:7" hidden="1">
      <c r="A34" s="1325">
        <v>1</v>
      </c>
      <c r="B34" s="1322" t="s">
        <v>1130</v>
      </c>
      <c r="C34" s="1322"/>
      <c r="D34" s="1322"/>
      <c r="E34" s="3224"/>
      <c r="F34" s="3224"/>
      <c r="G34" s="3224"/>
    </row>
    <row r="35" spans="1:7" hidden="1">
      <c r="A35" s="1325">
        <v>2</v>
      </c>
      <c r="B35" s="1322" t="s">
        <v>1131</v>
      </c>
      <c r="C35" s="1322"/>
      <c r="D35" s="1322"/>
      <c r="E35" s="3224"/>
      <c r="F35" s="3224"/>
      <c r="G35" s="3224"/>
    </row>
    <row r="36" spans="1:7" hidden="1">
      <c r="A36" s="1325">
        <v>3</v>
      </c>
      <c r="B36" s="1322" t="s">
        <v>1132</v>
      </c>
      <c r="C36" s="1322"/>
      <c r="D36" s="1322"/>
      <c r="E36" s="3224"/>
      <c r="F36" s="3224"/>
      <c r="G36" s="3224"/>
    </row>
    <row r="37" spans="1:7" hidden="1">
      <c r="A37" s="1325">
        <v>4</v>
      </c>
      <c r="B37" s="1322" t="s">
        <v>1133</v>
      </c>
      <c r="C37" s="1322"/>
      <c r="D37" s="1322"/>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2531</v>
      </c>
      <c r="B4" s="402"/>
      <c r="C4" s="3259" t="s">
        <v>2532</v>
      </c>
      <c r="D4" s="3260"/>
      <c r="E4" s="3261" t="s">
        <v>2533</v>
      </c>
      <c r="F4" s="3262"/>
      <c r="G4" s="3259" t="s">
        <v>2534</v>
      </c>
      <c r="H4" s="3260"/>
      <c r="I4" s="3259" t="s">
        <v>2535</v>
      </c>
      <c r="J4" s="3260"/>
      <c r="K4" s="2591" t="s">
        <v>2536</v>
      </c>
      <c r="L4" s="1127"/>
      <c r="M4" s="1128"/>
      <c r="N4" s="1128"/>
      <c r="O4" s="1128"/>
      <c r="P4" s="3263" t="s">
        <v>2537</v>
      </c>
      <c r="Q4" s="3264"/>
      <c r="R4" s="3269" t="s">
        <v>2533</v>
      </c>
      <c r="S4" s="3270"/>
      <c r="T4" s="3269" t="s">
        <v>2534</v>
      </c>
      <c r="U4" s="3270"/>
      <c r="V4" s="3275" t="s">
        <v>2535</v>
      </c>
      <c r="W4" s="3275"/>
      <c r="X4" s="1810"/>
      <c r="Y4" s="3269" t="s">
        <v>2537</v>
      </c>
      <c r="Z4" s="3270"/>
      <c r="AA4" s="3256" t="s">
        <v>2533</v>
      </c>
      <c r="AB4" s="3256" t="s">
        <v>2534</v>
      </c>
      <c r="AC4" s="3256" t="s">
        <v>2535</v>
      </c>
    </row>
    <row r="5" spans="1:29">
      <c r="A5" s="404"/>
      <c r="B5" s="405"/>
      <c r="C5" s="3278" t="s">
        <v>2538</v>
      </c>
      <c r="D5" s="3279"/>
      <c r="E5" s="3285" t="s">
        <v>2539</v>
      </c>
      <c r="F5" s="3286"/>
      <c r="G5" s="3278" t="s">
        <v>2540</v>
      </c>
      <c r="H5" s="3279"/>
      <c r="I5" s="3278" t="s">
        <v>2541</v>
      </c>
      <c r="J5" s="3279"/>
      <c r="K5" s="2592"/>
      <c r="L5" s="1127"/>
      <c r="M5" s="1128"/>
      <c r="N5" s="1128"/>
      <c r="O5" s="1128"/>
      <c r="P5" s="3265"/>
      <c r="Q5" s="3266"/>
      <c r="R5" s="3271"/>
      <c r="S5" s="3272"/>
      <c r="T5" s="3271"/>
      <c r="U5" s="3272"/>
      <c r="V5" s="3275"/>
      <c r="W5" s="3275"/>
      <c r="X5" s="1810"/>
      <c r="Y5" s="3271"/>
      <c r="Z5" s="3272"/>
      <c r="AA5" s="3257"/>
      <c r="AB5" s="3257"/>
      <c r="AC5" s="3257"/>
    </row>
    <row r="6" spans="1:29" ht="15" thickBot="1">
      <c r="A6" s="406"/>
      <c r="B6" s="407"/>
      <c r="C6" s="3276" t="s">
        <v>2542</v>
      </c>
      <c r="D6" s="3277"/>
      <c r="E6" s="3283" t="s">
        <v>2542</v>
      </c>
      <c r="F6" s="3284"/>
      <c r="G6" s="3276" t="s">
        <v>2542</v>
      </c>
      <c r="H6" s="3277"/>
      <c r="I6" s="3276" t="s">
        <v>2542</v>
      </c>
      <c r="J6" s="3277"/>
      <c r="K6" s="2592" t="s">
        <v>2543</v>
      </c>
      <c r="L6" s="1127"/>
      <c r="M6" s="1128"/>
      <c r="N6" s="1128"/>
      <c r="O6" s="1128"/>
      <c r="P6" s="3267"/>
      <c r="Q6" s="3268"/>
      <c r="R6" s="3271"/>
      <c r="S6" s="3272"/>
      <c r="T6" s="3273"/>
      <c r="U6" s="3274"/>
      <c r="V6" s="3275"/>
      <c r="W6" s="3275"/>
      <c r="X6" s="1810"/>
      <c r="Y6" s="3273"/>
      <c r="Z6" s="3274"/>
      <c r="AA6" s="3258"/>
      <c r="AB6" s="3258"/>
      <c r="AC6" s="3258"/>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80" t="s">
        <v>2545</v>
      </c>
      <c r="Q7" s="3282"/>
      <c r="R7" s="770" t="s">
        <v>23</v>
      </c>
      <c r="S7" s="771">
        <f t="shared" ref="S7:S15" si="0">F7</f>
        <v>0</v>
      </c>
      <c r="T7" s="770" t="s">
        <v>23</v>
      </c>
      <c r="U7" s="771">
        <f t="shared" ref="U7:U15" si="1">H7</f>
        <v>0</v>
      </c>
      <c r="V7" s="770" t="s">
        <v>23</v>
      </c>
      <c r="W7" s="771">
        <f t="shared" ref="W7:W15" si="2">J7</f>
        <v>0</v>
      </c>
      <c r="X7" s="772"/>
      <c r="Y7" s="3280" t="s">
        <v>2545</v>
      </c>
      <c r="Z7" s="3281"/>
      <c r="AA7" s="773" t="e">
        <f>D7/F7</f>
        <v>#DIV/0!</v>
      </c>
      <c r="AB7" s="773" t="e">
        <f>D7/H7</f>
        <v>#DIV/0!</v>
      </c>
      <c r="AC7" s="773" t="e">
        <f>D7/J7</f>
        <v>#DIV/0!</v>
      </c>
    </row>
    <row r="8" spans="1:29" s="117" customFormat="1" ht="1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80" t="s">
        <v>2548</v>
      </c>
      <c r="Q8" s="3281"/>
      <c r="R8" s="770" t="s">
        <v>23</v>
      </c>
      <c r="S8" s="771">
        <f t="shared" si="0"/>
        <v>0</v>
      </c>
      <c r="T8" s="770" t="s">
        <v>23</v>
      </c>
      <c r="U8" s="771">
        <f t="shared" si="1"/>
        <v>0</v>
      </c>
      <c r="V8" s="770" t="s">
        <v>23</v>
      </c>
      <c r="W8" s="771">
        <f t="shared" si="2"/>
        <v>0</v>
      </c>
      <c r="X8" s="772"/>
      <c r="Y8" s="3280" t="s">
        <v>2548</v>
      </c>
      <c r="Z8" s="3281"/>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55"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55"/>
      <c r="Q10" s="1792"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55"/>
      <c r="Q11" s="1792"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55"/>
      <c r="Q12" s="1792">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55"/>
      <c r="Q13" s="1792">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55"/>
      <c r="Q14" s="1792">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96.6">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53" t="s">
        <v>2556</v>
      </c>
      <c r="Q15" s="1807" t="str">
        <f t="shared" si="6"/>
        <v>居住社区成熟度</v>
      </c>
      <c r="R15" s="774" t="s">
        <v>21</v>
      </c>
      <c r="S15" s="775">
        <f t="shared" si="0"/>
        <v>100</v>
      </c>
      <c r="T15" s="774" t="s">
        <v>21</v>
      </c>
      <c r="U15" s="775">
        <f t="shared" si="1"/>
        <v>100</v>
      </c>
      <c r="V15" s="774" t="s">
        <v>21</v>
      </c>
      <c r="W15" s="775">
        <f t="shared" si="2"/>
        <v>100</v>
      </c>
      <c r="X15" s="1810"/>
      <c r="Y15" s="3246"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54"/>
      <c r="Q16" s="1807"/>
      <c r="R16" s="774"/>
      <c r="S16" s="775"/>
      <c r="T16" s="774"/>
      <c r="U16" s="775"/>
      <c r="V16" s="774"/>
      <c r="W16" s="775"/>
      <c r="X16" s="1810"/>
      <c r="Y16" s="3247"/>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54"/>
      <c r="Q17" s="1807" t="str">
        <f>B17</f>
        <v>交通便捷度</v>
      </c>
      <c r="R17" s="774" t="s">
        <v>21</v>
      </c>
      <c r="S17" s="775">
        <f>F17</f>
        <v>100</v>
      </c>
      <c r="T17" s="774" t="s">
        <v>21</v>
      </c>
      <c r="U17" s="775">
        <f>H17</f>
        <v>100</v>
      </c>
      <c r="V17" s="774" t="s">
        <v>21</v>
      </c>
      <c r="W17" s="775">
        <f>J17</f>
        <v>100</v>
      </c>
      <c r="X17" s="1810"/>
      <c r="Y17" s="3247"/>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54"/>
      <c r="Q18" s="1807"/>
      <c r="R18" s="774"/>
      <c r="S18" s="775"/>
      <c r="T18" s="774"/>
      <c r="U18" s="775"/>
      <c r="V18" s="774"/>
      <c r="W18" s="775"/>
      <c r="X18" s="1810"/>
      <c r="Y18" s="3247"/>
      <c r="Z18" s="1811"/>
      <c r="AA18" s="1808">
        <v>1</v>
      </c>
      <c r="AB18" s="1808">
        <v>1</v>
      </c>
      <c r="AC18" s="1808">
        <v>1</v>
      </c>
    </row>
    <row r="19" spans="1:29" ht="41.4">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54"/>
      <c r="Q19" s="1807" t="str">
        <f>B19</f>
        <v>公共配套设施</v>
      </c>
      <c r="R19" s="774" t="s">
        <v>21</v>
      </c>
      <c r="S19" s="775">
        <f>F19</f>
        <v>100</v>
      </c>
      <c r="T19" s="774" t="s">
        <v>21</v>
      </c>
      <c r="U19" s="775">
        <f>H19</f>
        <v>100</v>
      </c>
      <c r="V19" s="774" t="s">
        <v>21</v>
      </c>
      <c r="W19" s="775">
        <f>J19</f>
        <v>100</v>
      </c>
      <c r="X19" s="1810"/>
      <c r="Y19" s="3247"/>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54"/>
      <c r="Q20" s="1807"/>
      <c r="R20" s="774"/>
      <c r="S20" s="775"/>
      <c r="T20" s="774"/>
      <c r="U20" s="775"/>
      <c r="V20" s="774"/>
      <c r="W20" s="775"/>
      <c r="X20" s="1810"/>
      <c r="Y20" s="3247"/>
      <c r="Z20" s="1811"/>
      <c r="AA20" s="1808">
        <v>1</v>
      </c>
      <c r="AB20" s="1808">
        <v>1</v>
      </c>
      <c r="AC20" s="1808">
        <v>1</v>
      </c>
    </row>
    <row r="21" spans="1:29" ht="27.6">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54"/>
      <c r="Q22" s="1807"/>
      <c r="R22" s="774"/>
      <c r="S22" s="775"/>
      <c r="T22" s="774"/>
      <c r="U22" s="775"/>
      <c r="V22" s="774"/>
      <c r="W22" s="775"/>
      <c r="X22" s="1810"/>
      <c r="Y22" s="3247"/>
      <c r="Z22" s="1811"/>
      <c r="AA22" s="1808">
        <v>1</v>
      </c>
      <c r="AB22" s="1808">
        <v>1</v>
      </c>
      <c r="AC22" s="1808">
        <v>1</v>
      </c>
    </row>
    <row r="23" spans="1:29" ht="55.2">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54"/>
      <c r="Q23" s="1807" t="str">
        <f>B23</f>
        <v>自然及人文环境</v>
      </c>
      <c r="R23" s="774" t="s">
        <v>21</v>
      </c>
      <c r="S23" s="775">
        <f>F23</f>
        <v>100</v>
      </c>
      <c r="T23" s="774" t="s">
        <v>21</v>
      </c>
      <c r="U23" s="775">
        <f>H23</f>
        <v>100</v>
      </c>
      <c r="V23" s="774" t="s">
        <v>21</v>
      </c>
      <c r="W23" s="775">
        <f>J23</f>
        <v>100</v>
      </c>
      <c r="X23" s="1810"/>
      <c r="Y23" s="3247"/>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54"/>
      <c r="Q24" s="1807"/>
      <c r="R24" s="774"/>
      <c r="S24" s="775"/>
      <c r="T24" s="774"/>
      <c r="U24" s="775"/>
      <c r="V24" s="774"/>
      <c r="W24" s="775"/>
      <c r="X24" s="1810"/>
      <c r="Y24" s="3247"/>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5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47"/>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54"/>
      <c r="Q26" s="1807" t="str">
        <f t="shared" si="11"/>
        <v>朝向</v>
      </c>
      <c r="R26" s="774" t="s">
        <v>21</v>
      </c>
      <c r="S26" s="775">
        <f t="shared" si="12"/>
        <v>100</v>
      </c>
      <c r="T26" s="774" t="s">
        <v>21</v>
      </c>
      <c r="U26" s="775">
        <f t="shared" si="13"/>
        <v>100</v>
      </c>
      <c r="V26" s="774" t="s">
        <v>21</v>
      </c>
      <c r="W26" s="775">
        <f t="shared" si="14"/>
        <v>100</v>
      </c>
      <c r="X26" s="1810"/>
      <c r="Y26" s="3247"/>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54"/>
      <c r="Q27" s="1792">
        <f t="shared" si="11"/>
        <v>111</v>
      </c>
      <c r="R27" s="770" t="s">
        <v>21</v>
      </c>
      <c r="S27" s="771">
        <f t="shared" si="12"/>
        <v>100</v>
      </c>
      <c r="T27" s="770" t="s">
        <v>21</v>
      </c>
      <c r="U27" s="771">
        <f t="shared" si="13"/>
        <v>100</v>
      </c>
      <c r="V27" s="770" t="s">
        <v>21</v>
      </c>
      <c r="W27" s="771">
        <f t="shared" si="14"/>
        <v>100</v>
      </c>
      <c r="X27" s="772"/>
      <c r="Y27" s="3247"/>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54"/>
      <c r="Q28" s="1807">
        <f t="shared" si="11"/>
        <v>111</v>
      </c>
      <c r="R28" s="774" t="s">
        <v>21</v>
      </c>
      <c r="S28" s="775">
        <f t="shared" si="12"/>
        <v>100</v>
      </c>
      <c r="T28" s="774" t="s">
        <v>21</v>
      </c>
      <c r="U28" s="775">
        <f t="shared" si="13"/>
        <v>100</v>
      </c>
      <c r="V28" s="774" t="s">
        <v>21</v>
      </c>
      <c r="W28" s="775">
        <f t="shared" si="14"/>
        <v>100</v>
      </c>
      <c r="X28" s="1810"/>
      <c r="Y28" s="3247"/>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54"/>
      <c r="Q29" s="1807">
        <f t="shared" si="11"/>
        <v>111</v>
      </c>
      <c r="R29" s="774" t="s">
        <v>21</v>
      </c>
      <c r="S29" s="775">
        <f t="shared" si="12"/>
        <v>100</v>
      </c>
      <c r="T29" s="774" t="s">
        <v>21</v>
      </c>
      <c r="U29" s="775">
        <f t="shared" si="13"/>
        <v>100</v>
      </c>
      <c r="V29" s="774" t="s">
        <v>21</v>
      </c>
      <c r="W29" s="775">
        <f t="shared" si="14"/>
        <v>100</v>
      </c>
      <c r="X29" s="1810"/>
      <c r="Y29" s="3247"/>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54"/>
      <c r="Q30" s="1807">
        <f t="shared" si="11"/>
        <v>111</v>
      </c>
      <c r="R30" s="774" t="s">
        <v>21</v>
      </c>
      <c r="S30" s="775">
        <f t="shared" si="12"/>
        <v>100</v>
      </c>
      <c r="T30" s="774" t="s">
        <v>21</v>
      </c>
      <c r="U30" s="775">
        <f t="shared" si="13"/>
        <v>100</v>
      </c>
      <c r="V30" s="774" t="s">
        <v>21</v>
      </c>
      <c r="W30" s="775">
        <f t="shared" si="14"/>
        <v>100</v>
      </c>
      <c r="X30" s="1810"/>
      <c r="Y30" s="3247"/>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54"/>
      <c r="Q31" s="1807">
        <f t="shared" si="11"/>
        <v>111</v>
      </c>
      <c r="R31" s="774" t="s">
        <v>21</v>
      </c>
      <c r="S31" s="775">
        <f t="shared" si="12"/>
        <v>100</v>
      </c>
      <c r="T31" s="774" t="s">
        <v>21</v>
      </c>
      <c r="U31" s="775">
        <f t="shared" si="13"/>
        <v>100</v>
      </c>
      <c r="V31" s="774" t="s">
        <v>21</v>
      </c>
      <c r="W31" s="775">
        <f t="shared" si="14"/>
        <v>100</v>
      </c>
      <c r="X31" s="1810"/>
      <c r="Y31" s="3247"/>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48" t="s">
        <v>2561</v>
      </c>
      <c r="Q32" s="1807" t="str">
        <f t="shared" si="11"/>
        <v>建筑类型</v>
      </c>
      <c r="R32" s="774" t="s">
        <v>21</v>
      </c>
      <c r="S32" s="775">
        <f t="shared" si="12"/>
        <v>100</v>
      </c>
      <c r="T32" s="774" t="s">
        <v>21</v>
      </c>
      <c r="U32" s="775">
        <f t="shared" si="13"/>
        <v>100</v>
      </c>
      <c r="V32" s="774" t="s">
        <v>21</v>
      </c>
      <c r="W32" s="775">
        <f t="shared" si="14"/>
        <v>100</v>
      </c>
      <c r="X32" s="1810"/>
      <c r="Y32" s="3251"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49"/>
      <c r="Q34" s="1807" t="str">
        <f t="shared" si="11"/>
        <v>建筑结构</v>
      </c>
      <c r="R34" s="774" t="s">
        <v>21</v>
      </c>
      <c r="S34" s="775">
        <f t="shared" si="12"/>
        <v>100</v>
      </c>
      <c r="T34" s="774" t="s">
        <v>21</v>
      </c>
      <c r="U34" s="775">
        <f t="shared" si="13"/>
        <v>100</v>
      </c>
      <c r="V34" s="774" t="s">
        <v>21</v>
      </c>
      <c r="W34" s="775">
        <f t="shared" si="14"/>
        <v>100</v>
      </c>
      <c r="X34" s="1810"/>
      <c r="Y34" s="3251"/>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49"/>
      <c r="Q35" s="1807" t="str">
        <f t="shared" si="11"/>
        <v>建筑品质</v>
      </c>
      <c r="R35" s="774" t="s">
        <v>21</v>
      </c>
      <c r="S35" s="775">
        <f t="shared" si="12"/>
        <v>100</v>
      </c>
      <c r="T35" s="774" t="s">
        <v>21</v>
      </c>
      <c r="U35" s="775">
        <f t="shared" si="13"/>
        <v>100</v>
      </c>
      <c r="V35" s="774" t="s">
        <v>21</v>
      </c>
      <c r="W35" s="775">
        <f t="shared" si="14"/>
        <v>100</v>
      </c>
      <c r="X35" s="1810"/>
      <c r="Y35" s="3251"/>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49"/>
      <c r="Q36" s="1807" t="str">
        <f t="shared" si="11"/>
        <v>公共部分装修</v>
      </c>
      <c r="R36" s="774" t="s">
        <v>21</v>
      </c>
      <c r="S36" s="775">
        <f t="shared" si="12"/>
        <v>100</v>
      </c>
      <c r="T36" s="774" t="s">
        <v>21</v>
      </c>
      <c r="U36" s="775">
        <f t="shared" si="13"/>
        <v>100</v>
      </c>
      <c r="V36" s="774" t="s">
        <v>21</v>
      </c>
      <c r="W36" s="775">
        <f t="shared" si="14"/>
        <v>100</v>
      </c>
      <c r="X36" s="1810"/>
      <c r="Y36" s="3251"/>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9"/>
      <c r="Q37" s="1792"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49" t="s">
        <v>2561</v>
      </c>
      <c r="Q38" s="1807" t="str">
        <f t="shared" si="11"/>
        <v>物业管理</v>
      </c>
      <c r="R38" s="774" t="s">
        <v>21</v>
      </c>
      <c r="S38" s="775">
        <f t="shared" si="12"/>
        <v>100</v>
      </c>
      <c r="T38" s="774" t="s">
        <v>21</v>
      </c>
      <c r="U38" s="775">
        <f t="shared" si="13"/>
        <v>100</v>
      </c>
      <c r="V38" s="774" t="s">
        <v>21</v>
      </c>
      <c r="W38" s="775">
        <f t="shared" si="14"/>
        <v>100</v>
      </c>
      <c r="X38" s="1810"/>
      <c r="Y38" s="3251"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49"/>
      <c r="Q39" s="1807" t="str">
        <f t="shared" si="11"/>
        <v>市政基础设施</v>
      </c>
      <c r="R39" s="774" t="s">
        <v>21</v>
      </c>
      <c r="S39" s="775">
        <f t="shared" si="12"/>
        <v>100</v>
      </c>
      <c r="T39" s="774" t="s">
        <v>21</v>
      </c>
      <c r="U39" s="775">
        <f t="shared" si="13"/>
        <v>100</v>
      </c>
      <c r="V39" s="774" t="s">
        <v>21</v>
      </c>
      <c r="W39" s="775">
        <f t="shared" si="14"/>
        <v>100</v>
      </c>
      <c r="X39" s="1810"/>
      <c r="Y39" s="3251"/>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49"/>
      <c r="Q40" s="1807" t="str">
        <f t="shared" si="11"/>
        <v>房型</v>
      </c>
      <c r="R40" s="774" t="s">
        <v>21</v>
      </c>
      <c r="S40" s="775">
        <f t="shared" si="12"/>
        <v>100</v>
      </c>
      <c r="T40" s="774" t="s">
        <v>21</v>
      </c>
      <c r="U40" s="775">
        <f t="shared" si="13"/>
        <v>100</v>
      </c>
      <c r="V40" s="774" t="s">
        <v>21</v>
      </c>
      <c r="W40" s="775">
        <f t="shared" si="14"/>
        <v>100</v>
      </c>
      <c r="X40" s="1810"/>
      <c r="Y40" s="3251"/>
      <c r="Z40" s="1811" t="str">
        <f t="shared" si="18"/>
        <v>房型</v>
      </c>
      <c r="AA40" s="1808">
        <f t="shared" si="15"/>
        <v>1</v>
      </c>
      <c r="AB40" s="1808">
        <f t="shared" si="16"/>
        <v>1</v>
      </c>
      <c r="AC40" s="1808">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49"/>
      <c r="Q42" s="1807" t="str">
        <f t="shared" si="11"/>
        <v>内部装修</v>
      </c>
      <c r="R42" s="774" t="s">
        <v>21</v>
      </c>
      <c r="S42" s="775">
        <f t="shared" si="12"/>
        <v>100</v>
      </c>
      <c r="T42" s="774" t="s">
        <v>21</v>
      </c>
      <c r="U42" s="775">
        <f t="shared" si="13"/>
        <v>100</v>
      </c>
      <c r="V42" s="774" t="s">
        <v>21</v>
      </c>
      <c r="W42" s="775">
        <f t="shared" si="14"/>
        <v>100</v>
      </c>
      <c r="X42" s="1810"/>
      <c r="Y42" s="3251"/>
      <c r="Z42" s="1811" t="str">
        <f t="shared" si="18"/>
        <v>内部装修</v>
      </c>
      <c r="AA42" s="1808">
        <f t="shared" si="15"/>
        <v>1</v>
      </c>
      <c r="AB42" s="1808">
        <f t="shared" si="16"/>
        <v>1</v>
      </c>
      <c r="AC42" s="1808">
        <f t="shared" si="17"/>
        <v>1</v>
      </c>
    </row>
    <row r="43" spans="1:29" ht="28.8">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49"/>
      <c r="Q43" s="1807" t="str">
        <f t="shared" si="11"/>
        <v>内部装修维护情况</v>
      </c>
      <c r="R43" s="774" t="s">
        <v>21</v>
      </c>
      <c r="S43" s="775">
        <f t="shared" si="12"/>
        <v>100</v>
      </c>
      <c r="T43" s="774" t="s">
        <v>21</v>
      </c>
      <c r="U43" s="775">
        <f t="shared" si="13"/>
        <v>100</v>
      </c>
      <c r="V43" s="774" t="s">
        <v>21</v>
      </c>
      <c r="W43" s="775">
        <f t="shared" si="14"/>
        <v>100</v>
      </c>
      <c r="X43" s="1810"/>
      <c r="Y43" s="3251"/>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49"/>
      <c r="Q44" s="1792">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49"/>
      <c r="Q45" s="1807">
        <f t="shared" si="11"/>
        <v>111</v>
      </c>
      <c r="R45" s="774" t="s">
        <v>21</v>
      </c>
      <c r="S45" s="775">
        <f t="shared" si="12"/>
        <v>100</v>
      </c>
      <c r="T45" s="774" t="s">
        <v>21</v>
      </c>
      <c r="U45" s="775">
        <f t="shared" si="13"/>
        <v>100</v>
      </c>
      <c r="V45" s="774" t="s">
        <v>21</v>
      </c>
      <c r="W45" s="775">
        <f t="shared" si="14"/>
        <v>100</v>
      </c>
      <c r="X45" s="1810"/>
      <c r="Y45" s="3251"/>
      <c r="Z45" s="1811">
        <f t="shared" si="18"/>
        <v>111</v>
      </c>
      <c r="AA45" s="1808">
        <f t="shared" si="15"/>
        <v>1</v>
      </c>
      <c r="AB45" s="1808">
        <f t="shared" si="16"/>
        <v>1</v>
      </c>
      <c r="AC45" s="1808">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50"/>
      <c r="Q46" s="1807">
        <f t="shared" si="11"/>
        <v>111</v>
      </c>
      <c r="R46" s="774" t="s">
        <v>20</v>
      </c>
      <c r="S46" s="775">
        <f t="shared" si="12"/>
        <v>100</v>
      </c>
      <c r="T46" s="774" t="s">
        <v>20</v>
      </c>
      <c r="U46" s="775">
        <f t="shared" si="13"/>
        <v>100</v>
      </c>
      <c r="V46" s="774" t="s">
        <v>20</v>
      </c>
      <c r="W46" s="775">
        <f t="shared" si="14"/>
        <v>100</v>
      </c>
      <c r="X46" s="1810"/>
      <c r="Y46" s="3252"/>
      <c r="Z46" s="1811">
        <f t="shared" si="18"/>
        <v>111</v>
      </c>
      <c r="AA46" s="1808">
        <f t="shared" si="15"/>
        <v>1</v>
      </c>
      <c r="AB46" s="1808">
        <f t="shared" si="16"/>
        <v>1</v>
      </c>
      <c r="AC46" s="1808">
        <f t="shared" si="17"/>
        <v>1</v>
      </c>
    </row>
    <row r="47" spans="1:29" ht="14.4">
      <c r="A47" s="479" t="s">
        <v>2573</v>
      </c>
      <c r="B47" s="480"/>
      <c r="C47" s="1404" t="s">
        <v>19</v>
      </c>
      <c r="D47" s="1405"/>
      <c r="E47" s="1406"/>
      <c r="F47" s="1407"/>
      <c r="G47" s="1408"/>
      <c r="H47" s="1409"/>
      <c r="I47" s="1406"/>
      <c r="J47" s="1409"/>
      <c r="K47" s="2616"/>
      <c r="L47" s="1140"/>
      <c r="M47" s="1141"/>
      <c r="N47" s="1128"/>
      <c r="O47" s="1141"/>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2575</v>
      </c>
      <c r="B49" s="493"/>
      <c r="C49" s="1413" t="e">
        <f>R49</f>
        <v>#DIV/0!</v>
      </c>
      <c r="D49" s="1414"/>
      <c r="E49" s="1414"/>
      <c r="F49" s="1414"/>
      <c r="G49" s="1414"/>
      <c r="H49" s="1414"/>
      <c r="I49" s="1414"/>
      <c r="J49" s="1414"/>
      <c r="K49" s="2618"/>
      <c r="L49" s="1140"/>
      <c r="M49" s="1141"/>
      <c r="N49" s="1141"/>
      <c r="O49" s="1141"/>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21"/>
      <c r="Q57" s="504"/>
    </row>
    <row r="58" spans="1:29" s="508" customFormat="1" ht="14.4">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2582</v>
      </c>
      <c r="B61" s="510"/>
      <c r="C61" s="522" t="s">
        <v>2583</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2607</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2559</v>
      </c>
      <c r="B100" s="528" t="s">
        <v>2608</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6.2"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ht="14.4">
      <c r="B147" s="2632" t="s">
        <v>2636</v>
      </c>
    </row>
    <row r="148" spans="2:11" ht="14.4">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1611</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受贵公司委托，我公司对北京市海淀区上地九街9号工业用房房地产抵押价值进行了预评估。</v>
      </c>
    </row>
    <row r="5" spans="1:1" ht="17.399999999999999">
      <c r="A5" s="1946" t="s">
        <v>1612</v>
      </c>
    </row>
    <row r="6" spans="1:1" ht="17.399999999999999">
      <c r="A6" s="1947" t="s">
        <v>1613</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4.6">
      <c r="A8" s="1948" t="s">
        <v>1614</v>
      </c>
    </row>
    <row r="9" spans="1:1" ht="17.399999999999999">
      <c r="A9" s="1947" t="s">
        <v>1615</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2">
      <c r="A11" s="1948" t="s">
        <v>1616</v>
      </c>
    </row>
    <row r="12" spans="1:1" ht="17.399999999999999">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0" t="s">
        <v>1618</v>
      </c>
    </row>
    <row r="15" spans="1:1" ht="17.399999999999999">
      <c r="A15" s="1951" t="str">
        <f>TEXT(项目基本情况!D3,"yyyy年m月d日;;")&amp;IF(项目基本情况!D3=项目基本情况!B3,"（评估专业人员实地查勘之日）","")</f>
        <v>2019年1月31日（评估专业人员实地查勘之日）</v>
      </c>
    </row>
    <row r="16" spans="1:1" ht="17.399999999999999">
      <c r="A16" s="1950" t="s">
        <v>1619</v>
      </c>
    </row>
    <row r="17" spans="1:1" ht="69.599999999999994">
      <c r="A17" s="1945" t="s">
        <v>1620</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1609</v>
      </c>
    </row>
    <row r="24" spans="1:1" ht="17.399999999999999">
      <c r="A24" s="1952" t="str">
        <f>"本次评估采用的主估价方法为"&amp;结果表!K4&amp;"和"&amp;结果表!L4&amp;"。"</f>
        <v>本次评估采用的主估价方法为收益法和比较法。</v>
      </c>
    </row>
    <row r="25" spans="1:1" ht="17.399999999999999">
      <c r="A25" s="1952"/>
    </row>
    <row r="26" spans="1:1" ht="17.399999999999999">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75" t="s">
        <v>2644</v>
      </c>
      <c r="AC4" s="3256" t="s">
        <v>2645</v>
      </c>
    </row>
    <row r="5" spans="1:29">
      <c r="A5" s="404"/>
      <c r="B5" s="405"/>
      <c r="C5" s="3278" t="s">
        <v>2538</v>
      </c>
      <c r="D5" s="3279"/>
      <c r="E5" s="3285" t="s">
        <v>2539</v>
      </c>
      <c r="F5" s="3286"/>
      <c r="G5" s="3278" t="s">
        <v>2540</v>
      </c>
      <c r="H5" s="3279"/>
      <c r="I5" s="3278" t="s">
        <v>2541</v>
      </c>
      <c r="J5" s="3279"/>
      <c r="K5" s="610"/>
      <c r="L5" s="1127"/>
      <c r="M5" s="1128"/>
      <c r="N5" s="1128"/>
      <c r="O5" s="1128"/>
      <c r="P5" s="3265"/>
      <c r="Q5" s="3266"/>
      <c r="R5" s="3271"/>
      <c r="S5" s="3272"/>
      <c r="T5" s="3271"/>
      <c r="U5" s="3272"/>
      <c r="V5" s="3275"/>
      <c r="W5" s="3275"/>
      <c r="X5" s="1810"/>
      <c r="Y5" s="3271"/>
      <c r="Z5" s="3272"/>
      <c r="AA5" s="3257"/>
      <c r="AB5" s="3275"/>
      <c r="AC5" s="3257"/>
    </row>
    <row r="6" spans="1:29" ht="15" thickBot="1">
      <c r="A6" s="406"/>
      <c r="B6" s="407"/>
      <c r="C6" s="3276" t="s">
        <v>2542</v>
      </c>
      <c r="D6" s="3277"/>
      <c r="E6" s="3283" t="s">
        <v>2542</v>
      </c>
      <c r="F6" s="3284"/>
      <c r="G6" s="3276" t="s">
        <v>2542</v>
      </c>
      <c r="H6" s="3277"/>
      <c r="I6" s="3276" t="s">
        <v>2542</v>
      </c>
      <c r="J6" s="3277"/>
      <c r="K6" s="610" t="s">
        <v>2543</v>
      </c>
      <c r="L6" s="1127"/>
      <c r="M6" s="1128"/>
      <c r="N6" s="1128"/>
      <c r="O6" s="1128"/>
      <c r="P6" s="3267"/>
      <c r="Q6" s="3268"/>
      <c r="R6" s="3271"/>
      <c r="S6" s="3272"/>
      <c r="T6" s="3273"/>
      <c r="U6" s="3274"/>
      <c r="V6" s="3275"/>
      <c r="W6" s="3275"/>
      <c r="X6" s="1810"/>
      <c r="Y6" s="3273"/>
      <c r="Z6" s="3274"/>
      <c r="AA6" s="3258"/>
      <c r="AB6" s="3275"/>
      <c r="AC6" s="3258"/>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80" t="s">
        <v>2545</v>
      </c>
      <c r="Q7" s="3282"/>
      <c r="R7" s="770" t="s">
        <v>17</v>
      </c>
      <c r="S7" s="771">
        <f t="shared" ref="S7:S15" si="0">F7</f>
        <v>0</v>
      </c>
      <c r="T7" s="770" t="s">
        <v>17</v>
      </c>
      <c r="U7" s="771">
        <f t="shared" ref="U7:U15" si="1">H7</f>
        <v>0</v>
      </c>
      <c r="V7" s="770" t="s">
        <v>17</v>
      </c>
      <c r="W7" s="771">
        <f t="shared" ref="W7:W15" si="2">J7</f>
        <v>0</v>
      </c>
      <c r="X7" s="772"/>
      <c r="Y7" s="3280" t="s">
        <v>2545</v>
      </c>
      <c r="Z7" s="3281"/>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80" t="s">
        <v>2548</v>
      </c>
      <c r="Q8" s="3281"/>
      <c r="R8" s="770" t="s">
        <v>17</v>
      </c>
      <c r="S8" s="771">
        <f t="shared" si="0"/>
        <v>0</v>
      </c>
      <c r="T8" s="770" t="s">
        <v>17</v>
      </c>
      <c r="U8" s="771">
        <f t="shared" si="1"/>
        <v>0</v>
      </c>
      <c r="V8" s="770" t="s">
        <v>17</v>
      </c>
      <c r="W8" s="771">
        <f t="shared" si="2"/>
        <v>0</v>
      </c>
      <c r="X8" s="772"/>
      <c r="Y8" s="3280" t="s">
        <v>2548</v>
      </c>
      <c r="Z8" s="3281"/>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55"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55"/>
      <c r="Q10" s="1792"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55"/>
      <c r="Q11" s="1792"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55"/>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55"/>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55"/>
      <c r="Q14" s="1792">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69">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53" t="s">
        <v>2556</v>
      </c>
      <c r="Q15" s="1807" t="str">
        <f t="shared" si="6"/>
        <v>商业繁华度</v>
      </c>
      <c r="R15" s="774" t="s">
        <v>17</v>
      </c>
      <c r="S15" s="775">
        <f t="shared" si="0"/>
        <v>100</v>
      </c>
      <c r="T15" s="774" t="s">
        <v>17</v>
      </c>
      <c r="U15" s="775">
        <f t="shared" si="1"/>
        <v>100</v>
      </c>
      <c r="V15" s="774" t="s">
        <v>17</v>
      </c>
      <c r="W15" s="775">
        <f t="shared" si="2"/>
        <v>100</v>
      </c>
      <c r="X15" s="1810"/>
      <c r="Y15" s="3246"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54"/>
      <c r="Q16" s="1807"/>
      <c r="R16" s="774"/>
      <c r="S16" s="775"/>
      <c r="T16" s="774"/>
      <c r="U16" s="775"/>
      <c r="V16" s="774"/>
      <c r="W16" s="775"/>
      <c r="X16" s="1810"/>
      <c r="Y16" s="3247"/>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54"/>
      <c r="Q17" s="1807" t="str">
        <f>B17</f>
        <v>交通便捷度</v>
      </c>
      <c r="R17" s="774" t="s">
        <v>17</v>
      </c>
      <c r="S17" s="775">
        <f>F17</f>
        <v>100</v>
      </c>
      <c r="T17" s="774" t="s">
        <v>17</v>
      </c>
      <c r="U17" s="775">
        <f>H17</f>
        <v>100</v>
      </c>
      <c r="V17" s="774" t="s">
        <v>17</v>
      </c>
      <c r="W17" s="775">
        <f>J17</f>
        <v>100</v>
      </c>
      <c r="X17" s="1810"/>
      <c r="Y17" s="3247"/>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54"/>
      <c r="Q18" s="1807"/>
      <c r="R18" s="774"/>
      <c r="S18" s="775"/>
      <c r="T18" s="774"/>
      <c r="U18" s="775"/>
      <c r="V18" s="774"/>
      <c r="W18" s="775"/>
      <c r="X18" s="1810"/>
      <c r="Y18" s="3247"/>
      <c r="Z18" s="1811"/>
      <c r="AA18" s="1808">
        <v>1</v>
      </c>
      <c r="AB18" s="1808">
        <v>1</v>
      </c>
      <c r="AC18" s="1808">
        <v>1</v>
      </c>
    </row>
    <row r="19" spans="1:29" ht="41.4">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54"/>
      <c r="Q19" s="1807" t="str">
        <f>B19</f>
        <v>公共配套设施</v>
      </c>
      <c r="R19" s="774" t="s">
        <v>17</v>
      </c>
      <c r="S19" s="775">
        <f>F19</f>
        <v>100</v>
      </c>
      <c r="T19" s="774" t="s">
        <v>17</v>
      </c>
      <c r="U19" s="775">
        <f>H19</f>
        <v>100</v>
      </c>
      <c r="V19" s="774" t="s">
        <v>17</v>
      </c>
      <c r="W19" s="775">
        <f>J19</f>
        <v>100</v>
      </c>
      <c r="X19" s="1810"/>
      <c r="Y19" s="3247"/>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54"/>
      <c r="Q20" s="1807"/>
      <c r="R20" s="774"/>
      <c r="S20" s="775"/>
      <c r="T20" s="774"/>
      <c r="U20" s="775"/>
      <c r="V20" s="774"/>
      <c r="W20" s="775"/>
      <c r="X20" s="1810"/>
      <c r="Y20" s="3247"/>
      <c r="Z20" s="1811"/>
      <c r="AA20" s="1808">
        <v>1</v>
      </c>
      <c r="AB20" s="1808">
        <v>1</v>
      </c>
      <c r="AC20" s="1808">
        <v>1</v>
      </c>
    </row>
    <row r="21" spans="1:29" ht="27.6">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54"/>
      <c r="Q22" s="1807"/>
      <c r="R22" s="774"/>
      <c r="S22" s="775"/>
      <c r="T22" s="774"/>
      <c r="U22" s="775"/>
      <c r="V22" s="774"/>
      <c r="W22" s="775"/>
      <c r="X22" s="1810"/>
      <c r="Y22" s="3247"/>
      <c r="Z22" s="1811"/>
      <c r="AA22" s="1808">
        <v>1</v>
      </c>
      <c r="AB22" s="1808">
        <v>1</v>
      </c>
      <c r="AC22" s="1808">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54"/>
      <c r="Q23" s="1807" t="str">
        <f>B23</f>
        <v>自然及人文环境</v>
      </c>
      <c r="R23" s="774" t="s">
        <v>17</v>
      </c>
      <c r="S23" s="775">
        <f>F23</f>
        <v>100</v>
      </c>
      <c r="T23" s="774" t="s">
        <v>17</v>
      </c>
      <c r="U23" s="775">
        <f>H23</f>
        <v>100</v>
      </c>
      <c r="V23" s="774" t="s">
        <v>17</v>
      </c>
      <c r="W23" s="775">
        <f>J23</f>
        <v>100</v>
      </c>
      <c r="X23" s="1810"/>
      <c r="Y23" s="3247"/>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54"/>
      <c r="Q24" s="1807"/>
      <c r="R24" s="774"/>
      <c r="S24" s="775"/>
      <c r="T24" s="774"/>
      <c r="U24" s="775"/>
      <c r="V24" s="774"/>
      <c r="W24" s="775"/>
      <c r="X24" s="1810"/>
      <c r="Y24" s="3247"/>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54"/>
      <c r="Q25" s="1807" t="str">
        <f t="shared" ref="Q25:Q46" si="11">B25</f>
        <v>临街状况</v>
      </c>
      <c r="R25" s="774" t="s">
        <v>17</v>
      </c>
      <c r="S25" s="775">
        <f>F25</f>
        <v>100</v>
      </c>
      <c r="T25" s="774" t="s">
        <v>17</v>
      </c>
      <c r="U25" s="775">
        <f>H25</f>
        <v>100</v>
      </c>
      <c r="V25" s="774" t="s">
        <v>17</v>
      </c>
      <c r="W25" s="775">
        <f>J25</f>
        <v>100</v>
      </c>
      <c r="X25" s="1810"/>
      <c r="Y25" s="3247"/>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54"/>
      <c r="Q26" s="1807" t="str">
        <f t="shared" si="11"/>
        <v>平面位置/可视性</v>
      </c>
      <c r="R26" s="774" t="s">
        <v>17</v>
      </c>
      <c r="S26" s="775">
        <f>F26</f>
        <v>100</v>
      </c>
      <c r="T26" s="774" t="s">
        <v>17</v>
      </c>
      <c r="U26" s="775">
        <f>H26</f>
        <v>100</v>
      </c>
      <c r="V26" s="774" t="s">
        <v>17</v>
      </c>
      <c r="W26" s="775">
        <f>J26</f>
        <v>100</v>
      </c>
      <c r="X26" s="1810"/>
      <c r="Y26" s="3247"/>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54"/>
      <c r="Q27" s="1792" t="str">
        <f t="shared" si="11"/>
        <v>人流量</v>
      </c>
      <c r="R27" s="770" t="s">
        <v>17</v>
      </c>
      <c r="S27" s="771">
        <f>F27</f>
        <v>100</v>
      </c>
      <c r="T27" s="770" t="s">
        <v>17</v>
      </c>
      <c r="U27" s="771">
        <f>H27</f>
        <v>100</v>
      </c>
      <c r="V27" s="770" t="s">
        <v>17</v>
      </c>
      <c r="W27" s="771">
        <f>J27</f>
        <v>100</v>
      </c>
      <c r="X27" s="772"/>
      <c r="Y27" s="3247"/>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5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47"/>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54"/>
      <c r="Q29" s="1807">
        <f t="shared" si="11"/>
        <v>111</v>
      </c>
      <c r="R29" s="774" t="s">
        <v>17</v>
      </c>
      <c r="S29" s="775">
        <f t="shared" si="12"/>
        <v>100</v>
      </c>
      <c r="T29" s="774" t="s">
        <v>17</v>
      </c>
      <c r="U29" s="775">
        <f t="shared" si="13"/>
        <v>100</v>
      </c>
      <c r="V29" s="774" t="s">
        <v>17</v>
      </c>
      <c r="W29" s="775">
        <f t="shared" si="14"/>
        <v>100</v>
      </c>
      <c r="X29" s="1810"/>
      <c r="Y29" s="3247"/>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54"/>
      <c r="Q30" s="1807">
        <f t="shared" si="11"/>
        <v>111</v>
      </c>
      <c r="R30" s="774" t="s">
        <v>17</v>
      </c>
      <c r="S30" s="775">
        <f t="shared" si="12"/>
        <v>100</v>
      </c>
      <c r="T30" s="774" t="s">
        <v>17</v>
      </c>
      <c r="U30" s="775">
        <f t="shared" si="13"/>
        <v>100</v>
      </c>
      <c r="V30" s="774" t="s">
        <v>17</v>
      </c>
      <c r="W30" s="775">
        <f t="shared" si="14"/>
        <v>100</v>
      </c>
      <c r="X30" s="1810"/>
      <c r="Y30" s="3247"/>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54"/>
      <c r="Q31" s="1807">
        <f t="shared" si="11"/>
        <v>111</v>
      </c>
      <c r="R31" s="774" t="s">
        <v>17</v>
      </c>
      <c r="S31" s="775">
        <f t="shared" si="12"/>
        <v>100</v>
      </c>
      <c r="T31" s="774" t="s">
        <v>17</v>
      </c>
      <c r="U31" s="775">
        <f t="shared" si="13"/>
        <v>100</v>
      </c>
      <c r="V31" s="774" t="s">
        <v>17</v>
      </c>
      <c r="W31" s="775">
        <f t="shared" si="14"/>
        <v>100</v>
      </c>
      <c r="X31" s="1810"/>
      <c r="Y31" s="3247"/>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48" t="s">
        <v>2561</v>
      </c>
      <c r="Q32" s="1807" t="str">
        <f t="shared" si="11"/>
        <v>商业类型</v>
      </c>
      <c r="R32" s="774" t="s">
        <v>17</v>
      </c>
      <c r="S32" s="775">
        <f t="shared" si="12"/>
        <v>100</v>
      </c>
      <c r="T32" s="774" t="s">
        <v>17</v>
      </c>
      <c r="U32" s="775">
        <f t="shared" si="13"/>
        <v>100</v>
      </c>
      <c r="V32" s="774" t="s">
        <v>17</v>
      </c>
      <c r="W32" s="775">
        <f t="shared" si="14"/>
        <v>100</v>
      </c>
      <c r="X32" s="1810"/>
      <c r="Y32" s="3251"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49"/>
      <c r="Q34" s="1807" t="str">
        <f t="shared" si="11"/>
        <v>建筑结构</v>
      </c>
      <c r="R34" s="774" t="s">
        <v>17</v>
      </c>
      <c r="S34" s="775">
        <f t="shared" si="12"/>
        <v>100</v>
      </c>
      <c r="T34" s="774" t="s">
        <v>17</v>
      </c>
      <c r="U34" s="775">
        <f t="shared" si="13"/>
        <v>100</v>
      </c>
      <c r="V34" s="774" t="s">
        <v>17</v>
      </c>
      <c r="W34" s="775">
        <f t="shared" si="14"/>
        <v>100</v>
      </c>
      <c r="X34" s="1810"/>
      <c r="Y34" s="3251"/>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49"/>
      <c r="Q35" s="1807" t="str">
        <f t="shared" si="11"/>
        <v>公共部分装修</v>
      </c>
      <c r="R35" s="774" t="s">
        <v>17</v>
      </c>
      <c r="S35" s="775">
        <f t="shared" si="12"/>
        <v>100</v>
      </c>
      <c r="T35" s="774" t="s">
        <v>17</v>
      </c>
      <c r="U35" s="775">
        <f t="shared" si="13"/>
        <v>100</v>
      </c>
      <c r="V35" s="774" t="s">
        <v>17</v>
      </c>
      <c r="W35" s="775">
        <f t="shared" si="14"/>
        <v>100</v>
      </c>
      <c r="X35" s="1810"/>
      <c r="Y35" s="3251"/>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9"/>
      <c r="Q36" s="1807" t="str">
        <f t="shared" si="11"/>
        <v>成新度</v>
      </c>
      <c r="R36" s="774" t="s">
        <v>17</v>
      </c>
      <c r="S36" s="775" t="e">
        <f t="shared" si="12"/>
        <v>#N/A</v>
      </c>
      <c r="T36" s="774" t="s">
        <v>17</v>
      </c>
      <c r="U36" s="775" t="e">
        <f t="shared" si="13"/>
        <v>#N/A</v>
      </c>
      <c r="V36" s="774" t="s">
        <v>17</v>
      </c>
      <c r="W36" s="775" t="e">
        <f t="shared" si="14"/>
        <v>#N/A</v>
      </c>
      <c r="X36" s="1810"/>
      <c r="Y36" s="3251"/>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49"/>
      <c r="Q37" s="1792"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49" t="s">
        <v>2561</v>
      </c>
      <c r="Q38" s="1807" t="str">
        <f t="shared" si="11"/>
        <v>业态</v>
      </c>
      <c r="R38" s="774" t="s">
        <v>17</v>
      </c>
      <c r="S38" s="775">
        <f t="shared" si="12"/>
        <v>100</v>
      </c>
      <c r="T38" s="774" t="s">
        <v>17</v>
      </c>
      <c r="U38" s="775">
        <f t="shared" si="13"/>
        <v>100</v>
      </c>
      <c r="V38" s="774" t="s">
        <v>17</v>
      </c>
      <c r="W38" s="775">
        <f t="shared" si="14"/>
        <v>100</v>
      </c>
      <c r="X38" s="1810"/>
      <c r="Y38" s="3251"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49"/>
      <c r="Q39" s="1807" t="str">
        <f t="shared" si="11"/>
        <v>层高</v>
      </c>
      <c r="R39" s="774" t="s">
        <v>17</v>
      </c>
      <c r="S39" s="775">
        <f t="shared" si="12"/>
        <v>100</v>
      </c>
      <c r="T39" s="774" t="s">
        <v>17</v>
      </c>
      <c r="U39" s="775">
        <f t="shared" si="13"/>
        <v>100</v>
      </c>
      <c r="V39" s="774" t="s">
        <v>17</v>
      </c>
      <c r="W39" s="775">
        <f t="shared" si="14"/>
        <v>100</v>
      </c>
      <c r="X39" s="1810"/>
      <c r="Y39" s="3251"/>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9"/>
      <c r="Q40" s="1807" t="str">
        <f t="shared" si="11"/>
        <v>单套建筑面积</v>
      </c>
      <c r="R40" s="774" t="s">
        <v>17</v>
      </c>
      <c r="S40" s="775">
        <f t="shared" si="12"/>
        <v>100</v>
      </c>
      <c r="T40" s="774" t="s">
        <v>17</v>
      </c>
      <c r="U40" s="775">
        <f t="shared" si="13"/>
        <v>100</v>
      </c>
      <c r="V40" s="774" t="s">
        <v>17</v>
      </c>
      <c r="W40" s="775">
        <f t="shared" si="14"/>
        <v>100</v>
      </c>
      <c r="X40" s="1810"/>
      <c r="Y40" s="3251"/>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49"/>
      <c r="Q42" s="1807" t="str">
        <f t="shared" si="11"/>
        <v>内部装修</v>
      </c>
      <c r="R42" s="774" t="s">
        <v>17</v>
      </c>
      <c r="S42" s="775">
        <f t="shared" si="12"/>
        <v>100</v>
      </c>
      <c r="T42" s="774" t="s">
        <v>17</v>
      </c>
      <c r="U42" s="775">
        <f t="shared" si="13"/>
        <v>100</v>
      </c>
      <c r="V42" s="774" t="s">
        <v>17</v>
      </c>
      <c r="W42" s="775">
        <f t="shared" si="14"/>
        <v>100</v>
      </c>
      <c r="X42" s="1810"/>
      <c r="Y42" s="3251"/>
      <c r="Z42" s="1811" t="str">
        <f t="shared" si="15"/>
        <v>内部装修</v>
      </c>
      <c r="AA42" s="1808">
        <f t="shared" si="3"/>
        <v>1</v>
      </c>
      <c r="AB42" s="1808">
        <f t="shared" si="4"/>
        <v>1</v>
      </c>
      <c r="AC42" s="1808">
        <f t="shared" si="5"/>
        <v>1</v>
      </c>
    </row>
    <row r="43" spans="1:29" ht="28.8">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49"/>
      <c r="Q43" s="1807" t="str">
        <f t="shared" si="11"/>
        <v>内部装修维护情况</v>
      </c>
      <c r="R43" s="774" t="s">
        <v>17</v>
      </c>
      <c r="S43" s="775">
        <f t="shared" si="12"/>
        <v>100</v>
      </c>
      <c r="T43" s="774" t="s">
        <v>17</v>
      </c>
      <c r="U43" s="775">
        <f t="shared" si="13"/>
        <v>100</v>
      </c>
      <c r="V43" s="774" t="s">
        <v>17</v>
      </c>
      <c r="W43" s="775">
        <f t="shared" si="14"/>
        <v>100</v>
      </c>
      <c r="X43" s="1810"/>
      <c r="Y43" s="325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9"/>
      <c r="Q44" s="1792">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9"/>
      <c r="Q45" s="1807">
        <f t="shared" si="11"/>
        <v>111</v>
      </c>
      <c r="R45" s="774" t="s">
        <v>17</v>
      </c>
      <c r="S45" s="775">
        <f t="shared" si="12"/>
        <v>100</v>
      </c>
      <c r="T45" s="774" t="s">
        <v>17</v>
      </c>
      <c r="U45" s="775">
        <f t="shared" si="13"/>
        <v>100</v>
      </c>
      <c r="V45" s="774" t="s">
        <v>17</v>
      </c>
      <c r="W45" s="775">
        <f t="shared" si="14"/>
        <v>100</v>
      </c>
      <c r="X45" s="1810"/>
      <c r="Y45" s="3251"/>
      <c r="Z45" s="1811">
        <f t="shared" si="15"/>
        <v>111</v>
      </c>
      <c r="AA45" s="1808">
        <f t="shared" si="3"/>
        <v>1</v>
      </c>
      <c r="AB45" s="1808">
        <f t="shared" si="4"/>
        <v>1</v>
      </c>
      <c r="AC45" s="1808">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50"/>
      <c r="Q46" s="1807">
        <f t="shared" si="11"/>
        <v>111</v>
      </c>
      <c r="R46" s="774" t="s">
        <v>17</v>
      </c>
      <c r="S46" s="775">
        <f t="shared" si="12"/>
        <v>100</v>
      </c>
      <c r="T46" s="774" t="s">
        <v>17</v>
      </c>
      <c r="U46" s="775">
        <f t="shared" si="13"/>
        <v>100</v>
      </c>
      <c r="V46" s="774" t="s">
        <v>17</v>
      </c>
      <c r="W46" s="775">
        <f t="shared" si="14"/>
        <v>100</v>
      </c>
      <c r="X46" s="1810"/>
      <c r="Y46" s="3252"/>
      <c r="Z46" s="1811">
        <f t="shared" si="15"/>
        <v>111</v>
      </c>
      <c r="AA46" s="1808">
        <f t="shared" si="3"/>
        <v>1</v>
      </c>
      <c r="AB46" s="1808">
        <f t="shared" si="4"/>
        <v>1</v>
      </c>
      <c r="AC46" s="1808">
        <f t="shared" si="5"/>
        <v>1</v>
      </c>
    </row>
    <row r="47" spans="1:29" ht="14.4">
      <c r="A47" s="479" t="s">
        <v>2573</v>
      </c>
      <c r="B47" s="480"/>
      <c r="C47" s="1404" t="s">
        <v>1</v>
      </c>
      <c r="D47" s="1405"/>
      <c r="E47" s="1406"/>
      <c r="F47" s="1407"/>
      <c r="G47" s="1408"/>
      <c r="H47" s="1409"/>
      <c r="I47" s="1406"/>
      <c r="J47" s="1409"/>
      <c r="K47" s="783"/>
      <c r="L47" s="1140"/>
      <c r="M47" s="1141"/>
      <c r="N47" s="1128"/>
      <c r="O47" s="1141"/>
      <c r="P47" s="3244" t="str">
        <f>A47</f>
        <v>成交单价（元/平方米）</v>
      </c>
      <c r="Q47" s="3244"/>
      <c r="R47" s="3275">
        <f>E47</f>
        <v>0</v>
      </c>
      <c r="S47" s="3275"/>
      <c r="T47" s="3275">
        <f>G47</f>
        <v>0</v>
      </c>
      <c r="U47" s="3275"/>
      <c r="V47" s="3275">
        <f>I47</f>
        <v>0</v>
      </c>
      <c r="W47" s="3275"/>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2546</v>
      </c>
      <c r="B61" s="510"/>
      <c r="C61" s="522" t="s">
        <v>2648</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2676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4" thickBot="1">
      <c r="A89" s="579"/>
      <c r="B89" s="543"/>
      <c r="C89" s="560"/>
      <c r="D89" s="536"/>
      <c r="E89" s="536"/>
      <c r="F89" s="536"/>
      <c r="G89" s="536"/>
      <c r="H89" s="536"/>
      <c r="I89" s="536"/>
      <c r="J89" s="536"/>
      <c r="K89" s="536"/>
      <c r="L89" s="536"/>
      <c r="M89" s="536"/>
      <c r="N89" s="1150"/>
      <c r="O89" s="1150"/>
      <c r="P89" s="2625"/>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4" thickTop="1">
      <c r="A92" s="534"/>
      <c r="B92" s="538" t="str">
        <f>B28</f>
        <v>楼层</v>
      </c>
      <c r="C92" s="554"/>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2559</v>
      </c>
      <c r="B100" s="528" t="s">
        <v>2677</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93" t="s">
        <v>2647</v>
      </c>
      <c r="Q4" s="3294"/>
      <c r="R4" s="3297" t="s">
        <v>2643</v>
      </c>
      <c r="S4" s="3298"/>
      <c r="T4" s="3297" t="s">
        <v>2644</v>
      </c>
      <c r="U4" s="3298"/>
      <c r="V4" s="3299" t="s">
        <v>2645</v>
      </c>
      <c r="W4" s="3299"/>
      <c r="X4" s="2665"/>
      <c r="Y4" s="3297" t="s">
        <v>2647</v>
      </c>
      <c r="Z4" s="3298"/>
      <c r="AA4" s="3301" t="s">
        <v>2643</v>
      </c>
      <c r="AB4" s="3301" t="s">
        <v>2644</v>
      </c>
      <c r="AC4" s="3290" t="s">
        <v>2645</v>
      </c>
    </row>
    <row r="5" spans="1:29">
      <c r="A5" s="404"/>
      <c r="B5" s="405"/>
      <c r="C5" s="3278" t="s">
        <v>2538</v>
      </c>
      <c r="D5" s="3279"/>
      <c r="E5" s="3285" t="s">
        <v>2539</v>
      </c>
      <c r="F5" s="3286"/>
      <c r="G5" s="3278" t="s">
        <v>2540</v>
      </c>
      <c r="H5" s="3279"/>
      <c r="I5" s="3278" t="s">
        <v>2541</v>
      </c>
      <c r="J5" s="3279"/>
      <c r="K5" s="610"/>
      <c r="L5" s="1127"/>
      <c r="M5" s="1128"/>
      <c r="N5" s="1128"/>
      <c r="O5" s="1128"/>
      <c r="P5" s="3295"/>
      <c r="Q5" s="3266"/>
      <c r="R5" s="3271"/>
      <c r="S5" s="3272"/>
      <c r="T5" s="3271"/>
      <c r="U5" s="3272"/>
      <c r="V5" s="3275"/>
      <c r="W5" s="3275"/>
      <c r="X5" s="1810"/>
      <c r="Y5" s="3271"/>
      <c r="Z5" s="3272"/>
      <c r="AA5" s="3257"/>
      <c r="AB5" s="3257"/>
      <c r="AC5" s="3291"/>
    </row>
    <row r="6" spans="1:29" ht="15" thickBot="1">
      <c r="A6" s="406"/>
      <c r="B6" s="407"/>
      <c r="C6" s="3276" t="s">
        <v>2542</v>
      </c>
      <c r="D6" s="3277"/>
      <c r="E6" s="3283" t="s">
        <v>2542</v>
      </c>
      <c r="F6" s="3284"/>
      <c r="G6" s="3276" t="s">
        <v>2542</v>
      </c>
      <c r="H6" s="3277"/>
      <c r="I6" s="3276" t="s">
        <v>2542</v>
      </c>
      <c r="J6" s="3277"/>
      <c r="K6" s="610" t="s">
        <v>2543</v>
      </c>
      <c r="L6" s="1127"/>
      <c r="M6" s="1128"/>
      <c r="N6" s="1128"/>
      <c r="O6" s="1128"/>
      <c r="P6" s="3296"/>
      <c r="Q6" s="3268"/>
      <c r="R6" s="3271"/>
      <c r="S6" s="3272"/>
      <c r="T6" s="3273"/>
      <c r="U6" s="3274"/>
      <c r="V6" s="3275"/>
      <c r="W6" s="3275"/>
      <c r="X6" s="1810"/>
      <c r="Y6" s="3273"/>
      <c r="Z6" s="3274"/>
      <c r="AA6" s="3258"/>
      <c r="AB6" s="3258"/>
      <c r="AC6" s="3292"/>
    </row>
    <row r="7" spans="1:29" s="117" customFormat="1" ht="1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00" t="s">
        <v>2545</v>
      </c>
      <c r="Q7" s="3282"/>
      <c r="R7" s="770" t="s">
        <v>17</v>
      </c>
      <c r="S7" s="771">
        <f t="shared" ref="S7:S15" si="0">F7</f>
        <v>0</v>
      </c>
      <c r="T7" s="770" t="s">
        <v>17</v>
      </c>
      <c r="U7" s="771">
        <f t="shared" ref="U7:U15" si="1">H7</f>
        <v>0</v>
      </c>
      <c r="V7" s="770" t="s">
        <v>17</v>
      </c>
      <c r="W7" s="771">
        <f t="shared" ref="W7:W15" si="2">J7</f>
        <v>0</v>
      </c>
      <c r="X7" s="772"/>
      <c r="Y7" s="3280" t="s">
        <v>2545</v>
      </c>
      <c r="Z7" s="3281"/>
      <c r="AA7" s="773" t="e">
        <f>D7/F7</f>
        <v>#DIV/0!</v>
      </c>
      <c r="AB7" s="773" t="e">
        <f>D7/H7</f>
        <v>#DIV/0!</v>
      </c>
      <c r="AC7" s="2666"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00" t="s">
        <v>2548</v>
      </c>
      <c r="Q8" s="3281"/>
      <c r="R8" s="770" t="s">
        <v>17</v>
      </c>
      <c r="S8" s="771">
        <f t="shared" si="0"/>
        <v>0</v>
      </c>
      <c r="T8" s="770" t="s">
        <v>17</v>
      </c>
      <c r="U8" s="771">
        <f t="shared" si="1"/>
        <v>0</v>
      </c>
      <c r="V8" s="770" t="s">
        <v>17</v>
      </c>
      <c r="W8" s="771">
        <f t="shared" si="2"/>
        <v>0</v>
      </c>
      <c r="X8" s="772"/>
      <c r="Y8" s="3280" t="s">
        <v>2548</v>
      </c>
      <c r="Z8" s="3281"/>
      <c r="AA8" s="773" t="e">
        <f t="shared" ref="AA8:AA47" si="3">D8/F8</f>
        <v>#DIV/0!</v>
      </c>
      <c r="AB8" s="773" t="e">
        <f t="shared" ref="AB8:AB47" si="4">D8/H8</f>
        <v>#DIV/0!</v>
      </c>
      <c r="AC8" s="2666"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55"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2666">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55"/>
      <c r="Q10" s="1792"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55"/>
      <c r="Q11" s="1792"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55"/>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55"/>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55"/>
      <c r="Q14" s="1792">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66">
        <f t="shared" si="5"/>
        <v>1</v>
      </c>
    </row>
    <row r="15" spans="1:29" ht="69">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53" t="s">
        <v>2556</v>
      </c>
      <c r="Q15" s="1807" t="str">
        <f t="shared" si="6"/>
        <v>办公集聚程度</v>
      </c>
      <c r="R15" s="774" t="s">
        <v>17</v>
      </c>
      <c r="S15" s="775">
        <f t="shared" si="0"/>
        <v>100</v>
      </c>
      <c r="T15" s="774" t="s">
        <v>17</v>
      </c>
      <c r="U15" s="775">
        <f t="shared" si="1"/>
        <v>100</v>
      </c>
      <c r="V15" s="774" t="s">
        <v>17</v>
      </c>
      <c r="W15" s="775">
        <f t="shared" si="2"/>
        <v>100</v>
      </c>
      <c r="X15" s="1810"/>
      <c r="Y15" s="3246"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54"/>
      <c r="Q16" s="1807"/>
      <c r="R16" s="774"/>
      <c r="S16" s="775"/>
      <c r="T16" s="774"/>
      <c r="U16" s="775"/>
      <c r="V16" s="774"/>
      <c r="W16" s="775"/>
      <c r="X16" s="1810"/>
      <c r="Y16" s="3247"/>
      <c r="Z16" s="1811"/>
      <c r="AA16" s="1808">
        <v>1</v>
      </c>
      <c r="AB16" s="1808">
        <v>1</v>
      </c>
      <c r="AC16" s="2669">
        <v>1</v>
      </c>
    </row>
    <row r="17" spans="1:29" ht="82.8">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54"/>
      <c r="Q17" s="1807" t="str">
        <f>B17</f>
        <v>交通便捷度</v>
      </c>
      <c r="R17" s="774" t="s">
        <v>17</v>
      </c>
      <c r="S17" s="775">
        <f>F17</f>
        <v>100</v>
      </c>
      <c r="T17" s="774" t="s">
        <v>17</v>
      </c>
      <c r="U17" s="775">
        <f>H17</f>
        <v>100</v>
      </c>
      <c r="V17" s="774" t="s">
        <v>17</v>
      </c>
      <c r="W17" s="775">
        <f>J17</f>
        <v>100</v>
      </c>
      <c r="X17" s="1810"/>
      <c r="Y17" s="3247"/>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54"/>
      <c r="Q18" s="1807"/>
      <c r="R18" s="774"/>
      <c r="S18" s="775"/>
      <c r="T18" s="774"/>
      <c r="U18" s="775"/>
      <c r="V18" s="774"/>
      <c r="W18" s="775"/>
      <c r="X18" s="1810"/>
      <c r="Y18" s="3247"/>
      <c r="Z18" s="1811"/>
      <c r="AA18" s="1808">
        <v>1</v>
      </c>
      <c r="AB18" s="1808">
        <v>1</v>
      </c>
      <c r="AC18" s="2669">
        <v>1</v>
      </c>
    </row>
    <row r="19" spans="1:29" ht="41.4">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54"/>
      <c r="Q19" s="1807" t="str">
        <f>B19</f>
        <v>公共配套设施</v>
      </c>
      <c r="R19" s="774" t="s">
        <v>17</v>
      </c>
      <c r="S19" s="775">
        <f>F19</f>
        <v>100</v>
      </c>
      <c r="T19" s="774" t="s">
        <v>17</v>
      </c>
      <c r="U19" s="775">
        <f>H19</f>
        <v>100</v>
      </c>
      <c r="V19" s="774" t="s">
        <v>17</v>
      </c>
      <c r="W19" s="775">
        <f>J19</f>
        <v>100</v>
      </c>
      <c r="X19" s="1810"/>
      <c r="Y19" s="3247"/>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54"/>
      <c r="Q20" s="1807"/>
      <c r="R20" s="774"/>
      <c r="S20" s="775"/>
      <c r="T20" s="774"/>
      <c r="U20" s="775"/>
      <c r="V20" s="774"/>
      <c r="W20" s="775"/>
      <c r="X20" s="1810"/>
      <c r="Y20" s="3247"/>
      <c r="Z20" s="1811"/>
      <c r="AA20" s="1808">
        <v>1</v>
      </c>
      <c r="AB20" s="1808">
        <v>1</v>
      </c>
      <c r="AC20" s="2669">
        <v>1</v>
      </c>
    </row>
    <row r="21" spans="1:29" ht="27.6">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47"/>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54"/>
      <c r="Q22" s="1807"/>
      <c r="R22" s="774"/>
      <c r="S22" s="775"/>
      <c r="T22" s="774"/>
      <c r="U22" s="775"/>
      <c r="V22" s="774"/>
      <c r="W22" s="775"/>
      <c r="X22" s="1810"/>
      <c r="Y22" s="3247"/>
      <c r="Z22" s="1811"/>
      <c r="AA22" s="1808">
        <v>1</v>
      </c>
      <c r="AB22" s="1808">
        <v>1</v>
      </c>
      <c r="AC22" s="2669">
        <v>1</v>
      </c>
    </row>
    <row r="23" spans="1:29" ht="55.2">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54"/>
      <c r="Q23" s="1807" t="str">
        <f>B23</f>
        <v>环境质量</v>
      </c>
      <c r="R23" s="774" t="s">
        <v>17</v>
      </c>
      <c r="S23" s="775">
        <f>F23</f>
        <v>100</v>
      </c>
      <c r="T23" s="774" t="s">
        <v>17</v>
      </c>
      <c r="U23" s="775">
        <f>H23</f>
        <v>100</v>
      </c>
      <c r="V23" s="774" t="s">
        <v>17</v>
      </c>
      <c r="W23" s="775">
        <f>J23</f>
        <v>100</v>
      </c>
      <c r="X23" s="1810"/>
      <c r="Y23" s="3247"/>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54"/>
      <c r="Q24" s="1807"/>
      <c r="R24" s="774"/>
      <c r="S24" s="775"/>
      <c r="T24" s="774"/>
      <c r="U24" s="775"/>
      <c r="V24" s="774"/>
      <c r="W24" s="775"/>
      <c r="X24" s="1810"/>
      <c r="Y24" s="3247"/>
      <c r="Z24" s="1811"/>
      <c r="AA24" s="1808">
        <v>1</v>
      </c>
      <c r="AB24" s="1808">
        <v>1</v>
      </c>
      <c r="AC24" s="2669">
        <v>1</v>
      </c>
    </row>
    <row r="25" spans="1:29" ht="28.8">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54"/>
      <c r="Q25" s="1807" t="str">
        <f>B25</f>
        <v>毗邻道路的类型与等级</v>
      </c>
      <c r="R25" s="774" t="s">
        <v>17</v>
      </c>
      <c r="S25" s="775">
        <f>F25</f>
        <v>100</v>
      </c>
      <c r="T25" s="774" t="s">
        <v>17</v>
      </c>
      <c r="U25" s="775">
        <f>H25</f>
        <v>100</v>
      </c>
      <c r="V25" s="774" t="s">
        <v>17</v>
      </c>
      <c r="W25" s="775">
        <f>J25</f>
        <v>100</v>
      </c>
      <c r="X25" s="1810"/>
      <c r="Y25" s="3247"/>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54"/>
      <c r="Q26" s="1807"/>
      <c r="R26" s="774"/>
      <c r="S26" s="775"/>
      <c r="T26" s="774"/>
      <c r="U26" s="775"/>
      <c r="V26" s="774"/>
      <c r="W26" s="775"/>
      <c r="X26" s="1810"/>
      <c r="Y26" s="3247"/>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54"/>
      <c r="Q27" s="1807" t="str">
        <f t="shared" ref="Q27:Q47" si="11">B27</f>
        <v>楼层</v>
      </c>
      <c r="R27" s="774" t="s">
        <v>17</v>
      </c>
      <c r="S27" s="775">
        <f>F27</f>
        <v>100</v>
      </c>
      <c r="T27" s="774" t="s">
        <v>17</v>
      </c>
      <c r="U27" s="775">
        <f>H27</f>
        <v>100</v>
      </c>
      <c r="V27" s="774" t="s">
        <v>17</v>
      </c>
      <c r="W27" s="775">
        <f>J27</f>
        <v>100</v>
      </c>
      <c r="X27" s="1810"/>
      <c r="Y27" s="3247"/>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54"/>
      <c r="Q28" s="1792" t="str">
        <f t="shared" si="11"/>
        <v>朝向</v>
      </c>
      <c r="R28" s="770" t="s">
        <v>17</v>
      </c>
      <c r="S28" s="771">
        <f>F28</f>
        <v>100</v>
      </c>
      <c r="T28" s="770" t="s">
        <v>17</v>
      </c>
      <c r="U28" s="771">
        <f>H28</f>
        <v>100</v>
      </c>
      <c r="V28" s="770" t="s">
        <v>17</v>
      </c>
      <c r="W28" s="771">
        <f>J28</f>
        <v>100</v>
      </c>
      <c r="X28" s="772"/>
      <c r="Y28" s="3247"/>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54"/>
      <c r="Q29" s="1807">
        <f t="shared" si="11"/>
        <v>111</v>
      </c>
      <c r="R29" s="774" t="s">
        <v>17</v>
      </c>
      <c r="S29" s="775">
        <f t="shared" ref="S29:S47" si="12">F29</f>
        <v>100</v>
      </c>
      <c r="T29" s="774" t="s">
        <v>17</v>
      </c>
      <c r="U29" s="775">
        <f t="shared" ref="U29:U47" si="13">H29</f>
        <v>100</v>
      </c>
      <c r="V29" s="774" t="s">
        <v>17</v>
      </c>
      <c r="W29" s="775">
        <f t="shared" ref="W29:W47" si="14">J29</f>
        <v>100</v>
      </c>
      <c r="X29" s="1810"/>
      <c r="Y29" s="3247"/>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54"/>
      <c r="Q30" s="1807">
        <f t="shared" si="11"/>
        <v>111</v>
      </c>
      <c r="R30" s="774" t="s">
        <v>17</v>
      </c>
      <c r="S30" s="775">
        <f t="shared" si="12"/>
        <v>100</v>
      </c>
      <c r="T30" s="774" t="s">
        <v>17</v>
      </c>
      <c r="U30" s="775">
        <f t="shared" si="13"/>
        <v>100</v>
      </c>
      <c r="V30" s="774" t="s">
        <v>17</v>
      </c>
      <c r="W30" s="775">
        <f t="shared" si="14"/>
        <v>100</v>
      </c>
      <c r="X30" s="1810"/>
      <c r="Y30" s="3247"/>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54"/>
      <c r="Q31" s="1807">
        <f t="shared" si="11"/>
        <v>111</v>
      </c>
      <c r="R31" s="774" t="s">
        <v>17</v>
      </c>
      <c r="S31" s="775">
        <f t="shared" si="12"/>
        <v>100</v>
      </c>
      <c r="T31" s="774" t="s">
        <v>17</v>
      </c>
      <c r="U31" s="775">
        <f t="shared" si="13"/>
        <v>100</v>
      </c>
      <c r="V31" s="774" t="s">
        <v>17</v>
      </c>
      <c r="W31" s="775">
        <f t="shared" si="14"/>
        <v>100</v>
      </c>
      <c r="X31" s="1810"/>
      <c r="Y31" s="3247"/>
      <c r="Z31" s="1811">
        <f t="shared" si="15"/>
        <v>111</v>
      </c>
      <c r="AA31" s="1808">
        <f t="shared" si="3"/>
        <v>1</v>
      </c>
      <c r="AB31" s="1808">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54"/>
      <c r="Q32" s="1807">
        <f t="shared" si="11"/>
        <v>111</v>
      </c>
      <c r="R32" s="774" t="s">
        <v>17</v>
      </c>
      <c r="S32" s="775">
        <f t="shared" si="12"/>
        <v>100</v>
      </c>
      <c r="T32" s="774" t="s">
        <v>17</v>
      </c>
      <c r="U32" s="775">
        <f t="shared" si="13"/>
        <v>100</v>
      </c>
      <c r="V32" s="774" t="s">
        <v>17</v>
      </c>
      <c r="W32" s="775">
        <f t="shared" si="14"/>
        <v>100</v>
      </c>
      <c r="X32" s="1810"/>
      <c r="Y32" s="3247"/>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48" t="s">
        <v>2561</v>
      </c>
      <c r="Q33" s="1807" t="str">
        <f t="shared" si="11"/>
        <v>建筑类型</v>
      </c>
      <c r="R33" s="774" t="s">
        <v>17</v>
      </c>
      <c r="S33" s="775">
        <f t="shared" si="12"/>
        <v>100</v>
      </c>
      <c r="T33" s="774" t="s">
        <v>17</v>
      </c>
      <c r="U33" s="775">
        <f t="shared" si="13"/>
        <v>100</v>
      </c>
      <c r="V33" s="774" t="s">
        <v>17</v>
      </c>
      <c r="W33" s="775">
        <f t="shared" si="14"/>
        <v>100</v>
      </c>
      <c r="X33" s="1810"/>
      <c r="Y33" s="3251"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9"/>
      <c r="Q34" s="776" t="str">
        <f t="shared" si="11"/>
        <v>项目建筑规模</v>
      </c>
      <c r="R34" s="777" t="s">
        <v>17</v>
      </c>
      <c r="S34" s="778" t="e">
        <f t="shared" si="12"/>
        <v>#N/A</v>
      </c>
      <c r="T34" s="777" t="s">
        <v>17</v>
      </c>
      <c r="U34" s="778" t="e">
        <f t="shared" si="13"/>
        <v>#N/A</v>
      </c>
      <c r="V34" s="777" t="s">
        <v>17</v>
      </c>
      <c r="W34" s="778" t="e">
        <f t="shared" si="14"/>
        <v>#N/A</v>
      </c>
      <c r="X34" s="779"/>
      <c r="Y34" s="3251"/>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9"/>
      <c r="Q35" s="1807" t="str">
        <f t="shared" si="11"/>
        <v>建筑结构</v>
      </c>
      <c r="R35" s="774" t="s">
        <v>17</v>
      </c>
      <c r="S35" s="775">
        <f t="shared" si="12"/>
        <v>100</v>
      </c>
      <c r="T35" s="774" t="s">
        <v>17</v>
      </c>
      <c r="U35" s="775">
        <f t="shared" si="13"/>
        <v>100</v>
      </c>
      <c r="V35" s="774" t="s">
        <v>17</v>
      </c>
      <c r="W35" s="775">
        <f t="shared" si="14"/>
        <v>100</v>
      </c>
      <c r="X35" s="1810"/>
      <c r="Y35" s="3251"/>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9"/>
      <c r="Q36" s="1807" t="str">
        <f t="shared" si="11"/>
        <v>公共部分装修</v>
      </c>
      <c r="R36" s="774" t="s">
        <v>17</v>
      </c>
      <c r="S36" s="775">
        <f t="shared" si="12"/>
        <v>100</v>
      </c>
      <c r="T36" s="774" t="s">
        <v>17</v>
      </c>
      <c r="U36" s="775">
        <f t="shared" si="13"/>
        <v>100</v>
      </c>
      <c r="V36" s="774" t="s">
        <v>17</v>
      </c>
      <c r="W36" s="775">
        <f t="shared" si="14"/>
        <v>100</v>
      </c>
      <c r="X36" s="1810"/>
      <c r="Y36" s="3251"/>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9"/>
      <c r="Q37" s="1807" t="str">
        <f t="shared" si="11"/>
        <v>成新度</v>
      </c>
      <c r="R37" s="774" t="s">
        <v>17</v>
      </c>
      <c r="S37" s="775" t="e">
        <f t="shared" si="12"/>
        <v>#N/A</v>
      </c>
      <c r="T37" s="774" t="s">
        <v>17</v>
      </c>
      <c r="U37" s="775" t="e">
        <f t="shared" si="13"/>
        <v>#N/A</v>
      </c>
      <c r="V37" s="774" t="s">
        <v>17</v>
      </c>
      <c r="W37" s="775" t="e">
        <f t="shared" si="14"/>
        <v>#N/A</v>
      </c>
      <c r="X37" s="1810"/>
      <c r="Y37" s="3251"/>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9"/>
      <c r="Q38" s="1792"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9" t="s">
        <v>2561</v>
      </c>
      <c r="Q39" s="1807" t="str">
        <f t="shared" si="11"/>
        <v>物业管理</v>
      </c>
      <c r="R39" s="774" t="s">
        <v>17</v>
      </c>
      <c r="S39" s="775">
        <f t="shared" si="12"/>
        <v>100</v>
      </c>
      <c r="T39" s="774" t="s">
        <v>17</v>
      </c>
      <c r="U39" s="775">
        <f t="shared" si="13"/>
        <v>100</v>
      </c>
      <c r="V39" s="774" t="s">
        <v>17</v>
      </c>
      <c r="W39" s="775">
        <f t="shared" si="14"/>
        <v>100</v>
      </c>
      <c r="X39" s="1810"/>
      <c r="Y39" s="3251"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9"/>
      <c r="Q40" s="1807" t="str">
        <f t="shared" si="11"/>
        <v>市政基础设施</v>
      </c>
      <c r="R40" s="774" t="s">
        <v>17</v>
      </c>
      <c r="S40" s="775">
        <f t="shared" si="12"/>
        <v>100</v>
      </c>
      <c r="T40" s="774" t="s">
        <v>17</v>
      </c>
      <c r="U40" s="775">
        <f t="shared" si="13"/>
        <v>100</v>
      </c>
      <c r="V40" s="774" t="s">
        <v>17</v>
      </c>
      <c r="W40" s="775">
        <f t="shared" si="14"/>
        <v>100</v>
      </c>
      <c r="X40" s="1810"/>
      <c r="Y40" s="3251"/>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9"/>
      <c r="Q41" s="1807" t="str">
        <f t="shared" si="11"/>
        <v>层高</v>
      </c>
      <c r="R41" s="774" t="s">
        <v>17</v>
      </c>
      <c r="S41" s="775">
        <f t="shared" si="12"/>
        <v>100</v>
      </c>
      <c r="T41" s="774" t="s">
        <v>17</v>
      </c>
      <c r="U41" s="775">
        <f t="shared" si="13"/>
        <v>100</v>
      </c>
      <c r="V41" s="774" t="s">
        <v>17</v>
      </c>
      <c r="W41" s="775">
        <f t="shared" si="14"/>
        <v>100</v>
      </c>
      <c r="X41" s="1810"/>
      <c r="Y41" s="3251"/>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9"/>
      <c r="Q43" s="1807" t="str">
        <f t="shared" si="11"/>
        <v>内部装修</v>
      </c>
      <c r="R43" s="774" t="s">
        <v>17</v>
      </c>
      <c r="S43" s="775">
        <f t="shared" si="12"/>
        <v>100</v>
      </c>
      <c r="T43" s="774" t="s">
        <v>17</v>
      </c>
      <c r="U43" s="775">
        <f t="shared" si="13"/>
        <v>100</v>
      </c>
      <c r="V43" s="774" t="s">
        <v>17</v>
      </c>
      <c r="W43" s="775">
        <f t="shared" si="14"/>
        <v>100</v>
      </c>
      <c r="X43" s="1810"/>
      <c r="Y43" s="3251"/>
      <c r="Z43" s="1811" t="str">
        <f t="shared" si="15"/>
        <v>内部装修</v>
      </c>
      <c r="AA43" s="1808">
        <f t="shared" si="3"/>
        <v>1</v>
      </c>
      <c r="AB43" s="1808">
        <f t="shared" si="4"/>
        <v>1</v>
      </c>
      <c r="AC43" s="2669">
        <f t="shared" si="5"/>
        <v>1</v>
      </c>
    </row>
    <row r="44" spans="1:29" ht="28.8">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49"/>
      <c r="Q44" s="1807" t="str">
        <f t="shared" si="11"/>
        <v>内部装修维护情况</v>
      </c>
      <c r="R44" s="774" t="s">
        <v>17</v>
      </c>
      <c r="S44" s="775">
        <f t="shared" si="12"/>
        <v>100</v>
      </c>
      <c r="T44" s="774" t="s">
        <v>17</v>
      </c>
      <c r="U44" s="775">
        <f t="shared" si="13"/>
        <v>100</v>
      </c>
      <c r="V44" s="774" t="s">
        <v>17</v>
      </c>
      <c r="W44" s="775">
        <f t="shared" si="14"/>
        <v>100</v>
      </c>
      <c r="X44" s="1810"/>
      <c r="Y44" s="3251"/>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9"/>
      <c r="Q45" s="1792">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9"/>
      <c r="Q46" s="1807">
        <f t="shared" si="11"/>
        <v>111</v>
      </c>
      <c r="R46" s="774" t="s">
        <v>17</v>
      </c>
      <c r="S46" s="775">
        <f t="shared" si="12"/>
        <v>100</v>
      </c>
      <c r="T46" s="774" t="s">
        <v>17</v>
      </c>
      <c r="U46" s="775">
        <f t="shared" si="13"/>
        <v>100</v>
      </c>
      <c r="V46" s="774" t="s">
        <v>17</v>
      </c>
      <c r="W46" s="775">
        <f t="shared" si="14"/>
        <v>100</v>
      </c>
      <c r="X46" s="1810"/>
      <c r="Y46" s="3251"/>
      <c r="Z46" s="1811">
        <f t="shared" si="15"/>
        <v>111</v>
      </c>
      <c r="AA46" s="1808">
        <f t="shared" si="3"/>
        <v>1</v>
      </c>
      <c r="AB46" s="1808">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50"/>
      <c r="Q47" s="1807">
        <f t="shared" si="11"/>
        <v>111</v>
      </c>
      <c r="R47" s="774" t="s">
        <v>17</v>
      </c>
      <c r="S47" s="775">
        <f t="shared" si="12"/>
        <v>100</v>
      </c>
      <c r="T47" s="774" t="s">
        <v>17</v>
      </c>
      <c r="U47" s="775">
        <f t="shared" si="13"/>
        <v>100</v>
      </c>
      <c r="V47" s="774" t="s">
        <v>17</v>
      </c>
      <c r="W47" s="775">
        <f t="shared" si="14"/>
        <v>100</v>
      </c>
      <c r="X47" s="1810"/>
      <c r="Y47" s="3252"/>
      <c r="Z47" s="1811">
        <f t="shared" si="15"/>
        <v>111</v>
      </c>
      <c r="AA47" s="1808">
        <f t="shared" si="3"/>
        <v>1</v>
      </c>
      <c r="AB47" s="1808">
        <f t="shared" si="4"/>
        <v>1</v>
      </c>
      <c r="AC47" s="2669">
        <f t="shared" si="5"/>
        <v>1</v>
      </c>
    </row>
    <row r="48" spans="1:29" ht="14.4">
      <c r="A48" s="479" t="s">
        <v>2573</v>
      </c>
      <c r="B48" s="480"/>
      <c r="C48" s="1404" t="s">
        <v>1</v>
      </c>
      <c r="D48" s="1405"/>
      <c r="E48" s="1406"/>
      <c r="F48" s="1407"/>
      <c r="G48" s="1408"/>
      <c r="H48" s="1409"/>
      <c r="I48" s="1406"/>
      <c r="J48" s="485"/>
      <c r="K48" s="783"/>
      <c r="L48" s="1140"/>
      <c r="M48" s="1128"/>
      <c r="N48" s="1128"/>
      <c r="O48" s="1128"/>
      <c r="P48" s="3255" t="str">
        <f>A48</f>
        <v>成交单价（元/平方米）</v>
      </c>
      <c r="Q48" s="3244"/>
      <c r="R48" s="3245">
        <f>E48</f>
        <v>0</v>
      </c>
      <c r="S48" s="3245"/>
      <c r="T48" s="3245">
        <f>G48</f>
        <v>0</v>
      </c>
      <c r="U48" s="3245"/>
      <c r="V48" s="3245">
        <f>I48</f>
        <v>0</v>
      </c>
      <c r="W48" s="3245"/>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55"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287" t="str">
        <f>A50</f>
        <v>估价对象XX用房的比较价值（楼面单价，元/平方米）</v>
      </c>
      <c r="Q50" s="3288"/>
      <c r="R50" s="3289" t="e">
        <f>IF(F1="售价",ROUND(AVERAGE(R49:V49),0),ROUND(AVERAGE(R49:V49),1))</f>
        <v>#DIV/0!</v>
      </c>
      <c r="S50" s="3289"/>
      <c r="T50" s="3289"/>
      <c r="U50" s="3289"/>
      <c r="V50" s="3289"/>
      <c r="W50" s="328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6"/>
      <c r="Q58" s="504"/>
    </row>
    <row r="59" spans="1:29" s="508" customFormat="1" ht="14.4">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5" thickBot="1">
      <c r="A61" s="515" t="s">
        <v>2581</v>
      </c>
      <c r="B61" s="516"/>
      <c r="C61" s="517"/>
      <c r="D61" s="518"/>
      <c r="E61" s="518"/>
      <c r="F61" s="518"/>
      <c r="G61" s="518"/>
      <c r="H61" s="518"/>
      <c r="I61" s="518"/>
      <c r="J61" s="518"/>
      <c r="K61" s="518"/>
      <c r="L61" s="518"/>
      <c r="M61" s="519"/>
      <c r="N61" s="518"/>
      <c r="O61" s="519"/>
      <c r="P61" s="2677"/>
      <c r="Q61" s="504"/>
    </row>
    <row r="62" spans="1:29" s="117" customFormat="1" ht="14.4">
      <c r="A62" s="521" t="s">
        <v>2546</v>
      </c>
      <c r="B62" s="510"/>
      <c r="C62" s="522" t="s">
        <v>2648</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2584</v>
      </c>
      <c r="B64" s="528" t="s">
        <v>2550</v>
      </c>
      <c r="C64" s="529">
        <f>C9</f>
        <v>0</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9.4" thickTop="1">
      <c r="A87" s="579"/>
      <c r="B87" s="538" t="s">
        <v>2695</v>
      </c>
      <c r="C87" s="554"/>
      <c r="D87" s="554"/>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2559</v>
      </c>
      <c r="B101" s="528" t="s">
        <v>2608</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55" zoomScaleNormal="55" workbookViewId="0">
      <selection activeCell="M29" sqref="M29"/>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9.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2698</v>
      </c>
      <c r="C1" s="1617" t="s">
        <v>2526</v>
      </c>
      <c r="D1" s="1618" t="s">
        <v>27</v>
      </c>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197289</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39047</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57" t="s">
        <v>2644</v>
      </c>
      <c r="AC4" s="3256" t="s">
        <v>2645</v>
      </c>
    </row>
    <row r="5" spans="1:29">
      <c r="A5" s="404"/>
      <c r="B5" s="405"/>
      <c r="C5" s="3303" t="s">
        <v>3168</v>
      </c>
      <c r="D5" s="3279"/>
      <c r="E5" s="3303" t="s">
        <v>3072</v>
      </c>
      <c r="F5" s="3279"/>
      <c r="G5" s="3303" t="s">
        <v>3170</v>
      </c>
      <c r="H5" s="3279"/>
      <c r="I5" s="3303" t="s">
        <v>3118</v>
      </c>
      <c r="J5" s="3279"/>
      <c r="K5" s="610"/>
      <c r="L5" s="1127"/>
      <c r="M5" s="1128"/>
      <c r="N5" s="1128"/>
      <c r="O5" s="1128"/>
      <c r="P5" s="3265"/>
      <c r="Q5" s="3266"/>
      <c r="R5" s="3271"/>
      <c r="S5" s="3272"/>
      <c r="T5" s="3271"/>
      <c r="U5" s="3272"/>
      <c r="V5" s="3275"/>
      <c r="W5" s="3275"/>
      <c r="X5" s="1810"/>
      <c r="Y5" s="3271"/>
      <c r="Z5" s="3272"/>
      <c r="AA5" s="3257"/>
      <c r="AB5" s="3257"/>
      <c r="AC5" s="3257"/>
    </row>
    <row r="6" spans="1:29" ht="15" thickBot="1">
      <c r="A6" s="406"/>
      <c r="B6" s="407"/>
      <c r="C6" s="3304" t="str">
        <f>项目基本情况!F10</f>
        <v>海淀区上地九街9号工业用房</v>
      </c>
      <c r="D6" s="3277"/>
      <c r="E6" s="3276" t="s">
        <v>3073</v>
      </c>
      <c r="F6" s="3277"/>
      <c r="G6" s="3276" t="s">
        <v>3073</v>
      </c>
      <c r="H6" s="3277"/>
      <c r="I6" s="3276" t="s">
        <v>2542</v>
      </c>
      <c r="J6" s="3277"/>
      <c r="K6" s="610" t="s">
        <v>2543</v>
      </c>
      <c r="L6" s="1127"/>
      <c r="M6" s="1128"/>
      <c r="N6" s="1128"/>
      <c r="O6" s="1128"/>
      <c r="P6" s="3267"/>
      <c r="Q6" s="3268"/>
      <c r="R6" s="3271"/>
      <c r="S6" s="3272"/>
      <c r="T6" s="3273"/>
      <c r="U6" s="3274"/>
      <c r="V6" s="3275"/>
      <c r="W6" s="3275"/>
      <c r="X6" s="1810"/>
      <c r="Y6" s="3273"/>
      <c r="Z6" s="3274"/>
      <c r="AA6" s="3258"/>
      <c r="AB6" s="3258"/>
      <c r="AC6" s="3258"/>
    </row>
    <row r="7" spans="1:29" s="117" customFormat="1" ht="15" thickBot="1">
      <c r="A7" s="408" t="s">
        <v>2544</v>
      </c>
      <c r="B7" s="409"/>
      <c r="C7" s="410">
        <f>'数据-取费表'!B2</f>
        <v>43496</v>
      </c>
      <c r="D7" s="411">
        <v>100</v>
      </c>
      <c r="E7" s="412">
        <v>43481</v>
      </c>
      <c r="F7" s="413">
        <f>SUMIF(52:52,YEAR(E7)&amp;"-"&amp;MONTH(E7),53:53)</f>
        <v>100</v>
      </c>
      <c r="G7" s="412">
        <v>43461</v>
      </c>
      <c r="H7" s="411">
        <f>SUMIF(52:52,YEAR(G7)&amp;"-"&amp;MONTH(G7),53:53)</f>
        <v>99</v>
      </c>
      <c r="I7" s="412">
        <v>43421</v>
      </c>
      <c r="J7" s="411">
        <f>SUMIF(52:52,YEAR(I7)&amp;"-"&amp;MONTH(I7),53:53)</f>
        <v>98</v>
      </c>
      <c r="K7" s="611"/>
      <c r="L7" s="1129"/>
      <c r="M7" s="1130"/>
      <c r="N7" s="1130"/>
      <c r="O7" s="1130"/>
      <c r="P7" s="3280" t="s">
        <v>2545</v>
      </c>
      <c r="Q7" s="3282"/>
      <c r="R7" s="770" t="s">
        <v>17</v>
      </c>
      <c r="S7" s="771">
        <f t="shared" ref="S7:S15" si="0">F7</f>
        <v>100</v>
      </c>
      <c r="T7" s="770" t="s">
        <v>17</v>
      </c>
      <c r="U7" s="771">
        <f t="shared" ref="U7:U15" si="1">H7</f>
        <v>99</v>
      </c>
      <c r="V7" s="770" t="s">
        <v>17</v>
      </c>
      <c r="W7" s="771">
        <f t="shared" ref="W7:W15" si="2">J7</f>
        <v>98</v>
      </c>
      <c r="X7" s="772"/>
      <c r="Y7" s="3280" t="s">
        <v>2545</v>
      </c>
      <c r="Z7" s="3281"/>
      <c r="AA7" s="773">
        <f>D7/F7</f>
        <v>1</v>
      </c>
      <c r="AB7" s="773">
        <f>D7/H7</f>
        <v>1.0101010101010102</v>
      </c>
      <c r="AC7" s="773">
        <f>D7/J7</f>
        <v>1.0204081632653061</v>
      </c>
    </row>
    <row r="8" spans="1:29" s="117" customFormat="1" ht="1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80" t="s">
        <v>2548</v>
      </c>
      <c r="Q8" s="3281"/>
      <c r="R8" s="770" t="s">
        <v>17</v>
      </c>
      <c r="S8" s="771">
        <f t="shared" si="0"/>
        <v>100</v>
      </c>
      <c r="T8" s="770" t="s">
        <v>17</v>
      </c>
      <c r="U8" s="771">
        <f t="shared" si="1"/>
        <v>100</v>
      </c>
      <c r="V8" s="770" t="s">
        <v>17</v>
      </c>
      <c r="W8" s="771">
        <f t="shared" si="2"/>
        <v>100</v>
      </c>
      <c r="X8" s="772"/>
      <c r="Y8" s="3280" t="s">
        <v>2548</v>
      </c>
      <c r="Z8" s="3281"/>
      <c r="AA8" s="773">
        <f t="shared" ref="AA8:AA40" si="3">D8/F8</f>
        <v>1</v>
      </c>
      <c r="AB8" s="773">
        <f t="shared" ref="AB8:AB40" si="4">D8/H8</f>
        <v>1</v>
      </c>
      <c r="AC8" s="773">
        <f t="shared" ref="AC8:AC40" si="5">D8/J8</f>
        <v>1</v>
      </c>
    </row>
    <row r="9" spans="1:29" s="117" customFormat="1" ht="14.4">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44"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773">
        <f t="shared" si="5"/>
        <v>1</v>
      </c>
    </row>
    <row r="10" spans="1:29" s="427" customFormat="1" ht="28.8">
      <c r="A10" s="421"/>
      <c r="B10" s="422" t="s">
        <v>2553</v>
      </c>
      <c r="C10" s="423" t="s">
        <v>3100</v>
      </c>
      <c r="D10" s="136">
        <v>100</v>
      </c>
      <c r="E10" s="423" t="s">
        <v>3076</v>
      </c>
      <c r="F10" s="136">
        <f>SUMIF(59:59,E10,60:60)-SUMIF(59:59,C10,60:60)+100</f>
        <v>102</v>
      </c>
      <c r="G10" s="423" t="s">
        <v>3076</v>
      </c>
      <c r="H10" s="136">
        <f>SUMIF(59:59,G10,60:60)-SUMIF(59:59,C10,60:60)+100</f>
        <v>102</v>
      </c>
      <c r="I10" s="423" t="s">
        <v>3100</v>
      </c>
      <c r="J10" s="136">
        <f>SUMIF(59:59,I10,60:60)-SUMIF(59:59,C10,60:60)+100</f>
        <v>100</v>
      </c>
      <c r="K10" s="2987">
        <v>2</v>
      </c>
      <c r="L10" s="1132"/>
      <c r="M10" s="1133"/>
      <c r="N10" s="1133"/>
      <c r="O10" s="1134"/>
      <c r="P10" s="3244"/>
      <c r="Q10" s="1792" t="str">
        <f t="shared" si="6"/>
        <v>土地使用年限（年）</v>
      </c>
      <c r="R10" s="770" t="s">
        <v>17</v>
      </c>
      <c r="S10" s="771">
        <f t="shared" si="0"/>
        <v>102</v>
      </c>
      <c r="T10" s="770" t="s">
        <v>17</v>
      </c>
      <c r="U10" s="771">
        <f t="shared" si="1"/>
        <v>102</v>
      </c>
      <c r="V10" s="770" t="s">
        <v>17</v>
      </c>
      <c r="W10" s="771">
        <f t="shared" si="2"/>
        <v>100</v>
      </c>
      <c r="X10" s="772"/>
      <c r="Y10" s="3067"/>
      <c r="Z10" s="55" t="str">
        <f t="shared" si="7"/>
        <v>土地使用年限（年）</v>
      </c>
      <c r="AA10" s="773">
        <f t="shared" si="3"/>
        <v>0.98039215686274506</v>
      </c>
      <c r="AB10" s="773">
        <f t="shared" si="4"/>
        <v>0.98039215686274506</v>
      </c>
      <c r="AC10" s="773">
        <f t="shared" si="5"/>
        <v>1</v>
      </c>
    </row>
    <row r="11" spans="1:29" ht="15.6"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44"/>
      <c r="Q11" s="1792" t="str">
        <f t="shared" si="6"/>
        <v>容积率</v>
      </c>
      <c r="R11" s="770" t="s">
        <v>17</v>
      </c>
      <c r="S11" s="771">
        <f t="shared" si="0"/>
        <v>100</v>
      </c>
      <c r="T11" s="770" t="s">
        <v>17</v>
      </c>
      <c r="U11" s="771">
        <f t="shared" si="1"/>
        <v>100</v>
      </c>
      <c r="V11" s="770" t="s">
        <v>17</v>
      </c>
      <c r="W11" s="771">
        <f t="shared" si="2"/>
        <v>100</v>
      </c>
      <c r="X11" s="772"/>
      <c r="Y11" s="3067"/>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44"/>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44"/>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44"/>
      <c r="Q14" s="1792">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46" t="s">
        <v>2556</v>
      </c>
      <c r="Q15" s="1807" t="str">
        <f t="shared" si="6"/>
        <v>产业集聚程度</v>
      </c>
      <c r="R15" s="774" t="s">
        <v>17</v>
      </c>
      <c r="S15" s="775">
        <f t="shared" si="0"/>
        <v>100</v>
      </c>
      <c r="T15" s="774" t="s">
        <v>17</v>
      </c>
      <c r="U15" s="775">
        <f t="shared" si="1"/>
        <v>100</v>
      </c>
      <c r="V15" s="774" t="s">
        <v>17</v>
      </c>
      <c r="W15" s="775">
        <f t="shared" si="2"/>
        <v>100</v>
      </c>
      <c r="X15" s="1810"/>
      <c r="Y15" s="3246"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47"/>
      <c r="Q16" s="1807"/>
      <c r="R16" s="774"/>
      <c r="S16" s="775"/>
      <c r="T16" s="774"/>
      <c r="U16" s="775"/>
      <c r="V16" s="774"/>
      <c r="W16" s="775"/>
      <c r="X16" s="1810"/>
      <c r="Y16" s="3247"/>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47"/>
      <c r="Q17" s="1807" t="str">
        <f>B17</f>
        <v>交通便捷度</v>
      </c>
      <c r="R17" s="774" t="s">
        <v>17</v>
      </c>
      <c r="S17" s="775">
        <f>F17</f>
        <v>97</v>
      </c>
      <c r="T17" s="774" t="s">
        <v>17</v>
      </c>
      <c r="U17" s="775">
        <f>H17</f>
        <v>100</v>
      </c>
      <c r="V17" s="774" t="s">
        <v>17</v>
      </c>
      <c r="W17" s="775">
        <f>J17</f>
        <v>100</v>
      </c>
      <c r="X17" s="1810"/>
      <c r="Y17" s="3247"/>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47"/>
      <c r="Q18" s="1807"/>
      <c r="R18" s="774"/>
      <c r="S18" s="775"/>
      <c r="T18" s="774"/>
      <c r="U18" s="775"/>
      <c r="V18" s="774"/>
      <c r="W18" s="775"/>
      <c r="X18" s="1810"/>
      <c r="Y18" s="3247"/>
      <c r="Z18" s="1811"/>
      <c r="AA18" s="1808">
        <v>1</v>
      </c>
      <c r="AB18" s="1808">
        <v>1</v>
      </c>
      <c r="AC18" s="1808">
        <v>1</v>
      </c>
    </row>
    <row r="19" spans="1:29" ht="41.4">
      <c r="A19" s="428"/>
      <c r="B19" s="451" t="s">
        <v>2684</v>
      </c>
      <c r="C19" s="2602" t="str">
        <f>估价对象房地状况!G5</f>
        <v>估价对象所在区域公共配套设施齐备情况好</v>
      </c>
      <c r="D19" s="455">
        <v>100</v>
      </c>
      <c r="E19" s="459"/>
      <c r="F19" s="458">
        <f>SUMIF(74:74,E20,75:75)-SUMIF(74:74,C20,75:75)+100</f>
        <v>97</v>
      </c>
      <c r="G19" s="459"/>
      <c r="H19" s="450">
        <f>SUMIF(74:74,G20,75:75)-SUMIF(74:74,C20,75:75)+100</f>
        <v>100</v>
      </c>
      <c r="I19" s="457"/>
      <c r="J19" s="450">
        <f>SUMIF(74:74,I20,75:75)-SUMIF(74:74,C20,75:75)+100</f>
        <v>100</v>
      </c>
      <c r="K19" s="614">
        <v>3</v>
      </c>
      <c r="L19" s="1137"/>
      <c r="M19" s="1128"/>
      <c r="N19" s="1128"/>
      <c r="O19" s="1136"/>
      <c r="P19" s="3247"/>
      <c r="Q19" s="1807" t="str">
        <f>B19</f>
        <v>公共配套设施</v>
      </c>
      <c r="R19" s="774" t="s">
        <v>17</v>
      </c>
      <c r="S19" s="775">
        <f>F19</f>
        <v>97</v>
      </c>
      <c r="T19" s="774" t="s">
        <v>17</v>
      </c>
      <c r="U19" s="775">
        <f>H19</f>
        <v>100</v>
      </c>
      <c r="V19" s="774" t="s">
        <v>17</v>
      </c>
      <c r="W19" s="775">
        <f>J19</f>
        <v>100</v>
      </c>
      <c r="X19" s="1810"/>
      <c r="Y19" s="3247"/>
      <c r="Z19" s="1811" t="str">
        <f>Q19</f>
        <v>公共配套设施</v>
      </c>
      <c r="AA19" s="1808">
        <f t="shared" si="3"/>
        <v>1.0309278350515463</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47"/>
      <c r="Q20" s="1807"/>
      <c r="R20" s="774"/>
      <c r="S20" s="775"/>
      <c r="T20" s="774"/>
      <c r="U20" s="775"/>
      <c r="V20" s="774"/>
      <c r="W20" s="775"/>
      <c r="X20" s="1810"/>
      <c r="Y20" s="3247"/>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47"/>
      <c r="Q21" s="1807" t="str">
        <f>B21</f>
        <v>基础设施水平</v>
      </c>
      <c r="R21" s="774" t="s">
        <v>17</v>
      </c>
      <c r="S21" s="775">
        <f>F21</f>
        <v>100</v>
      </c>
      <c r="T21" s="774" t="s">
        <v>17</v>
      </c>
      <c r="U21" s="775">
        <f>H21</f>
        <v>100</v>
      </c>
      <c r="V21" s="774" t="s">
        <v>17</v>
      </c>
      <c r="W21" s="775">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47"/>
      <c r="Q22" s="1807"/>
      <c r="R22" s="774"/>
      <c r="S22" s="775"/>
      <c r="T22" s="774"/>
      <c r="U22" s="775"/>
      <c r="V22" s="774"/>
      <c r="W22" s="775"/>
      <c r="X22" s="1810"/>
      <c r="Y22" s="3247"/>
      <c r="Z22" s="1811"/>
      <c r="AA22" s="1808">
        <v>1</v>
      </c>
      <c r="AB22" s="1808">
        <v>1</v>
      </c>
      <c r="AC22" s="1808">
        <v>1</v>
      </c>
    </row>
    <row r="23" spans="1:29" ht="55.2">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47"/>
      <c r="Q23" s="1807" t="str">
        <f>B23</f>
        <v>环境质量</v>
      </c>
      <c r="R23" s="774" t="s">
        <v>17</v>
      </c>
      <c r="S23" s="775">
        <f>F23</f>
        <v>100</v>
      </c>
      <c r="T23" s="774" t="s">
        <v>17</v>
      </c>
      <c r="U23" s="775">
        <f>H23</f>
        <v>100</v>
      </c>
      <c r="V23" s="774" t="s">
        <v>17</v>
      </c>
      <c r="W23" s="775">
        <f>J23</f>
        <v>100</v>
      </c>
      <c r="X23" s="1810"/>
      <c r="Y23" s="3247"/>
      <c r="Z23" s="1811" t="str">
        <f>Q23</f>
        <v>环境质量</v>
      </c>
      <c r="AA23" s="1808">
        <f t="shared" si="3"/>
        <v>1</v>
      </c>
      <c r="AB23" s="1808">
        <f t="shared" si="4"/>
        <v>1</v>
      </c>
      <c r="AC23" s="1808">
        <f t="shared" si="5"/>
        <v>1</v>
      </c>
    </row>
    <row r="24" spans="1:29" ht="15.6" thickBot="1">
      <c r="A24" s="428"/>
      <c r="B24" s="1381"/>
      <c r="C24" s="447" t="s">
        <v>3081</v>
      </c>
      <c r="D24" s="448"/>
      <c r="E24" s="447" t="s">
        <v>3081</v>
      </c>
      <c r="F24" s="449"/>
      <c r="G24" s="447" t="s">
        <v>3081</v>
      </c>
      <c r="H24" s="448"/>
      <c r="I24" s="2600" t="s">
        <v>3081</v>
      </c>
      <c r="J24" s="448"/>
      <c r="K24" s="615"/>
      <c r="L24" s="1137"/>
      <c r="M24" s="1128"/>
      <c r="N24" s="1128"/>
      <c r="O24" s="1136"/>
      <c r="P24" s="3247"/>
      <c r="Q24" s="1807"/>
      <c r="R24" s="774"/>
      <c r="S24" s="775"/>
      <c r="T24" s="774"/>
      <c r="U24" s="775"/>
      <c r="V24" s="774"/>
      <c r="W24" s="775"/>
      <c r="X24" s="1810"/>
      <c r="Y24" s="3247"/>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47"/>
      <c r="Q25" s="1807">
        <f>B25</f>
        <v>111</v>
      </c>
      <c r="R25" s="774" t="s">
        <v>17</v>
      </c>
      <c r="S25" s="775">
        <f>F25</f>
        <v>100</v>
      </c>
      <c r="T25" s="774" t="s">
        <v>17</v>
      </c>
      <c r="U25" s="775">
        <f>H25</f>
        <v>100</v>
      </c>
      <c r="V25" s="774" t="s">
        <v>17</v>
      </c>
      <c r="W25" s="775">
        <f>J25</f>
        <v>100</v>
      </c>
      <c r="X25" s="1810"/>
      <c r="Y25" s="3247"/>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47"/>
      <c r="Q26" s="1807">
        <f t="shared" ref="Q26:Q40" si="11">B26</f>
        <v>111</v>
      </c>
      <c r="R26" s="774" t="s">
        <v>17</v>
      </c>
      <c r="S26" s="775">
        <f>F26</f>
        <v>100</v>
      </c>
      <c r="T26" s="774" t="s">
        <v>17</v>
      </c>
      <c r="U26" s="775">
        <f>H26</f>
        <v>100</v>
      </c>
      <c r="V26" s="774" t="s">
        <v>17</v>
      </c>
      <c r="W26" s="775">
        <f>J26</f>
        <v>100</v>
      </c>
      <c r="X26" s="1810"/>
      <c r="Y26" s="3247"/>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47"/>
      <c r="Q27" s="1792">
        <f t="shared" si="11"/>
        <v>111</v>
      </c>
      <c r="R27" s="770" t="s">
        <v>17</v>
      </c>
      <c r="S27" s="771">
        <f>F27</f>
        <v>100</v>
      </c>
      <c r="T27" s="770" t="s">
        <v>17</v>
      </c>
      <c r="U27" s="771">
        <f>H27</f>
        <v>100</v>
      </c>
      <c r="V27" s="770" t="s">
        <v>17</v>
      </c>
      <c r="W27" s="771">
        <f>J27</f>
        <v>100</v>
      </c>
      <c r="X27" s="772"/>
      <c r="Y27" s="3247"/>
      <c r="Z27" s="55">
        <f>Q27</f>
        <v>111</v>
      </c>
      <c r="AA27" s="1808">
        <f>D27/F27</f>
        <v>1</v>
      </c>
      <c r="AB27" s="1808">
        <f>D27/H27</f>
        <v>1</v>
      </c>
      <c r="AC27" s="1808">
        <f>D27/J27</f>
        <v>1</v>
      </c>
    </row>
    <row r="28" spans="1:29" ht="15.6"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47"/>
      <c r="Q28" s="1807">
        <f t="shared" si="11"/>
        <v>111</v>
      </c>
      <c r="R28" s="774" t="s">
        <v>17</v>
      </c>
      <c r="S28" s="775">
        <f t="shared" ref="S28:S40" si="12">F28</f>
        <v>100</v>
      </c>
      <c r="T28" s="774" t="s">
        <v>17</v>
      </c>
      <c r="U28" s="775">
        <f t="shared" ref="U28:U40" si="13">H28</f>
        <v>100</v>
      </c>
      <c r="V28" s="774" t="s">
        <v>17</v>
      </c>
      <c r="W28" s="775">
        <f t="shared" ref="W28:W40" si="14">J28</f>
        <v>100</v>
      </c>
      <c r="X28" s="1810"/>
      <c r="Y28" s="3247"/>
      <c r="Z28" s="1811">
        <f t="shared" ref="Z28:Z40" si="15">Q28</f>
        <v>111</v>
      </c>
      <c r="AA28" s="1808">
        <f t="shared" si="3"/>
        <v>1</v>
      </c>
      <c r="AB28" s="1808">
        <f t="shared" si="4"/>
        <v>1</v>
      </c>
      <c r="AC28" s="1808">
        <f t="shared" si="5"/>
        <v>1</v>
      </c>
    </row>
    <row r="29" spans="1:29" ht="30">
      <c r="A29" s="466" t="s">
        <v>2559</v>
      </c>
      <c r="B29" s="71" t="s">
        <v>2689</v>
      </c>
      <c r="C29" s="2674" t="s">
        <v>3107</v>
      </c>
      <c r="D29" s="467">
        <v>100</v>
      </c>
      <c r="E29" s="2674" t="s">
        <v>3107</v>
      </c>
      <c r="F29" s="461">
        <f>SUMIF(88:88,E29,89:89)-SUMIF(88:88,C29,89:89)+100</f>
        <v>100</v>
      </c>
      <c r="G29" s="2674" t="s">
        <v>3107</v>
      </c>
      <c r="H29" s="435">
        <f>SUMIF(88:88,G29,89:89)-SUMIF(88:88,C29,89:89)+100</f>
        <v>100</v>
      </c>
      <c r="I29" s="2674" t="s">
        <v>3107</v>
      </c>
      <c r="J29" s="467">
        <f>SUMIF(88:88,I29,89:89)-SUMIF(88:88,C29,89:89)+100</f>
        <v>100</v>
      </c>
      <c r="K29" s="612">
        <v>2</v>
      </c>
      <c r="L29" s="1137"/>
      <c r="M29" s="1128"/>
      <c r="N29" s="1128"/>
      <c r="O29" s="1136"/>
      <c r="P29" s="3302" t="s">
        <v>2561</v>
      </c>
      <c r="Q29" s="1807" t="str">
        <f t="shared" si="11"/>
        <v>建筑类型</v>
      </c>
      <c r="R29" s="774" t="s">
        <v>17</v>
      </c>
      <c r="S29" s="775">
        <f t="shared" si="12"/>
        <v>100</v>
      </c>
      <c r="T29" s="774" t="s">
        <v>17</v>
      </c>
      <c r="U29" s="775">
        <f t="shared" si="13"/>
        <v>100</v>
      </c>
      <c r="V29" s="774" t="s">
        <v>17</v>
      </c>
      <c r="W29" s="775">
        <f t="shared" si="14"/>
        <v>100</v>
      </c>
      <c r="X29" s="1810"/>
      <c r="Y29" s="3251" t="s">
        <v>2561</v>
      </c>
      <c r="Z29" s="1811" t="str">
        <f t="shared" si="15"/>
        <v>建筑类型</v>
      </c>
      <c r="AA29" s="1808">
        <f t="shared" si="3"/>
        <v>1</v>
      </c>
      <c r="AB29" s="1808">
        <f t="shared" si="4"/>
        <v>1</v>
      </c>
      <c r="AC29" s="1808">
        <f t="shared" si="5"/>
        <v>1</v>
      </c>
    </row>
    <row r="30" spans="1:29" s="471" customFormat="1" ht="15">
      <c r="A30" s="468"/>
      <c r="B30" s="422" t="s">
        <v>2562</v>
      </c>
      <c r="C30" s="469">
        <f>'数据-汇总表'!F19</f>
        <v>50526.07</v>
      </c>
      <c r="D30" s="136">
        <v>100</v>
      </c>
      <c r="E30" s="430">
        <v>4000</v>
      </c>
      <c r="F30" s="425">
        <f>LOOKUP(E30,91:91,92:92)-LOOKUP(C30,91:91,92:92)+100</f>
        <v>104</v>
      </c>
      <c r="G30" s="429">
        <v>40000</v>
      </c>
      <c r="H30" s="136">
        <f>LOOKUP(G30,91:91,92:92)-LOOKUP(C30,91:91,92:92)+100</f>
        <v>100</v>
      </c>
      <c r="I30" s="429">
        <v>4241</v>
      </c>
      <c r="J30" s="136">
        <f>LOOKUP(I30,91:91,92:92)-LOOKUP(C30,91:91,92:92)+100</f>
        <v>104</v>
      </c>
      <c r="K30" s="613"/>
      <c r="L30" s="1135"/>
      <c r="M30" s="1138"/>
      <c r="N30" s="1138"/>
      <c r="O30" s="1139"/>
      <c r="P30" s="3251"/>
      <c r="Q30" s="776" t="str">
        <f t="shared" si="11"/>
        <v>项目建筑规模</v>
      </c>
      <c r="R30" s="777" t="s">
        <v>17</v>
      </c>
      <c r="S30" s="778">
        <f t="shared" si="12"/>
        <v>104</v>
      </c>
      <c r="T30" s="777" t="s">
        <v>17</v>
      </c>
      <c r="U30" s="778">
        <f t="shared" si="13"/>
        <v>100</v>
      </c>
      <c r="V30" s="777" t="s">
        <v>17</v>
      </c>
      <c r="W30" s="778">
        <f t="shared" si="14"/>
        <v>104</v>
      </c>
      <c r="X30" s="779"/>
      <c r="Y30" s="3251"/>
      <c r="Z30" s="780" t="str">
        <f t="shared" si="15"/>
        <v>项目建筑规模</v>
      </c>
      <c r="AA30" s="1808">
        <f t="shared" si="3"/>
        <v>0.96153846153846156</v>
      </c>
      <c r="AB30" s="1808">
        <f t="shared" si="4"/>
        <v>1</v>
      </c>
      <c r="AC30" s="1808">
        <f t="shared" si="5"/>
        <v>0.96153846153846156</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1</v>
      </c>
      <c r="L31" s="1137"/>
      <c r="M31" s="1128"/>
      <c r="N31" s="1128"/>
      <c r="O31" s="1136"/>
      <c r="P31" s="3251"/>
      <c r="Q31" s="1807" t="str">
        <f t="shared" si="11"/>
        <v>建筑结构</v>
      </c>
      <c r="R31" s="774" t="s">
        <v>17</v>
      </c>
      <c r="S31" s="775">
        <f t="shared" si="12"/>
        <v>100</v>
      </c>
      <c r="T31" s="774" t="s">
        <v>17</v>
      </c>
      <c r="U31" s="775">
        <f t="shared" si="13"/>
        <v>100</v>
      </c>
      <c r="V31" s="774" t="s">
        <v>17</v>
      </c>
      <c r="W31" s="775">
        <f t="shared" si="14"/>
        <v>100</v>
      </c>
      <c r="X31" s="1810"/>
      <c r="Y31" s="3251"/>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2987">
        <v>1</v>
      </c>
      <c r="L32" s="1137"/>
      <c r="M32" s="1128"/>
      <c r="N32" s="1128"/>
      <c r="O32" s="1136"/>
      <c r="P32" s="3251"/>
      <c r="Q32" s="1807" t="str">
        <f t="shared" si="11"/>
        <v>公共部分装修</v>
      </c>
      <c r="R32" s="774" t="s">
        <v>17</v>
      </c>
      <c r="S32" s="775">
        <f t="shared" si="12"/>
        <v>100</v>
      </c>
      <c r="T32" s="774" t="s">
        <v>17</v>
      </c>
      <c r="U32" s="775">
        <f t="shared" si="13"/>
        <v>100</v>
      </c>
      <c r="V32" s="774" t="s">
        <v>17</v>
      </c>
      <c r="W32" s="775">
        <f t="shared" si="14"/>
        <v>100</v>
      </c>
      <c r="X32" s="1810"/>
      <c r="Y32" s="3251"/>
      <c r="Z32" s="1811" t="str">
        <f t="shared" si="15"/>
        <v>公共部分装修</v>
      </c>
      <c r="AA32" s="1808">
        <f t="shared" si="3"/>
        <v>1</v>
      </c>
      <c r="AB32" s="1808">
        <f t="shared" si="4"/>
        <v>1</v>
      </c>
      <c r="AC32" s="1808">
        <f t="shared" si="5"/>
        <v>1</v>
      </c>
    </row>
    <row r="33" spans="1:29" ht="15">
      <c r="A33" s="472"/>
      <c r="B33" s="422" t="s">
        <v>2658</v>
      </c>
      <c r="C33" s="2956">
        <f>'数据-取费表'!N6</f>
        <v>0.87</v>
      </c>
      <c r="D33" s="435">
        <v>100</v>
      </c>
      <c r="E33" s="474">
        <v>0.95</v>
      </c>
      <c r="F33" s="461">
        <f>LOOKUP(E33,98:98,99:99)-LOOKUP(C33,98:98,99:99)+100</f>
        <v>102</v>
      </c>
      <c r="G33" s="474">
        <v>0.98</v>
      </c>
      <c r="H33" s="461">
        <f>LOOKUP(G33,98:98,99:99)-LOOKUP(C33,98:98,99:99)+100</f>
        <v>102</v>
      </c>
      <c r="I33" s="474">
        <f>ROUND(1-(2018-2004)/60,2)</f>
        <v>0.77</v>
      </c>
      <c r="J33" s="435">
        <f>LOOKUP(I33,98:98,99:99)-LOOKUP(C33,98:98,99:99)+100</f>
        <v>98</v>
      </c>
      <c r="K33" s="612">
        <v>2</v>
      </c>
      <c r="L33" s="1137"/>
      <c r="M33" s="1128"/>
      <c r="N33" s="1128"/>
      <c r="O33" s="1136"/>
      <c r="P33" s="3251"/>
      <c r="Q33" s="1807" t="str">
        <f t="shared" si="11"/>
        <v>成新度</v>
      </c>
      <c r="R33" s="774" t="s">
        <v>17</v>
      </c>
      <c r="S33" s="775">
        <f t="shared" si="12"/>
        <v>102</v>
      </c>
      <c r="T33" s="774" t="s">
        <v>17</v>
      </c>
      <c r="U33" s="775">
        <f t="shared" si="13"/>
        <v>102</v>
      </c>
      <c r="V33" s="774" t="s">
        <v>17</v>
      </c>
      <c r="W33" s="775">
        <f t="shared" si="14"/>
        <v>98</v>
      </c>
      <c r="X33" s="1810"/>
      <c r="Y33" s="3251"/>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3093</v>
      </c>
      <c r="D34" s="136">
        <v>100</v>
      </c>
      <c r="E34" s="460" t="s">
        <v>3093</v>
      </c>
      <c r="F34" s="461">
        <f>SUMIF(100:100,E34,101:101)-SUMIF(100:100,C34,101:101)+100</f>
        <v>100</v>
      </c>
      <c r="G34" s="460" t="s">
        <v>3093</v>
      </c>
      <c r="H34" s="435">
        <f>SUMIF(100:100,G34,101:101)-SUMIF(100:100,C34,101:101)+100</f>
        <v>100</v>
      </c>
      <c r="I34" s="460" t="s">
        <v>3093</v>
      </c>
      <c r="J34" s="435">
        <f>SUMIF(100:100,I34,101:101)-SUMIF(100:100,C34,101:101)+100</f>
        <v>100</v>
      </c>
      <c r="K34" s="612">
        <v>1</v>
      </c>
      <c r="L34" s="1129"/>
      <c r="M34" s="1130"/>
      <c r="N34" s="1130"/>
      <c r="O34" s="1131"/>
      <c r="P34" s="3251"/>
      <c r="Q34" s="1792"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1</v>
      </c>
      <c r="L35" s="1137"/>
      <c r="M35" s="1128"/>
      <c r="N35" s="1128"/>
      <c r="O35" s="1136"/>
      <c r="P35" s="3251" t="s">
        <v>2561</v>
      </c>
      <c r="Q35" s="1807" t="str">
        <f t="shared" si="11"/>
        <v>市政基础设施</v>
      </c>
      <c r="R35" s="774" t="s">
        <v>17</v>
      </c>
      <c r="S35" s="775">
        <f t="shared" si="12"/>
        <v>100</v>
      </c>
      <c r="T35" s="774" t="s">
        <v>17</v>
      </c>
      <c r="U35" s="775">
        <f t="shared" si="13"/>
        <v>100</v>
      </c>
      <c r="V35" s="774" t="s">
        <v>17</v>
      </c>
      <c r="W35" s="775">
        <f t="shared" si="14"/>
        <v>100</v>
      </c>
      <c r="X35" s="1810"/>
      <c r="Y35" s="3251"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99</v>
      </c>
      <c r="G36" s="460" t="s">
        <v>3092</v>
      </c>
      <c r="H36" s="435">
        <f>SUMIF(104:104,G36,105:105)-SUMIF(104:104,C36,105:105)+100</f>
        <v>97</v>
      </c>
      <c r="I36" s="460" t="s">
        <v>3090</v>
      </c>
      <c r="J36" s="435">
        <f>SUMIF(104:104,I36,105:105)-SUMIF(104:104,C36,105:105)+100</f>
        <v>99</v>
      </c>
      <c r="K36" s="2987">
        <v>1</v>
      </c>
      <c r="L36" s="1137"/>
      <c r="M36" s="1128"/>
      <c r="N36" s="1128"/>
      <c r="O36" s="1136"/>
      <c r="P36" s="3251"/>
      <c r="Q36" s="1807" t="str">
        <f t="shared" si="11"/>
        <v>内部装修</v>
      </c>
      <c r="R36" s="774" t="s">
        <v>17</v>
      </c>
      <c r="S36" s="775">
        <f t="shared" si="12"/>
        <v>99</v>
      </c>
      <c r="T36" s="774" t="s">
        <v>17</v>
      </c>
      <c r="U36" s="775">
        <f t="shared" si="13"/>
        <v>97</v>
      </c>
      <c r="V36" s="774" t="s">
        <v>17</v>
      </c>
      <c r="W36" s="775">
        <f t="shared" si="14"/>
        <v>99</v>
      </c>
      <c r="X36" s="1810"/>
      <c r="Y36" s="3251"/>
      <c r="Z36" s="1811" t="str">
        <f t="shared" si="15"/>
        <v>内部装修</v>
      </c>
      <c r="AA36" s="1808">
        <f t="shared" si="3"/>
        <v>1.0101010101010102</v>
      </c>
      <c r="AB36" s="1808">
        <f t="shared" si="4"/>
        <v>1.0309278350515463</v>
      </c>
      <c r="AC36" s="1808">
        <f t="shared" si="5"/>
        <v>1.0101010101010102</v>
      </c>
    </row>
    <row r="37" spans="1:29" ht="15.6"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51"/>
      <c r="Q37" s="1807" t="str">
        <f t="shared" si="11"/>
        <v>内部装修状况</v>
      </c>
      <c r="R37" s="774" t="s">
        <v>17</v>
      </c>
      <c r="S37" s="775">
        <f t="shared" si="12"/>
        <v>100</v>
      </c>
      <c r="T37" s="774" t="s">
        <v>17</v>
      </c>
      <c r="U37" s="775">
        <f t="shared" si="13"/>
        <v>100</v>
      </c>
      <c r="V37" s="774" t="s">
        <v>17</v>
      </c>
      <c r="W37" s="775">
        <f t="shared" si="14"/>
        <v>100</v>
      </c>
      <c r="X37" s="1810"/>
      <c r="Y37" s="3251"/>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51"/>
      <c r="Q39" s="1807">
        <f t="shared" si="11"/>
        <v>111</v>
      </c>
      <c r="R39" s="774" t="s">
        <v>17</v>
      </c>
      <c r="S39" s="775">
        <f t="shared" si="12"/>
        <v>100</v>
      </c>
      <c r="T39" s="774" t="s">
        <v>17</v>
      </c>
      <c r="U39" s="775">
        <f t="shared" si="13"/>
        <v>100</v>
      </c>
      <c r="V39" s="774" t="s">
        <v>17</v>
      </c>
      <c r="W39" s="775">
        <f t="shared" si="14"/>
        <v>100</v>
      </c>
      <c r="X39" s="1810"/>
      <c r="Y39" s="3251"/>
      <c r="Z39" s="1811">
        <f t="shared" si="15"/>
        <v>111</v>
      </c>
      <c r="AA39" s="1808">
        <f t="shared" si="3"/>
        <v>1</v>
      </c>
      <c r="AB39" s="1808">
        <f t="shared" si="4"/>
        <v>1</v>
      </c>
      <c r="AC39" s="1808">
        <f t="shared" si="5"/>
        <v>1</v>
      </c>
    </row>
    <row r="40" spans="1:29" ht="15.6"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2"/>
      <c r="Q40" s="1807">
        <f t="shared" si="11"/>
        <v>111</v>
      </c>
      <c r="R40" s="774" t="s">
        <v>17</v>
      </c>
      <c r="S40" s="775">
        <f t="shared" si="12"/>
        <v>100</v>
      </c>
      <c r="T40" s="774" t="s">
        <v>17</v>
      </c>
      <c r="U40" s="775">
        <f t="shared" si="13"/>
        <v>100</v>
      </c>
      <c r="V40" s="774" t="s">
        <v>17</v>
      </c>
      <c r="W40" s="775">
        <f t="shared" si="14"/>
        <v>100</v>
      </c>
      <c r="X40" s="1810"/>
      <c r="Y40" s="3252"/>
      <c r="Z40" s="1811">
        <f t="shared" si="15"/>
        <v>111</v>
      </c>
      <c r="AA40" s="1808">
        <f t="shared" si="3"/>
        <v>1</v>
      </c>
      <c r="AB40" s="1808">
        <f t="shared" si="4"/>
        <v>1</v>
      </c>
      <c r="AC40" s="1808">
        <f t="shared" si="5"/>
        <v>1</v>
      </c>
    </row>
    <row r="41" spans="1:29" ht="14.4">
      <c r="A41" s="479" t="s">
        <v>2573</v>
      </c>
      <c r="B41" s="480"/>
      <c r="C41" s="1404" t="s">
        <v>1</v>
      </c>
      <c r="D41" s="1405"/>
      <c r="E41" s="1406">
        <v>40000</v>
      </c>
      <c r="F41" s="1407"/>
      <c r="G41" s="1408">
        <v>40000</v>
      </c>
      <c r="H41" s="1409"/>
      <c r="I41" s="1406">
        <v>37000</v>
      </c>
      <c r="J41" s="1409"/>
      <c r="K41" s="783"/>
      <c r="L41" s="1140"/>
      <c r="M41" s="1141"/>
      <c r="N41" s="1128"/>
      <c r="O41" s="1141"/>
      <c r="P41" s="3244" t="str">
        <f>A41</f>
        <v>成交单价（元/平方米）</v>
      </c>
      <c r="Q41" s="3244"/>
      <c r="R41" s="3245">
        <f>E41</f>
        <v>40000</v>
      </c>
      <c r="S41" s="3245"/>
      <c r="T41" s="3245">
        <f>G41</f>
        <v>40000</v>
      </c>
      <c r="U41" s="3245"/>
      <c r="V41" s="3245">
        <f>I41</f>
        <v>37000</v>
      </c>
      <c r="W41" s="3245"/>
      <c r="X41" s="759"/>
      <c r="Y41" s="781"/>
      <c r="Z41" s="759"/>
      <c r="AA41" s="759"/>
      <c r="AB41" s="759"/>
      <c r="AC41" s="759"/>
    </row>
    <row r="42" spans="1:29" ht="15" thickBot="1">
      <c r="A42" s="486" t="s">
        <v>2665</v>
      </c>
      <c r="B42" s="487"/>
      <c r="C42" s="1410">
        <f>R43</f>
        <v>39047</v>
      </c>
      <c r="D42" s="1411"/>
      <c r="E42" s="1412">
        <f>R42</f>
        <v>39687</v>
      </c>
      <c r="F42" s="1412"/>
      <c r="G42" s="1410">
        <f>T42</f>
        <v>40036</v>
      </c>
      <c r="H42" s="1411"/>
      <c r="I42" s="1412">
        <f>V42</f>
        <v>37418</v>
      </c>
      <c r="J42" s="1411"/>
      <c r="K42" s="784"/>
      <c r="L42" s="1140"/>
      <c r="M42" s="1141"/>
      <c r="N42" s="1128"/>
      <c r="O42" s="1141"/>
      <c r="P42" s="3244" t="str">
        <f>A42</f>
        <v>比较价值（元/平方米）</v>
      </c>
      <c r="Q42" s="3244"/>
      <c r="R42" s="3245">
        <f>IF(F1="售价",ROUND(PRODUCT(R41,AA7:AA40),0),ROUND(PRODUCT(R41,AA7:AA40),1))</f>
        <v>39687</v>
      </c>
      <c r="S42" s="3245"/>
      <c r="T42" s="3245">
        <f>IF(F1="售价",ROUND(PRODUCT(T41,AB7:AB40),0),ROUND(PRODUCT(T41,AB7:AB40),1))</f>
        <v>40036</v>
      </c>
      <c r="U42" s="3245"/>
      <c r="V42" s="3245">
        <f>IF(F1="售价",ROUND(PRODUCT(V41,AC7:AC40),0),ROUND(PRODUCT(V41,AC7:AC40),1))</f>
        <v>37418</v>
      </c>
      <c r="W42" s="3245"/>
      <c r="X42" s="759"/>
      <c r="Y42" s="759"/>
      <c r="Z42" s="759"/>
      <c r="AA42" s="759"/>
      <c r="AB42" s="759"/>
      <c r="AC42" s="759"/>
    </row>
    <row r="43" spans="1:29" ht="15" thickBot="1">
      <c r="A43" s="492" t="s">
        <v>2666</v>
      </c>
      <c r="B43" s="493"/>
      <c r="C43" s="1414">
        <f>R43</f>
        <v>39047</v>
      </c>
      <c r="D43" s="1414"/>
      <c r="E43" s="1414"/>
      <c r="F43" s="1414"/>
      <c r="G43" s="1414"/>
      <c r="H43" s="1414"/>
      <c r="I43" s="1414"/>
      <c r="J43" s="1414"/>
      <c r="K43" s="785"/>
      <c r="L43" s="1140"/>
      <c r="M43" s="1141"/>
      <c r="N43" s="1141"/>
      <c r="O43" s="1141"/>
      <c r="P43" s="3241" t="str">
        <f>A43</f>
        <v>估价对象XX用房的比较价值（楼面单价，元/平方米）</v>
      </c>
      <c r="Q43" s="3242"/>
      <c r="R43" s="3243">
        <f>IF(F1="售价",ROUND(AVERAGE(R42:V42),0),ROUND(AVERAGE(R42:V42),1))</f>
        <v>39047</v>
      </c>
      <c r="S43" s="3243"/>
      <c r="T43" s="3243"/>
      <c r="U43" s="3243"/>
      <c r="V43" s="3243"/>
      <c r="W43" s="3243"/>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7.8867135333988703E-3</v>
      </c>
      <c r="F46" s="500" t="str">
        <f>IF(OR(E46&gt;=0.3,E46&lt;=-0.3),"超过30%","")</f>
        <v/>
      </c>
      <c r="G46" s="499">
        <f>IF(G41&lt;G42,G42/G41-1,G41/G42-1)</f>
        <v>8.9999999999990088E-4</v>
      </c>
      <c r="H46" s="500" t="str">
        <f>IF(OR(G46&gt;=0.3,G46&lt;=-0.3),"超过30%","")</f>
        <v/>
      </c>
      <c r="I46" s="499">
        <f>IF(I41&lt;I42,I42/I41-1,I41/I42-1)</f>
        <v>1.1297297297297337E-2</v>
      </c>
      <c r="J46" s="500" t="str">
        <f>IF(OR(I46&gt;=0.3,I46&lt;=-0.3),"超过30%","")</f>
        <v/>
      </c>
      <c r="K46" s="1102"/>
      <c r="L46" s="1103"/>
      <c r="M46" s="1141"/>
      <c r="N46" s="1141"/>
      <c r="O46" s="1141"/>
    </row>
    <row r="47" spans="1:29" ht="13.5" customHeight="1">
      <c r="A47" s="1141"/>
      <c r="B47" s="1141"/>
      <c r="C47" s="497" t="s">
        <v>2668</v>
      </c>
      <c r="D47" s="501"/>
      <c r="E47" s="499">
        <f>IF(E42&lt;G42,G42/E42-1,E42/G42-1)</f>
        <v>8.7938115755790136E-3</v>
      </c>
      <c r="F47" s="500" t="str">
        <f>IF(OR(E47&gt;=0.2,E47&lt;=-0.2),"超过20%","")</f>
        <v/>
      </c>
      <c r="G47" s="499">
        <f>IF(G42&lt;I42,I42/G42-1,G42/I42-1)</f>
        <v>6.9966326366989184E-2</v>
      </c>
      <c r="H47" s="500" t="str">
        <f>IF(OR(G47&gt;=0.2,G47&lt;=-0.2),"超过20%","")</f>
        <v/>
      </c>
      <c r="I47" s="499">
        <f>IF(I42&lt;E42,E42/I42-1,I42/E42-1)</f>
        <v>6.0639264525094827E-2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c r="A53" s="509"/>
      <c r="B53" s="510"/>
      <c r="C53" s="1570">
        <v>100</v>
      </c>
      <c r="D53" s="512">
        <f>C53-1</f>
        <v>99</v>
      </c>
      <c r="E53" s="512">
        <f t="shared" ref="E53:G53" si="17">D53-1</f>
        <v>98</v>
      </c>
      <c r="F53" s="512">
        <f t="shared" si="17"/>
        <v>97</v>
      </c>
      <c r="G53" s="512">
        <f t="shared" si="17"/>
        <v>96</v>
      </c>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t="str">
        <f>C9</f>
        <v>工业</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98</v>
      </c>
      <c r="G60" s="544">
        <f>F60-$K10</f>
        <v>96</v>
      </c>
      <c r="H60" s="544">
        <f>G60-$K10</f>
        <v>94</v>
      </c>
      <c r="I60" s="544">
        <f>H60-$K10</f>
        <v>92</v>
      </c>
      <c r="J60" s="544"/>
      <c r="K60" s="544"/>
      <c r="L60" s="544"/>
      <c r="M60" s="545"/>
      <c r="N60" s="1150"/>
      <c r="O60" s="1150"/>
      <c r="P60" s="45"/>
      <c r="Q60" s="504"/>
    </row>
    <row r="61" spans="1:17" ht="15" thickTop="1">
      <c r="A61" s="534"/>
      <c r="B61" s="546" t="s">
        <v>2554</v>
      </c>
      <c r="C61" s="547" t="str">
        <f>C62&amp;"（含）"&amp;"-"&amp;D62</f>
        <v>0（含）-0.5</v>
      </c>
      <c r="D61" s="547" t="str">
        <f t="shared" ref="D61:L61" si="18">D62&amp;"（含）"&amp;"-"&amp;E62</f>
        <v>0.5（含）-1</v>
      </c>
      <c r="E61" s="547" t="str">
        <f t="shared" si="18"/>
        <v>1（含）-1.5</v>
      </c>
      <c r="F61" s="547" t="str">
        <f t="shared" si="18"/>
        <v>1.5（含）-2</v>
      </c>
      <c r="G61" s="547" t="str">
        <f t="shared" si="18"/>
        <v>2（含）-</v>
      </c>
      <c r="H61" s="547" t="str">
        <f t="shared" si="18"/>
        <v>（含）-</v>
      </c>
      <c r="I61" s="547" t="str">
        <f t="shared" si="18"/>
        <v>（含）-</v>
      </c>
      <c r="J61" s="547" t="str">
        <f t="shared" si="18"/>
        <v>（含）-</v>
      </c>
      <c r="K61" s="547" t="str">
        <f t="shared" si="18"/>
        <v>（含）-</v>
      </c>
      <c r="L61" s="547" t="str">
        <f t="shared" si="18"/>
        <v>（含）-</v>
      </c>
      <c r="M61" s="448" t="str">
        <f>M62&amp;"（含）"&amp;"-"&amp;P62</f>
        <v>（含）-</v>
      </c>
      <c r="N61" s="1150"/>
      <c r="O61" s="1150"/>
      <c r="P61" s="45"/>
      <c r="Q61" s="504"/>
    </row>
    <row r="62" spans="1:17">
      <c r="A62" s="534"/>
      <c r="B62" s="548"/>
      <c r="C62" s="549">
        <v>0</v>
      </c>
      <c r="D62" s="549">
        <v>0.5</v>
      </c>
      <c r="E62" s="549">
        <v>1</v>
      </c>
      <c r="F62" s="549">
        <v>1.5</v>
      </c>
      <c r="G62" s="549">
        <v>2</v>
      </c>
      <c r="H62" s="549"/>
      <c r="I62" s="549"/>
      <c r="J62" s="549"/>
      <c r="K62" s="550"/>
      <c r="L62" s="551"/>
      <c r="M62" s="552"/>
      <c r="N62" s="1149"/>
      <c r="O62" s="1149"/>
      <c r="P62" s="45"/>
      <c r="Q62" s="504"/>
    </row>
    <row r="63" spans="1:17" ht="14.4"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97</v>
      </c>
      <c r="E75" s="544">
        <f>D75-$K19</f>
        <v>94</v>
      </c>
      <c r="F75" s="544">
        <f>E75-$K19</f>
        <v>91</v>
      </c>
      <c r="G75" s="544">
        <f>F75-$K19</f>
        <v>88</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28.8">
      <c r="A88" s="527" t="s">
        <v>2559</v>
      </c>
      <c r="B88" s="528" t="s">
        <v>2608</v>
      </c>
      <c r="C88" s="2953" t="s">
        <v>3106</v>
      </c>
      <c r="D88" s="2953" t="s">
        <v>3098</v>
      </c>
      <c r="E88" s="2953"/>
      <c r="F88" s="530"/>
      <c r="G88" s="530"/>
      <c r="H88" s="530"/>
      <c r="I88" s="530"/>
      <c r="J88" s="530"/>
      <c r="K88" s="531"/>
      <c r="L88" s="532"/>
      <c r="M88" s="533"/>
      <c r="N88" s="1149"/>
      <c r="O88" s="1149"/>
      <c r="P88" s="45"/>
      <c r="Q88" s="504"/>
    </row>
    <row r="89" spans="1:17" ht="14.4" thickBot="1">
      <c r="A89" s="534"/>
      <c r="B89" s="543"/>
      <c r="C89" s="544">
        <v>100</v>
      </c>
      <c r="D89" s="544">
        <f t="shared" ref="D89:M89" si="20">C89-$K29</f>
        <v>98</v>
      </c>
      <c r="E89" s="544">
        <f t="shared" si="20"/>
        <v>96</v>
      </c>
      <c r="F89" s="544">
        <f t="shared" si="20"/>
        <v>94</v>
      </c>
      <c r="G89" s="544">
        <f t="shared" si="20"/>
        <v>92</v>
      </c>
      <c r="H89" s="544">
        <f t="shared" si="20"/>
        <v>90</v>
      </c>
      <c r="I89" s="544">
        <f t="shared" si="20"/>
        <v>88</v>
      </c>
      <c r="J89" s="544">
        <f t="shared" si="20"/>
        <v>86</v>
      </c>
      <c r="K89" s="544">
        <f t="shared" si="20"/>
        <v>84</v>
      </c>
      <c r="L89" s="544">
        <f t="shared" si="20"/>
        <v>82</v>
      </c>
      <c r="M89" s="545">
        <f t="shared" si="20"/>
        <v>80</v>
      </c>
      <c r="N89" s="1150"/>
      <c r="O89" s="1150"/>
      <c r="P89" s="45"/>
      <c r="Q89" s="504"/>
    </row>
    <row r="90" spans="1:17" ht="29.25" customHeight="1" thickTop="1">
      <c r="A90" s="534"/>
      <c r="B90" s="538" t="s">
        <v>2609</v>
      </c>
      <c r="C90" s="578" t="str">
        <f>C91&amp;"(含)"&amp;"-"&amp;D91</f>
        <v>0(含)-20000</v>
      </c>
      <c r="D90" s="578" t="str">
        <f t="shared" ref="D90:L90" si="21">D91&amp;"(含)"&amp;"-"&amp;E91</f>
        <v>20000(含)-40000</v>
      </c>
      <c r="E90" s="578" t="str">
        <f t="shared" si="21"/>
        <v>40000(含)-60000</v>
      </c>
      <c r="F90" s="578" t="str">
        <f t="shared" si="21"/>
        <v>60000(含)-80000</v>
      </c>
      <c r="G90" s="578" t="str">
        <f t="shared" si="21"/>
        <v>80000(含)-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45"/>
      <c r="Q90" s="504"/>
    </row>
    <row r="91" spans="1:17" s="471" customFormat="1">
      <c r="A91" s="593"/>
      <c r="B91" s="594"/>
      <c r="C91" s="595">
        <v>0</v>
      </c>
      <c r="D91" s="595">
        <v>20000</v>
      </c>
      <c r="E91" s="595">
        <v>40000</v>
      </c>
      <c r="F91" s="595">
        <v>60000</v>
      </c>
      <c r="G91" s="595">
        <v>80000</v>
      </c>
      <c r="H91" s="595"/>
      <c r="I91" s="595"/>
      <c r="J91" s="596"/>
      <c r="K91" s="596"/>
      <c r="L91" s="597"/>
      <c r="M91" s="598"/>
      <c r="N91" s="1151"/>
      <c r="O91" s="1151"/>
      <c r="P91" s="558"/>
      <c r="Q91" s="559"/>
    </row>
    <row r="92" spans="1:17" s="471" customFormat="1" ht="14.4" thickBot="1">
      <c r="A92" s="553"/>
      <c r="B92" s="543"/>
      <c r="C92" s="560">
        <v>100</v>
      </c>
      <c r="D92" s="536">
        <f>C92-2</f>
        <v>98</v>
      </c>
      <c r="E92" s="536">
        <f t="shared" ref="E92:G92" si="22">D92-2</f>
        <v>96</v>
      </c>
      <c r="F92" s="536">
        <f t="shared" si="22"/>
        <v>94</v>
      </c>
      <c r="G92" s="536">
        <f t="shared" si="22"/>
        <v>92</v>
      </c>
      <c r="H92" s="536"/>
      <c r="I92" s="536"/>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4.4" thickBot="1">
      <c r="A94" s="534"/>
      <c r="B94" s="543"/>
      <c r="C94" s="544">
        <v>100</v>
      </c>
      <c r="D94" s="544">
        <f t="shared" ref="D94:M94" si="23">C94-$K31</f>
        <v>99</v>
      </c>
      <c r="E94" s="544">
        <f t="shared" si="23"/>
        <v>98</v>
      </c>
      <c r="F94" s="544">
        <f t="shared" si="23"/>
        <v>97</v>
      </c>
      <c r="G94" s="544">
        <f t="shared" si="23"/>
        <v>96</v>
      </c>
      <c r="H94" s="544">
        <f t="shared" si="23"/>
        <v>95</v>
      </c>
      <c r="I94" s="544">
        <f t="shared" si="23"/>
        <v>94</v>
      </c>
      <c r="J94" s="544">
        <f t="shared" si="23"/>
        <v>93</v>
      </c>
      <c r="K94" s="544">
        <f t="shared" si="23"/>
        <v>92</v>
      </c>
      <c r="L94" s="544">
        <f t="shared" si="23"/>
        <v>91</v>
      </c>
      <c r="M94" s="545">
        <f t="shared" si="23"/>
        <v>90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4.4" thickBot="1">
      <c r="A96" s="534"/>
      <c r="B96" s="543"/>
      <c r="C96" s="544">
        <v>100</v>
      </c>
      <c r="D96" s="544">
        <f t="shared" ref="D96:M96" si="24">C96-$K32</f>
        <v>99</v>
      </c>
      <c r="E96" s="544">
        <f t="shared" si="24"/>
        <v>98</v>
      </c>
      <c r="F96" s="544">
        <f t="shared" si="24"/>
        <v>97</v>
      </c>
      <c r="G96" s="544">
        <f t="shared" si="24"/>
        <v>96</v>
      </c>
      <c r="H96" s="544">
        <f t="shared" si="24"/>
        <v>95</v>
      </c>
      <c r="I96" s="544">
        <f t="shared" si="24"/>
        <v>94</v>
      </c>
      <c r="J96" s="544">
        <f t="shared" si="24"/>
        <v>93</v>
      </c>
      <c r="K96" s="544">
        <f t="shared" si="24"/>
        <v>92</v>
      </c>
      <c r="L96" s="544">
        <f t="shared" si="24"/>
        <v>91</v>
      </c>
      <c r="M96" s="545">
        <f t="shared" si="24"/>
        <v>90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102</v>
      </c>
      <c r="E99" s="544">
        <f t="shared" ref="E99:M99" si="25">D99+$K33</f>
        <v>104</v>
      </c>
      <c r="F99" s="544">
        <f t="shared" si="25"/>
        <v>106</v>
      </c>
      <c r="G99" s="544">
        <f t="shared" si="25"/>
        <v>108</v>
      </c>
      <c r="H99" s="544">
        <f t="shared" si="25"/>
        <v>110</v>
      </c>
      <c r="I99" s="544">
        <f t="shared" si="25"/>
        <v>112</v>
      </c>
      <c r="J99" s="544">
        <f t="shared" si="25"/>
        <v>114</v>
      </c>
      <c r="K99" s="544">
        <f t="shared" si="25"/>
        <v>116</v>
      </c>
      <c r="L99" s="544">
        <f t="shared" si="25"/>
        <v>118</v>
      </c>
      <c r="M99" s="544">
        <f t="shared" si="25"/>
        <v>120</v>
      </c>
      <c r="N99" s="1150"/>
      <c r="O99" s="1150"/>
      <c r="P99" s="45"/>
      <c r="Q99" s="504"/>
    </row>
    <row r="100" spans="1:17" s="471" customFormat="1" ht="15" thickTop="1">
      <c r="A100" s="593"/>
      <c r="B100" s="538" t="s">
        <v>2613</v>
      </c>
      <c r="C100" s="554" t="s">
        <v>3093</v>
      </c>
      <c r="D100" s="2954" t="s">
        <v>3094</v>
      </c>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99</v>
      </c>
      <c r="E101" s="544">
        <f t="shared" ref="E101:M101" si="26">D101-$K34</f>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1"/>
      <c r="O101" s="1151"/>
      <c r="P101" s="558"/>
      <c r="Q101" s="559"/>
    </row>
    <row r="102" spans="1:17" ht="15" thickTop="1">
      <c r="A102" s="599"/>
      <c r="B102" s="538" t="s">
        <v>2614</v>
      </c>
      <c r="C102" s="554" t="s">
        <v>3083</v>
      </c>
      <c r="D102" s="554" t="s">
        <v>3082</v>
      </c>
      <c r="E102" s="554" t="s">
        <v>3095</v>
      </c>
      <c r="F102" s="554" t="s">
        <v>3096</v>
      </c>
      <c r="G102" s="554" t="s">
        <v>3097</v>
      </c>
      <c r="H102" s="583"/>
      <c r="I102" s="583"/>
      <c r="J102" s="583"/>
      <c r="K102" s="584"/>
      <c r="L102" s="585"/>
      <c r="M102" s="586"/>
      <c r="N102" s="1149"/>
      <c r="O102" s="1149"/>
      <c r="P102" s="45"/>
      <c r="Q102" s="504"/>
    </row>
    <row r="103" spans="1:17" ht="14.4" thickBot="1">
      <c r="A103" s="534"/>
      <c r="B103" s="543"/>
      <c r="C103" s="544">
        <v>100</v>
      </c>
      <c r="D103" s="544">
        <f t="shared" ref="D103:M103" si="27">C103-$K35</f>
        <v>99</v>
      </c>
      <c r="E103" s="544">
        <f t="shared" si="27"/>
        <v>98</v>
      </c>
      <c r="F103" s="544">
        <f t="shared" si="27"/>
        <v>97</v>
      </c>
      <c r="G103" s="544">
        <f t="shared" si="27"/>
        <v>96</v>
      </c>
      <c r="H103" s="544">
        <f t="shared" si="27"/>
        <v>95</v>
      </c>
      <c r="I103" s="544">
        <f t="shared" si="27"/>
        <v>94</v>
      </c>
      <c r="J103" s="544">
        <f t="shared" si="27"/>
        <v>93</v>
      </c>
      <c r="K103" s="544">
        <f t="shared" si="27"/>
        <v>92</v>
      </c>
      <c r="L103" s="544">
        <f t="shared" si="27"/>
        <v>91</v>
      </c>
      <c r="M103" s="545">
        <f t="shared" si="27"/>
        <v>90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4.4" thickBot="1">
      <c r="A105" s="534"/>
      <c r="B105" s="543"/>
      <c r="C105" s="544">
        <v>100</v>
      </c>
      <c r="D105" s="544">
        <f>C105-$K36</f>
        <v>99</v>
      </c>
      <c r="E105" s="544">
        <f>D105-$K36</f>
        <v>98</v>
      </c>
      <c r="F105" s="544">
        <f>E105-$K36</f>
        <v>97</v>
      </c>
      <c r="G105" s="544">
        <f>F105-$K36</f>
        <v>96</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8">C107-$K37</f>
        <v>99</v>
      </c>
      <c r="E107" s="544">
        <f t="shared" si="28"/>
        <v>98</v>
      </c>
      <c r="F107" s="544">
        <f t="shared" si="28"/>
        <v>97</v>
      </c>
      <c r="G107" s="544">
        <f t="shared" si="28"/>
        <v>96</v>
      </c>
      <c r="H107" s="544">
        <f t="shared" si="28"/>
        <v>95</v>
      </c>
      <c r="I107" s="544">
        <f t="shared" si="28"/>
        <v>94</v>
      </c>
      <c r="J107" s="544">
        <f t="shared" si="28"/>
        <v>93</v>
      </c>
      <c r="K107" s="544">
        <f t="shared" si="28"/>
        <v>92</v>
      </c>
      <c r="L107" s="544">
        <f t="shared" si="28"/>
        <v>91</v>
      </c>
      <c r="M107" s="544">
        <f t="shared" si="28"/>
        <v>90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57" t="s">
        <v>2644</v>
      </c>
      <c r="AC4" s="3256" t="s">
        <v>2645</v>
      </c>
    </row>
    <row r="5" spans="1:29">
      <c r="A5" s="404"/>
      <c r="B5" s="405"/>
      <c r="C5" s="3278" t="s">
        <v>2538</v>
      </c>
      <c r="D5" s="3279"/>
      <c r="E5" s="3285" t="s">
        <v>2539</v>
      </c>
      <c r="F5" s="3286"/>
      <c r="G5" s="3278" t="s">
        <v>2540</v>
      </c>
      <c r="H5" s="3279"/>
      <c r="I5" s="3278" t="s">
        <v>2541</v>
      </c>
      <c r="J5" s="3279"/>
      <c r="K5" s="610"/>
      <c r="L5" s="1127"/>
      <c r="M5" s="1128"/>
      <c r="N5" s="1128"/>
      <c r="O5" s="1128"/>
      <c r="P5" s="3265"/>
      <c r="Q5" s="3266"/>
      <c r="R5" s="3271"/>
      <c r="S5" s="3272"/>
      <c r="T5" s="3271"/>
      <c r="U5" s="3272"/>
      <c r="V5" s="3275"/>
      <c r="W5" s="3275"/>
      <c r="X5" s="1810"/>
      <c r="Y5" s="3271"/>
      <c r="Z5" s="3272"/>
      <c r="AA5" s="3257"/>
      <c r="AB5" s="3257"/>
      <c r="AC5" s="3257"/>
    </row>
    <row r="6" spans="1:29" ht="15" thickBot="1">
      <c r="A6" s="406"/>
      <c r="B6" s="407"/>
      <c r="C6" s="3276" t="s">
        <v>2542</v>
      </c>
      <c r="D6" s="3277"/>
      <c r="E6" s="3283" t="s">
        <v>2542</v>
      </c>
      <c r="F6" s="3284"/>
      <c r="G6" s="3276" t="s">
        <v>2542</v>
      </c>
      <c r="H6" s="3277"/>
      <c r="I6" s="3276" t="s">
        <v>2542</v>
      </c>
      <c r="J6" s="3277"/>
      <c r="K6" s="610" t="s">
        <v>2543</v>
      </c>
      <c r="L6" s="1127"/>
      <c r="M6" s="1128"/>
      <c r="N6" s="1128"/>
      <c r="O6" s="1128"/>
      <c r="P6" s="3267"/>
      <c r="Q6" s="3268"/>
      <c r="R6" s="3271"/>
      <c r="S6" s="3272"/>
      <c r="T6" s="3273"/>
      <c r="U6" s="3274"/>
      <c r="V6" s="3275"/>
      <c r="W6" s="3275"/>
      <c r="X6" s="1810"/>
      <c r="Y6" s="3273"/>
      <c r="Z6" s="3274"/>
      <c r="AA6" s="3258"/>
      <c r="AB6" s="3258"/>
      <c r="AC6" s="3258"/>
    </row>
    <row r="7" spans="1:29" s="117" customFormat="1" ht="1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80" t="s">
        <v>2545</v>
      </c>
      <c r="Q7" s="3282"/>
      <c r="R7" s="770" t="s">
        <v>17</v>
      </c>
      <c r="S7" s="771">
        <f t="shared" ref="S7:S14" si="0">F7</f>
        <v>0</v>
      </c>
      <c r="T7" s="770" t="s">
        <v>17</v>
      </c>
      <c r="U7" s="771">
        <f t="shared" ref="U7:U14" si="1">H7</f>
        <v>0</v>
      </c>
      <c r="V7" s="770" t="s">
        <v>17</v>
      </c>
      <c r="W7" s="771">
        <f t="shared" ref="W7:W14" si="2">J7</f>
        <v>0</v>
      </c>
      <c r="X7" s="772"/>
      <c r="Y7" s="3280" t="s">
        <v>2545</v>
      </c>
      <c r="Z7" s="3281"/>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80" t="s">
        <v>2548</v>
      </c>
      <c r="Q8" s="3281"/>
      <c r="R8" s="770" t="s">
        <v>17</v>
      </c>
      <c r="S8" s="771">
        <f t="shared" si="0"/>
        <v>0</v>
      </c>
      <c r="T8" s="770" t="s">
        <v>17</v>
      </c>
      <c r="U8" s="771">
        <f t="shared" si="1"/>
        <v>0</v>
      </c>
      <c r="V8" s="770" t="s">
        <v>17</v>
      </c>
      <c r="W8" s="771">
        <f t="shared" si="2"/>
        <v>0</v>
      </c>
      <c r="X8" s="772"/>
      <c r="Y8" s="3280" t="s">
        <v>2548</v>
      </c>
      <c r="Z8" s="3281"/>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44" t="s">
        <v>2551</v>
      </c>
      <c r="Q9" s="1792" t="str">
        <f t="shared" ref="Q9:Q14" si="6">B9</f>
        <v>用途</v>
      </c>
      <c r="R9" s="770" t="s">
        <v>17</v>
      </c>
      <c r="S9" s="771">
        <f t="shared" si="0"/>
        <v>100</v>
      </c>
      <c r="T9" s="770" t="s">
        <v>17</v>
      </c>
      <c r="U9" s="771">
        <f t="shared" si="1"/>
        <v>100</v>
      </c>
      <c r="V9" s="770" t="s">
        <v>17</v>
      </c>
      <c r="W9" s="771">
        <f t="shared" si="2"/>
        <v>100</v>
      </c>
      <c r="X9" s="772"/>
      <c r="Y9" s="3067"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44"/>
      <c r="Q10" s="1792"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44"/>
      <c r="Q11" s="1792">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44"/>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44"/>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96.6">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46" t="s">
        <v>2556</v>
      </c>
      <c r="Q14" s="1807" t="str">
        <f t="shared" si="6"/>
        <v>交通便捷度</v>
      </c>
      <c r="R14" s="774" t="s">
        <v>17</v>
      </c>
      <c r="S14" s="775">
        <f t="shared" si="0"/>
        <v>100</v>
      </c>
      <c r="T14" s="774" t="s">
        <v>17</v>
      </c>
      <c r="U14" s="775">
        <f t="shared" si="1"/>
        <v>100</v>
      </c>
      <c r="V14" s="774" t="s">
        <v>17</v>
      </c>
      <c r="W14" s="775">
        <f t="shared" si="2"/>
        <v>100</v>
      </c>
      <c r="X14" s="1810"/>
      <c r="Y14" s="3246"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47"/>
      <c r="Q15" s="1807"/>
      <c r="R15" s="774"/>
      <c r="S15" s="775"/>
      <c r="T15" s="774"/>
      <c r="U15" s="775"/>
      <c r="V15" s="774"/>
      <c r="W15" s="775"/>
      <c r="X15" s="1810"/>
      <c r="Y15" s="3247"/>
      <c r="Z15" s="1811"/>
      <c r="AA15" s="1808">
        <v>1</v>
      </c>
      <c r="AB15" s="1808">
        <v>1</v>
      </c>
      <c r="AC15" s="1808">
        <v>1</v>
      </c>
    </row>
    <row r="16" spans="1:29" ht="41.4">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47"/>
      <c r="Q16" s="1807" t="str">
        <f>B16</f>
        <v>公共配套设施</v>
      </c>
      <c r="R16" s="774" t="s">
        <v>17</v>
      </c>
      <c r="S16" s="775">
        <f>F16</f>
        <v>100</v>
      </c>
      <c r="T16" s="774" t="s">
        <v>17</v>
      </c>
      <c r="U16" s="775">
        <f>H16</f>
        <v>100</v>
      </c>
      <c r="V16" s="774" t="s">
        <v>17</v>
      </c>
      <c r="W16" s="775">
        <f>J16</f>
        <v>100</v>
      </c>
      <c r="X16" s="1810"/>
      <c r="Y16" s="3247"/>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47"/>
      <c r="Q17" s="1807"/>
      <c r="R17" s="774"/>
      <c r="S17" s="775"/>
      <c r="T17" s="774"/>
      <c r="U17" s="775"/>
      <c r="V17" s="774"/>
      <c r="W17" s="775"/>
      <c r="X17" s="1810"/>
      <c r="Y17" s="3247"/>
      <c r="Z17" s="1811"/>
      <c r="AA17" s="1808">
        <v>1</v>
      </c>
      <c r="AB17" s="1808">
        <v>1</v>
      </c>
      <c r="AC17" s="1808">
        <v>1</v>
      </c>
    </row>
    <row r="18" spans="1:29" ht="41.4">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47"/>
      <c r="Q18" s="1807" t="str">
        <f>B18</f>
        <v>基础设施水平</v>
      </c>
      <c r="R18" s="774" t="s">
        <v>17</v>
      </c>
      <c r="S18" s="775">
        <f>F18</f>
        <v>100</v>
      </c>
      <c r="T18" s="774" t="s">
        <v>17</v>
      </c>
      <c r="U18" s="775">
        <f>H18</f>
        <v>100</v>
      </c>
      <c r="V18" s="774" t="s">
        <v>17</v>
      </c>
      <c r="W18" s="775">
        <f>J18</f>
        <v>100</v>
      </c>
      <c r="X18" s="1810"/>
      <c r="Y18" s="3247"/>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47"/>
      <c r="Q19" s="1807"/>
      <c r="R19" s="774"/>
      <c r="S19" s="775"/>
      <c r="T19" s="774"/>
      <c r="U19" s="775"/>
      <c r="V19" s="774"/>
      <c r="W19" s="775"/>
      <c r="X19" s="1810"/>
      <c r="Y19" s="3247"/>
      <c r="Z19" s="1811"/>
      <c r="AA19" s="1808">
        <v>1</v>
      </c>
      <c r="AB19" s="1808">
        <v>1</v>
      </c>
      <c r="AC19" s="1808">
        <v>1</v>
      </c>
    </row>
    <row r="20" spans="1:29" ht="55.2">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47"/>
      <c r="Q20" s="1807" t="str">
        <f>B20</f>
        <v>自然及人文环境</v>
      </c>
      <c r="R20" s="774" t="s">
        <v>17</v>
      </c>
      <c r="S20" s="775">
        <f>F20</f>
        <v>100</v>
      </c>
      <c r="T20" s="774" t="s">
        <v>17</v>
      </c>
      <c r="U20" s="775">
        <f>H20</f>
        <v>100</v>
      </c>
      <c r="V20" s="774" t="s">
        <v>17</v>
      </c>
      <c r="W20" s="775">
        <f>J20</f>
        <v>100</v>
      </c>
      <c r="X20" s="1810"/>
      <c r="Y20" s="3247"/>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47"/>
      <c r="Q21" s="1807"/>
      <c r="R21" s="774"/>
      <c r="S21" s="775"/>
      <c r="T21" s="774"/>
      <c r="U21" s="775"/>
      <c r="V21" s="774"/>
      <c r="W21" s="775"/>
      <c r="X21" s="1810"/>
      <c r="Y21" s="3247"/>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47"/>
      <c r="Q22" s="1807" t="str">
        <f>B22</f>
        <v>楼层</v>
      </c>
      <c r="R22" s="774" t="s">
        <v>17</v>
      </c>
      <c r="S22" s="775">
        <f>F22</f>
        <v>100</v>
      </c>
      <c r="T22" s="774" t="s">
        <v>17</v>
      </c>
      <c r="U22" s="775">
        <f>H22</f>
        <v>100</v>
      </c>
      <c r="V22" s="774" t="s">
        <v>17</v>
      </c>
      <c r="W22" s="775">
        <f>J22</f>
        <v>100</v>
      </c>
      <c r="X22" s="1810"/>
      <c r="Y22" s="3247"/>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47"/>
      <c r="Q23" s="1807">
        <f>B23</f>
        <v>111</v>
      </c>
      <c r="R23" s="774" t="s">
        <v>17</v>
      </c>
      <c r="S23" s="775">
        <f>F23</f>
        <v>100</v>
      </c>
      <c r="T23" s="774" t="s">
        <v>17</v>
      </c>
      <c r="U23" s="775">
        <f>H23</f>
        <v>100</v>
      </c>
      <c r="V23" s="774" t="s">
        <v>17</v>
      </c>
      <c r="W23" s="775">
        <f>J23</f>
        <v>100</v>
      </c>
      <c r="X23" s="1810"/>
      <c r="Y23" s="3247"/>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47"/>
      <c r="Q24" s="1807">
        <f t="shared" ref="Q24:Q36" si="11">B24</f>
        <v>111</v>
      </c>
      <c r="R24" s="774" t="s">
        <v>17</v>
      </c>
      <c r="S24" s="775">
        <f>F24</f>
        <v>100</v>
      </c>
      <c r="T24" s="774" t="s">
        <v>17</v>
      </c>
      <c r="U24" s="775">
        <f>H24</f>
        <v>100</v>
      </c>
      <c r="V24" s="774" t="s">
        <v>17</v>
      </c>
      <c r="W24" s="775">
        <f>J24</f>
        <v>100</v>
      </c>
      <c r="X24" s="1810"/>
      <c r="Y24" s="3247"/>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47"/>
      <c r="Q25" s="1792">
        <f t="shared" si="11"/>
        <v>111</v>
      </c>
      <c r="R25" s="770" t="s">
        <v>17</v>
      </c>
      <c r="S25" s="771">
        <f>F25</f>
        <v>100</v>
      </c>
      <c r="T25" s="770" t="s">
        <v>17</v>
      </c>
      <c r="U25" s="771">
        <f>H25</f>
        <v>100</v>
      </c>
      <c r="V25" s="770" t="s">
        <v>17</v>
      </c>
      <c r="W25" s="771">
        <f>J25</f>
        <v>100</v>
      </c>
      <c r="X25" s="772"/>
      <c r="Y25" s="3247"/>
      <c r="Z25" s="55">
        <f>Q25</f>
        <v>111</v>
      </c>
      <c r="AA25" s="1808">
        <f>D25/F25</f>
        <v>1</v>
      </c>
      <c r="AB25" s="1808">
        <f>D25/H25</f>
        <v>1</v>
      </c>
      <c r="AC25" s="1808">
        <f>D25/J25</f>
        <v>1</v>
      </c>
    </row>
    <row r="26" spans="1:29" ht="30">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2"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51"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51"/>
      <c r="Q28" s="1807" t="str">
        <f t="shared" si="11"/>
        <v>公共部分装修</v>
      </c>
      <c r="R28" s="774" t="s">
        <v>17</v>
      </c>
      <c r="S28" s="775">
        <f t="shared" si="12"/>
        <v>100</v>
      </c>
      <c r="T28" s="774" t="s">
        <v>17</v>
      </c>
      <c r="U28" s="775">
        <f t="shared" si="13"/>
        <v>100</v>
      </c>
      <c r="V28" s="774" t="s">
        <v>17</v>
      </c>
      <c r="W28" s="775">
        <f t="shared" si="14"/>
        <v>100</v>
      </c>
      <c r="X28" s="1810"/>
      <c r="Y28" s="3251"/>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51"/>
      <c r="Q29" s="1807" t="str">
        <f t="shared" si="11"/>
        <v>成新率</v>
      </c>
      <c r="R29" s="774" t="s">
        <v>17</v>
      </c>
      <c r="S29" s="775" t="e">
        <f t="shared" si="12"/>
        <v>#N/A</v>
      </c>
      <c r="T29" s="774" t="s">
        <v>17</v>
      </c>
      <c r="U29" s="775" t="e">
        <f t="shared" si="13"/>
        <v>#N/A</v>
      </c>
      <c r="V29" s="774" t="s">
        <v>17</v>
      </c>
      <c r="W29" s="775" t="e">
        <f t="shared" si="14"/>
        <v>#N/A</v>
      </c>
      <c r="X29" s="1810"/>
      <c r="Y29" s="3251"/>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51"/>
      <c r="Q30" s="1807" t="str">
        <f t="shared" si="11"/>
        <v>物业等级</v>
      </c>
      <c r="R30" s="774" t="s">
        <v>17</v>
      </c>
      <c r="S30" s="775">
        <f t="shared" si="12"/>
        <v>100</v>
      </c>
      <c r="T30" s="774" t="s">
        <v>17</v>
      </c>
      <c r="U30" s="775">
        <f t="shared" si="13"/>
        <v>100</v>
      </c>
      <c r="V30" s="774" t="s">
        <v>17</v>
      </c>
      <c r="W30" s="775">
        <f t="shared" si="14"/>
        <v>100</v>
      </c>
      <c r="X30" s="1810"/>
      <c r="Y30" s="3251"/>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51"/>
      <c r="Q31" s="1792"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51" t="s">
        <v>2561</v>
      </c>
      <c r="Q32" s="1807" t="str">
        <f t="shared" si="11"/>
        <v>车位类型</v>
      </c>
      <c r="R32" s="774" t="s">
        <v>17</v>
      </c>
      <c r="S32" s="775">
        <f t="shared" si="12"/>
        <v>100</v>
      </c>
      <c r="T32" s="774" t="s">
        <v>17</v>
      </c>
      <c r="U32" s="775">
        <f t="shared" si="13"/>
        <v>100</v>
      </c>
      <c r="V32" s="774" t="s">
        <v>17</v>
      </c>
      <c r="W32" s="775">
        <f t="shared" si="14"/>
        <v>100</v>
      </c>
      <c r="X32" s="1810"/>
      <c r="Y32" s="3251"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51"/>
      <c r="Q33" s="1807" t="str">
        <f t="shared" si="11"/>
        <v>是否直接入户</v>
      </c>
      <c r="R33" s="774" t="s">
        <v>17</v>
      </c>
      <c r="S33" s="775">
        <f t="shared" si="12"/>
        <v>100</v>
      </c>
      <c r="T33" s="774" t="s">
        <v>17</v>
      </c>
      <c r="U33" s="775">
        <f t="shared" si="13"/>
        <v>100</v>
      </c>
      <c r="V33" s="774" t="s">
        <v>17</v>
      </c>
      <c r="W33" s="775">
        <f t="shared" si="14"/>
        <v>100</v>
      </c>
      <c r="X33" s="1810"/>
      <c r="Y33" s="325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51"/>
      <c r="Q34" s="1807">
        <f t="shared" si="11"/>
        <v>111</v>
      </c>
      <c r="R34" s="774" t="s">
        <v>17</v>
      </c>
      <c r="S34" s="775">
        <f t="shared" si="12"/>
        <v>100</v>
      </c>
      <c r="T34" s="774" t="s">
        <v>17</v>
      </c>
      <c r="U34" s="775">
        <f t="shared" si="13"/>
        <v>100</v>
      </c>
      <c r="V34" s="774" t="s">
        <v>17</v>
      </c>
      <c r="W34" s="775">
        <f t="shared" si="14"/>
        <v>100</v>
      </c>
      <c r="X34" s="1810"/>
      <c r="Y34" s="325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51"/>
      <c r="Q36" s="1807">
        <f t="shared" si="11"/>
        <v>111</v>
      </c>
      <c r="R36" s="774" t="s">
        <v>17</v>
      </c>
      <c r="S36" s="775">
        <f t="shared" si="12"/>
        <v>100</v>
      </c>
      <c r="T36" s="774" t="s">
        <v>17</v>
      </c>
      <c r="U36" s="775">
        <f t="shared" si="13"/>
        <v>100</v>
      </c>
      <c r="V36" s="774" t="s">
        <v>17</v>
      </c>
      <c r="W36" s="775">
        <f t="shared" si="14"/>
        <v>100</v>
      </c>
      <c r="X36" s="1810"/>
      <c r="Y36" s="3251"/>
      <c r="Z36" s="1811">
        <f t="shared" si="15"/>
        <v>111</v>
      </c>
      <c r="AA36" s="1808">
        <f t="shared" si="3"/>
        <v>1</v>
      </c>
      <c r="AB36" s="1808">
        <f t="shared" si="4"/>
        <v>1</v>
      </c>
      <c r="AC36" s="1808">
        <f t="shared" si="5"/>
        <v>1</v>
      </c>
    </row>
    <row r="37" spans="1:29" ht="14.4">
      <c r="A37" s="479" t="s">
        <v>2716</v>
      </c>
      <c r="B37" s="2690" t="s">
        <v>2717</v>
      </c>
      <c r="C37" s="1404" t="s">
        <v>1</v>
      </c>
      <c r="D37" s="1405"/>
      <c r="E37" s="1406"/>
      <c r="F37" s="1407"/>
      <c r="G37" s="1408"/>
      <c r="H37" s="1409"/>
      <c r="I37" s="1406"/>
      <c r="J37" s="1409"/>
      <c r="K37" s="619"/>
      <c r="L37" s="1140"/>
      <c r="M37" s="1141"/>
      <c r="N37" s="1128"/>
      <c r="O37" s="1141"/>
      <c r="P37" s="3244" t="str">
        <f>A37</f>
        <v>成交单价</v>
      </c>
      <c r="Q37" s="3244"/>
      <c r="R37" s="3245">
        <f>E37</f>
        <v>0</v>
      </c>
      <c r="S37" s="3245"/>
      <c r="T37" s="3245">
        <f>G37</f>
        <v>0</v>
      </c>
      <c r="U37" s="3245"/>
      <c r="V37" s="3245">
        <f>I37</f>
        <v>0</v>
      </c>
      <c r="W37" s="3245"/>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57" t="s">
        <v>2644</v>
      </c>
      <c r="AC4" s="3256" t="s">
        <v>2645</v>
      </c>
    </row>
    <row r="5" spans="1:29">
      <c r="A5" s="404"/>
      <c r="B5" s="405"/>
      <c r="C5" s="3278" t="s">
        <v>2538</v>
      </c>
      <c r="D5" s="3279"/>
      <c r="E5" s="3285" t="s">
        <v>2539</v>
      </c>
      <c r="F5" s="3286"/>
      <c r="G5" s="3278" t="s">
        <v>2540</v>
      </c>
      <c r="H5" s="3279"/>
      <c r="I5" s="3278" t="s">
        <v>2541</v>
      </c>
      <c r="J5" s="3279"/>
      <c r="K5" s="610"/>
      <c r="L5" s="1127"/>
      <c r="M5" s="1128"/>
      <c r="N5" s="1128"/>
      <c r="O5" s="1128"/>
      <c r="P5" s="3265"/>
      <c r="Q5" s="3266"/>
      <c r="R5" s="3271"/>
      <c r="S5" s="3272"/>
      <c r="T5" s="3271"/>
      <c r="U5" s="3272"/>
      <c r="V5" s="3275"/>
      <c r="W5" s="3275"/>
      <c r="X5" s="1810"/>
      <c r="Y5" s="3271"/>
      <c r="Z5" s="3272"/>
      <c r="AA5" s="3257"/>
      <c r="AB5" s="3257"/>
      <c r="AC5" s="3257"/>
    </row>
    <row r="6" spans="1:29" ht="15" thickBot="1">
      <c r="A6" s="406"/>
      <c r="B6" s="407"/>
      <c r="C6" s="3276" t="s">
        <v>2542</v>
      </c>
      <c r="D6" s="3277"/>
      <c r="E6" s="3283" t="s">
        <v>2542</v>
      </c>
      <c r="F6" s="3284"/>
      <c r="G6" s="3276" t="s">
        <v>2542</v>
      </c>
      <c r="H6" s="3277"/>
      <c r="I6" s="3276" t="s">
        <v>2542</v>
      </c>
      <c r="J6" s="3277"/>
      <c r="K6" s="610" t="s">
        <v>2543</v>
      </c>
      <c r="L6" s="1127"/>
      <c r="M6" s="1128"/>
      <c r="N6" s="1128"/>
      <c r="O6" s="1128"/>
      <c r="P6" s="3267"/>
      <c r="Q6" s="3268"/>
      <c r="R6" s="3271"/>
      <c r="S6" s="3272"/>
      <c r="T6" s="3273"/>
      <c r="U6" s="3274"/>
      <c r="V6" s="3275"/>
      <c r="W6" s="3275"/>
      <c r="X6" s="1810"/>
      <c r="Y6" s="3273"/>
      <c r="Z6" s="3274"/>
      <c r="AA6" s="3258"/>
      <c r="AB6" s="3258"/>
      <c r="AC6" s="3258"/>
    </row>
    <row r="7" spans="1:29" s="117" customFormat="1" ht="1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80" t="s">
        <v>2545</v>
      </c>
      <c r="Q7" s="3282"/>
      <c r="R7" s="770" t="s">
        <v>17</v>
      </c>
      <c r="S7" s="771">
        <f t="shared" ref="S7:S14" si="0">F7</f>
        <v>0</v>
      </c>
      <c r="T7" s="770" t="s">
        <v>17</v>
      </c>
      <c r="U7" s="771">
        <f t="shared" ref="U7:U14" si="1">H7</f>
        <v>0</v>
      </c>
      <c r="V7" s="770" t="s">
        <v>17</v>
      </c>
      <c r="W7" s="771">
        <f t="shared" ref="W7:W14" si="2">J7</f>
        <v>0</v>
      </c>
      <c r="X7" s="772"/>
      <c r="Y7" s="3280" t="s">
        <v>2545</v>
      </c>
      <c r="Z7" s="3281"/>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80" t="s">
        <v>2548</v>
      </c>
      <c r="Q8" s="3281"/>
      <c r="R8" s="770" t="s">
        <v>17</v>
      </c>
      <c r="S8" s="771">
        <f t="shared" si="0"/>
        <v>0</v>
      </c>
      <c r="T8" s="770" t="s">
        <v>17</v>
      </c>
      <c r="U8" s="771">
        <f t="shared" si="1"/>
        <v>0</v>
      </c>
      <c r="V8" s="770" t="s">
        <v>17</v>
      </c>
      <c r="W8" s="771">
        <f t="shared" si="2"/>
        <v>0</v>
      </c>
      <c r="X8" s="772"/>
      <c r="Y8" s="3280" t="s">
        <v>2548</v>
      </c>
      <c r="Z8" s="3281"/>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44" t="s">
        <v>2551</v>
      </c>
      <c r="Q9" s="1792" t="str">
        <f t="shared" ref="Q9:Q14" si="6">B9</f>
        <v>用途</v>
      </c>
      <c r="R9" s="770" t="s">
        <v>17</v>
      </c>
      <c r="S9" s="771">
        <f t="shared" si="0"/>
        <v>100</v>
      </c>
      <c r="T9" s="770" t="s">
        <v>17</v>
      </c>
      <c r="U9" s="771">
        <f t="shared" si="1"/>
        <v>100</v>
      </c>
      <c r="V9" s="770" t="s">
        <v>17</v>
      </c>
      <c r="W9" s="771">
        <f t="shared" si="2"/>
        <v>100</v>
      </c>
      <c r="X9" s="772"/>
      <c r="Y9" s="3067"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44"/>
      <c r="Q10" s="1792"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44"/>
      <c r="Q11" s="1792">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44"/>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44"/>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96.6">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46" t="s">
        <v>2556</v>
      </c>
      <c r="Q14" s="1807" t="str">
        <f t="shared" si="6"/>
        <v>交通便捷度</v>
      </c>
      <c r="R14" s="774" t="s">
        <v>17</v>
      </c>
      <c r="S14" s="775">
        <f t="shared" si="0"/>
        <v>100</v>
      </c>
      <c r="T14" s="774" t="s">
        <v>17</v>
      </c>
      <c r="U14" s="775">
        <f t="shared" si="1"/>
        <v>100</v>
      </c>
      <c r="V14" s="774" t="s">
        <v>17</v>
      </c>
      <c r="W14" s="775">
        <f t="shared" si="2"/>
        <v>100</v>
      </c>
      <c r="X14" s="1810"/>
      <c r="Y14" s="3246"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47"/>
      <c r="Q15" s="1807"/>
      <c r="R15" s="774"/>
      <c r="S15" s="775"/>
      <c r="T15" s="774"/>
      <c r="U15" s="775"/>
      <c r="V15" s="774"/>
      <c r="W15" s="775"/>
      <c r="X15" s="1810"/>
      <c r="Y15" s="3247"/>
      <c r="Z15" s="1811"/>
      <c r="AA15" s="1808">
        <v>1</v>
      </c>
      <c r="AB15" s="1808">
        <v>1</v>
      </c>
      <c r="AC15" s="1808">
        <v>1</v>
      </c>
    </row>
    <row r="16" spans="1:29" ht="41.4">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47"/>
      <c r="Q16" s="1807" t="str">
        <f>B16</f>
        <v>公共配套设施</v>
      </c>
      <c r="R16" s="774" t="s">
        <v>17</v>
      </c>
      <c r="S16" s="775">
        <f>F16</f>
        <v>100</v>
      </c>
      <c r="T16" s="774" t="s">
        <v>17</v>
      </c>
      <c r="U16" s="775">
        <f>H16</f>
        <v>100</v>
      </c>
      <c r="V16" s="774" t="s">
        <v>17</v>
      </c>
      <c r="W16" s="775">
        <f>J16</f>
        <v>100</v>
      </c>
      <c r="X16" s="1810"/>
      <c r="Y16" s="3247"/>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47"/>
      <c r="Q17" s="1807"/>
      <c r="R17" s="774"/>
      <c r="S17" s="775"/>
      <c r="T17" s="774"/>
      <c r="U17" s="775"/>
      <c r="V17" s="774"/>
      <c r="W17" s="775"/>
      <c r="X17" s="1810"/>
      <c r="Y17" s="3247"/>
      <c r="Z17" s="1811"/>
      <c r="AA17" s="1808">
        <v>1</v>
      </c>
      <c r="AB17" s="1808">
        <v>1</v>
      </c>
      <c r="AC17" s="1808">
        <v>1</v>
      </c>
    </row>
    <row r="18" spans="1:29" ht="41.4">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47"/>
      <c r="Q18" s="1807" t="str">
        <f>B18</f>
        <v>基础设施水平</v>
      </c>
      <c r="R18" s="774" t="s">
        <v>17</v>
      </c>
      <c r="S18" s="775">
        <f>F18</f>
        <v>100</v>
      </c>
      <c r="T18" s="774" t="s">
        <v>17</v>
      </c>
      <c r="U18" s="775">
        <f>H18</f>
        <v>100</v>
      </c>
      <c r="V18" s="774" t="s">
        <v>17</v>
      </c>
      <c r="W18" s="775">
        <f>J18</f>
        <v>100</v>
      </c>
      <c r="X18" s="1810"/>
      <c r="Y18" s="3247"/>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47"/>
      <c r="Q19" s="1807"/>
      <c r="R19" s="774"/>
      <c r="S19" s="775"/>
      <c r="T19" s="774"/>
      <c r="U19" s="775"/>
      <c r="V19" s="774"/>
      <c r="W19" s="775"/>
      <c r="X19" s="1810"/>
      <c r="Y19" s="3247"/>
      <c r="Z19" s="1811"/>
      <c r="AA19" s="1808">
        <v>1</v>
      </c>
      <c r="AB19" s="1808">
        <v>1</v>
      </c>
      <c r="AC19" s="1808">
        <v>1</v>
      </c>
    </row>
    <row r="20" spans="1:29" ht="55.2">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47"/>
      <c r="Q20" s="1807" t="str">
        <f>B20</f>
        <v>自然及人文环境</v>
      </c>
      <c r="R20" s="774" t="s">
        <v>17</v>
      </c>
      <c r="S20" s="775">
        <f>F20</f>
        <v>100</v>
      </c>
      <c r="T20" s="774" t="s">
        <v>17</v>
      </c>
      <c r="U20" s="775">
        <f>H20</f>
        <v>100</v>
      </c>
      <c r="V20" s="774" t="s">
        <v>17</v>
      </c>
      <c r="W20" s="775">
        <f>J20</f>
        <v>100</v>
      </c>
      <c r="X20" s="1810"/>
      <c r="Y20" s="3247"/>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47"/>
      <c r="Q21" s="1807"/>
      <c r="R21" s="774"/>
      <c r="S21" s="775"/>
      <c r="T21" s="774"/>
      <c r="U21" s="775"/>
      <c r="V21" s="774"/>
      <c r="W21" s="775"/>
      <c r="X21" s="1810"/>
      <c r="Y21" s="3247"/>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47"/>
      <c r="Q22" s="1807" t="str">
        <f>B22</f>
        <v>楼层</v>
      </c>
      <c r="R22" s="774" t="s">
        <v>17</v>
      </c>
      <c r="S22" s="775">
        <f>F22</f>
        <v>100</v>
      </c>
      <c r="T22" s="774" t="s">
        <v>17</v>
      </c>
      <c r="U22" s="775">
        <f>H22</f>
        <v>100</v>
      </c>
      <c r="V22" s="774" t="s">
        <v>17</v>
      </c>
      <c r="W22" s="775">
        <f>J22</f>
        <v>100</v>
      </c>
      <c r="X22" s="1810"/>
      <c r="Y22" s="3247"/>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47"/>
      <c r="Q23" s="1807">
        <f>B23</f>
        <v>111</v>
      </c>
      <c r="R23" s="774" t="s">
        <v>17</v>
      </c>
      <c r="S23" s="775">
        <f>F23</f>
        <v>100</v>
      </c>
      <c r="T23" s="774" t="s">
        <v>17</v>
      </c>
      <c r="U23" s="775">
        <f>H23</f>
        <v>100</v>
      </c>
      <c r="V23" s="774" t="s">
        <v>17</v>
      </c>
      <c r="W23" s="775">
        <f>J23</f>
        <v>100</v>
      </c>
      <c r="X23" s="1810"/>
      <c r="Y23" s="3247"/>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47"/>
      <c r="Q24" s="1807">
        <f t="shared" ref="Q24:Q34" si="11">B24</f>
        <v>111</v>
      </c>
      <c r="R24" s="774" t="s">
        <v>17</v>
      </c>
      <c r="S24" s="775">
        <f>F24</f>
        <v>100</v>
      </c>
      <c r="T24" s="774" t="s">
        <v>17</v>
      </c>
      <c r="U24" s="775">
        <f>H24</f>
        <v>100</v>
      </c>
      <c r="V24" s="774" t="s">
        <v>17</v>
      </c>
      <c r="W24" s="775">
        <f>J24</f>
        <v>100</v>
      </c>
      <c r="X24" s="1810"/>
      <c r="Y24" s="3247"/>
      <c r="Z24" s="1811">
        <f>Q24</f>
        <v>111</v>
      </c>
      <c r="AA24" s="1808">
        <f t="shared" si="3"/>
        <v>1</v>
      </c>
      <c r="AB24" s="1808">
        <f t="shared" si="4"/>
        <v>1</v>
      </c>
      <c r="AC24" s="1808">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47"/>
      <c r="Q25" s="1792">
        <f t="shared" si="11"/>
        <v>111</v>
      </c>
      <c r="R25" s="770" t="s">
        <v>17</v>
      </c>
      <c r="S25" s="771">
        <f>F25</f>
        <v>100</v>
      </c>
      <c r="T25" s="770" t="s">
        <v>17</v>
      </c>
      <c r="U25" s="771">
        <f>H25</f>
        <v>100</v>
      </c>
      <c r="V25" s="770" t="s">
        <v>17</v>
      </c>
      <c r="W25" s="771">
        <f>J25</f>
        <v>100</v>
      </c>
      <c r="X25" s="772"/>
      <c r="Y25" s="3247"/>
      <c r="Z25" s="55">
        <f>Q25</f>
        <v>111</v>
      </c>
      <c r="AA25" s="1808">
        <f>D25/F25</f>
        <v>1</v>
      </c>
      <c r="AB25" s="1808">
        <f>D25/H25</f>
        <v>1</v>
      </c>
      <c r="AC25" s="1808">
        <f>D25/J25</f>
        <v>1</v>
      </c>
    </row>
    <row r="26" spans="1:29" ht="30">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02"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51"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51"/>
      <c r="Q28" s="1807" t="str">
        <f t="shared" si="11"/>
        <v>物业等级</v>
      </c>
      <c r="R28" s="774" t="s">
        <v>17</v>
      </c>
      <c r="S28" s="775">
        <f t="shared" si="12"/>
        <v>100</v>
      </c>
      <c r="T28" s="774" t="s">
        <v>17</v>
      </c>
      <c r="U28" s="775">
        <f t="shared" si="13"/>
        <v>100</v>
      </c>
      <c r="V28" s="774" t="s">
        <v>17</v>
      </c>
      <c r="W28" s="775">
        <f t="shared" si="14"/>
        <v>100</v>
      </c>
      <c r="X28" s="1810"/>
      <c r="Y28" s="3251"/>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51"/>
      <c r="Q29" s="1807" t="str">
        <f t="shared" si="11"/>
        <v>有无电梯</v>
      </c>
      <c r="R29" s="774" t="s">
        <v>17</v>
      </c>
      <c r="S29" s="775">
        <f t="shared" si="12"/>
        <v>100</v>
      </c>
      <c r="T29" s="774" t="s">
        <v>17</v>
      </c>
      <c r="U29" s="775">
        <f t="shared" si="13"/>
        <v>100</v>
      </c>
      <c r="V29" s="774" t="s">
        <v>17</v>
      </c>
      <c r="W29" s="775">
        <f t="shared" si="14"/>
        <v>100</v>
      </c>
      <c r="X29" s="1810"/>
      <c r="Y29" s="3251"/>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51"/>
      <c r="Q30" s="1807" t="str">
        <f t="shared" si="11"/>
        <v>建筑面积</v>
      </c>
      <c r="R30" s="774" t="s">
        <v>17</v>
      </c>
      <c r="S30" s="775" t="e">
        <f t="shared" si="12"/>
        <v>#N/A</v>
      </c>
      <c r="T30" s="774" t="s">
        <v>17</v>
      </c>
      <c r="U30" s="775" t="e">
        <f t="shared" si="13"/>
        <v>#N/A</v>
      </c>
      <c r="V30" s="774" t="s">
        <v>17</v>
      </c>
      <c r="W30" s="775" t="e">
        <f t="shared" si="14"/>
        <v>#N/A</v>
      </c>
      <c r="X30" s="1810"/>
      <c r="Y30" s="3251"/>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51"/>
      <c r="Q31" s="1792"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51" t="s">
        <v>2561</v>
      </c>
      <c r="Q32" s="1807">
        <f t="shared" si="11"/>
        <v>111</v>
      </c>
      <c r="R32" s="774" t="s">
        <v>17</v>
      </c>
      <c r="S32" s="775">
        <f t="shared" si="12"/>
        <v>100</v>
      </c>
      <c r="T32" s="774" t="s">
        <v>17</v>
      </c>
      <c r="U32" s="775">
        <f t="shared" si="13"/>
        <v>100</v>
      </c>
      <c r="V32" s="774" t="s">
        <v>17</v>
      </c>
      <c r="W32" s="775">
        <f t="shared" si="14"/>
        <v>100</v>
      </c>
      <c r="X32" s="1810"/>
      <c r="Y32" s="3251"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51"/>
      <c r="Q33" s="1807">
        <f t="shared" si="11"/>
        <v>111</v>
      </c>
      <c r="R33" s="774" t="s">
        <v>17</v>
      </c>
      <c r="S33" s="775">
        <f t="shared" si="12"/>
        <v>100</v>
      </c>
      <c r="T33" s="774" t="s">
        <v>17</v>
      </c>
      <c r="U33" s="775">
        <f t="shared" si="13"/>
        <v>100</v>
      </c>
      <c r="V33" s="774" t="s">
        <v>17</v>
      </c>
      <c r="W33" s="775">
        <f t="shared" si="14"/>
        <v>100</v>
      </c>
      <c r="X33" s="1810"/>
      <c r="Y33" s="3251"/>
      <c r="Z33" s="1811">
        <f t="shared" si="15"/>
        <v>111</v>
      </c>
      <c r="AA33" s="1808">
        <f t="shared" si="3"/>
        <v>1</v>
      </c>
      <c r="AB33" s="1808">
        <f t="shared" si="4"/>
        <v>1</v>
      </c>
      <c r="AC33" s="1808">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51"/>
      <c r="Q34" s="1807">
        <f t="shared" si="11"/>
        <v>111</v>
      </c>
      <c r="R34" s="774" t="s">
        <v>17</v>
      </c>
      <c r="S34" s="775">
        <f t="shared" si="12"/>
        <v>100</v>
      </c>
      <c r="T34" s="774" t="s">
        <v>17</v>
      </c>
      <c r="U34" s="775">
        <f t="shared" si="13"/>
        <v>100</v>
      </c>
      <c r="V34" s="774" t="s">
        <v>17</v>
      </c>
      <c r="W34" s="775">
        <f t="shared" si="14"/>
        <v>100</v>
      </c>
      <c r="X34" s="1810"/>
      <c r="Y34" s="3251"/>
      <c r="Z34" s="1811">
        <f t="shared" si="15"/>
        <v>111</v>
      </c>
      <c r="AA34" s="1808">
        <f t="shared" si="3"/>
        <v>1</v>
      </c>
      <c r="AB34" s="1808">
        <f t="shared" si="4"/>
        <v>1</v>
      </c>
      <c r="AC34" s="1808">
        <f t="shared" si="5"/>
        <v>1</v>
      </c>
    </row>
    <row r="35" spans="1:29" ht="14.4">
      <c r="A35" s="479" t="s">
        <v>2573</v>
      </c>
      <c r="B35" s="480"/>
      <c r="C35" s="1404" t="s">
        <v>1</v>
      </c>
      <c r="D35" s="1405"/>
      <c r="E35" s="1406"/>
      <c r="F35" s="1407"/>
      <c r="G35" s="1408"/>
      <c r="H35" s="1409"/>
      <c r="I35" s="1406"/>
      <c r="J35" s="1409"/>
      <c r="K35" s="783"/>
      <c r="L35" s="1140"/>
      <c r="M35" s="1141"/>
      <c r="N35" s="1128"/>
      <c r="O35" s="1141"/>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57" t="s">
        <v>2644</v>
      </c>
      <c r="AC4" s="3256" t="s">
        <v>2645</v>
      </c>
    </row>
    <row r="5" spans="1:30">
      <c r="A5" s="404"/>
      <c r="B5" s="405"/>
      <c r="C5" s="3278" t="s">
        <v>2538</v>
      </c>
      <c r="D5" s="3279"/>
      <c r="E5" s="3285" t="s">
        <v>2539</v>
      </c>
      <c r="F5" s="3286"/>
      <c r="G5" s="3278" t="s">
        <v>2540</v>
      </c>
      <c r="H5" s="3279"/>
      <c r="I5" s="3278" t="s">
        <v>2541</v>
      </c>
      <c r="J5" s="3279"/>
      <c r="K5" s="610"/>
      <c r="L5" s="1127"/>
      <c r="M5" s="1128"/>
      <c r="N5" s="1128"/>
      <c r="O5" s="1128"/>
      <c r="P5" s="3265"/>
      <c r="Q5" s="3266"/>
      <c r="R5" s="3271"/>
      <c r="S5" s="3272"/>
      <c r="T5" s="3271"/>
      <c r="U5" s="3272"/>
      <c r="V5" s="3275"/>
      <c r="W5" s="3275"/>
      <c r="X5" s="1810"/>
      <c r="Y5" s="3271"/>
      <c r="Z5" s="3272"/>
      <c r="AA5" s="3257"/>
      <c r="AB5" s="3257"/>
      <c r="AC5" s="3257"/>
    </row>
    <row r="6" spans="1:30" ht="15" thickBot="1">
      <c r="A6" s="406"/>
      <c r="B6" s="407"/>
      <c r="C6" s="3276" t="s">
        <v>2542</v>
      </c>
      <c r="D6" s="3277"/>
      <c r="E6" s="3283" t="s">
        <v>2542</v>
      </c>
      <c r="F6" s="3284"/>
      <c r="G6" s="3276" t="s">
        <v>2542</v>
      </c>
      <c r="H6" s="3277"/>
      <c r="I6" s="3276" t="s">
        <v>2542</v>
      </c>
      <c r="J6" s="3277"/>
      <c r="K6" s="610" t="s">
        <v>2543</v>
      </c>
      <c r="L6" s="1127"/>
      <c r="M6" s="1128"/>
      <c r="N6" s="1128"/>
      <c r="O6" s="1128"/>
      <c r="P6" s="3267"/>
      <c r="Q6" s="3268"/>
      <c r="R6" s="3271"/>
      <c r="S6" s="3272"/>
      <c r="T6" s="3273"/>
      <c r="U6" s="3274"/>
      <c r="V6" s="3275"/>
      <c r="W6" s="3275"/>
      <c r="X6" s="1810"/>
      <c r="Y6" s="3273"/>
      <c r="Z6" s="3274"/>
      <c r="AA6" s="3258"/>
      <c r="AB6" s="3258"/>
      <c r="AC6" s="3258"/>
    </row>
    <row r="7" spans="1:30" s="117" customFormat="1" ht="1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80" t="s">
        <v>2545</v>
      </c>
      <c r="Q7" s="3282"/>
      <c r="R7" s="770" t="s">
        <v>17</v>
      </c>
      <c r="S7" s="771">
        <f t="shared" ref="S7:S15" si="0">F7</f>
        <v>0</v>
      </c>
      <c r="T7" s="770" t="s">
        <v>17</v>
      </c>
      <c r="U7" s="771">
        <f t="shared" ref="U7:U15" si="1">H7</f>
        <v>0</v>
      </c>
      <c r="V7" s="770" t="s">
        <v>17</v>
      </c>
      <c r="W7" s="771">
        <f t="shared" ref="W7:W15" si="2">J7</f>
        <v>0</v>
      </c>
      <c r="X7" s="772"/>
      <c r="Y7" s="3280" t="s">
        <v>2545</v>
      </c>
      <c r="Z7" s="3281"/>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80" t="s">
        <v>2548</v>
      </c>
      <c r="Q8" s="3281"/>
      <c r="R8" s="770" t="s">
        <v>17</v>
      </c>
      <c r="S8" s="771">
        <f t="shared" si="0"/>
        <v>0</v>
      </c>
      <c r="T8" s="770" t="s">
        <v>17</v>
      </c>
      <c r="U8" s="771">
        <f t="shared" si="1"/>
        <v>0</v>
      </c>
      <c r="V8" s="770" t="s">
        <v>17</v>
      </c>
      <c r="W8" s="771">
        <f t="shared" si="2"/>
        <v>0</v>
      </c>
      <c r="X8" s="772"/>
      <c r="Y8" s="3280" t="s">
        <v>2548</v>
      </c>
      <c r="Z8" s="3281"/>
      <c r="AA8" s="773" t="e">
        <f t="shared" ref="AA8:AA45" si="3">D8/F8</f>
        <v>#DIV/0!</v>
      </c>
      <c r="AB8" s="773" t="e">
        <f t="shared" ref="AB8:AB45" si="4">D8/H8</f>
        <v>#DIV/0!</v>
      </c>
      <c r="AC8" s="773" t="e">
        <f t="shared" ref="AC8:AC45" si="5">D8/J8</f>
        <v>#DIV/0!</v>
      </c>
    </row>
    <row r="9" spans="1:30" s="117" customFormat="1" ht="14.4">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44"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44"/>
      <c r="Q10" s="1792" t="str">
        <f t="shared" si="6"/>
        <v>土地使用年限（年）</v>
      </c>
      <c r="R10" s="770" t="s">
        <v>17</v>
      </c>
      <c r="S10" s="771">
        <f t="shared" si="0"/>
        <v>110</v>
      </c>
      <c r="T10" s="770" t="s">
        <v>17</v>
      </c>
      <c r="U10" s="771">
        <f t="shared" si="1"/>
        <v>110</v>
      </c>
      <c r="V10" s="770" t="s">
        <v>17</v>
      </c>
      <c r="W10" s="771">
        <f t="shared" si="2"/>
        <v>110</v>
      </c>
      <c r="X10" s="772"/>
      <c r="Y10" s="3067"/>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44"/>
      <c r="Q11" s="1792"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44"/>
      <c r="Q12" s="1792"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44"/>
      <c r="Q13" s="1792">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44"/>
      <c r="Q14" s="1792">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96.6">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46" t="s">
        <v>2556</v>
      </c>
      <c r="Q15" s="1807" t="str">
        <f t="shared" si="6"/>
        <v>居住社区成熟度</v>
      </c>
      <c r="R15" s="774" t="s">
        <v>17</v>
      </c>
      <c r="S15" s="775">
        <f t="shared" si="0"/>
        <v>100</v>
      </c>
      <c r="T15" s="774" t="s">
        <v>17</v>
      </c>
      <c r="U15" s="775">
        <f t="shared" si="1"/>
        <v>100</v>
      </c>
      <c r="V15" s="774" t="s">
        <v>17</v>
      </c>
      <c r="W15" s="775">
        <f t="shared" si="2"/>
        <v>100</v>
      </c>
      <c r="X15" s="1810"/>
      <c r="Y15" s="3246"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47"/>
      <c r="Q16" s="1807"/>
      <c r="R16" s="774"/>
      <c r="S16" s="775"/>
      <c r="T16" s="774"/>
      <c r="U16" s="775"/>
      <c r="V16" s="774"/>
      <c r="W16" s="775"/>
      <c r="X16" s="1810"/>
      <c r="Y16" s="3247"/>
      <c r="Z16" s="1811"/>
      <c r="AA16" s="1808">
        <v>1</v>
      </c>
      <c r="AB16" s="1808">
        <v>1</v>
      </c>
      <c r="AC16" s="1808">
        <v>1</v>
      </c>
    </row>
    <row r="17" spans="1:29" ht="82.8">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47"/>
      <c r="Q17" s="1807" t="str">
        <f>B17</f>
        <v>商业繁华度</v>
      </c>
      <c r="R17" s="774" t="s">
        <v>17</v>
      </c>
      <c r="S17" s="775">
        <f>F17</f>
        <v>100</v>
      </c>
      <c r="T17" s="774" t="s">
        <v>17</v>
      </c>
      <c r="U17" s="775">
        <f>H17</f>
        <v>100</v>
      </c>
      <c r="V17" s="774" t="s">
        <v>17</v>
      </c>
      <c r="W17" s="775">
        <f>J17</f>
        <v>100</v>
      </c>
      <c r="X17" s="1810"/>
      <c r="Y17" s="3247"/>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47"/>
      <c r="Q18" s="1807"/>
      <c r="R18" s="774"/>
      <c r="S18" s="775"/>
      <c r="T18" s="774"/>
      <c r="U18" s="775"/>
      <c r="V18" s="774"/>
      <c r="W18" s="775"/>
      <c r="X18" s="1810"/>
      <c r="Y18" s="3247"/>
      <c r="Z18" s="1811"/>
      <c r="AA18" s="1808">
        <v>1</v>
      </c>
      <c r="AB18" s="1808">
        <v>1</v>
      </c>
      <c r="AC18" s="1808">
        <v>1</v>
      </c>
    </row>
    <row r="19" spans="1:29" ht="82.8">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47"/>
      <c r="Q19" s="1807" t="str">
        <f>B19</f>
        <v>办公集聚程度</v>
      </c>
      <c r="R19" s="774" t="s">
        <v>17</v>
      </c>
      <c r="S19" s="775">
        <f>F19</f>
        <v>100</v>
      </c>
      <c r="T19" s="774" t="s">
        <v>17</v>
      </c>
      <c r="U19" s="775">
        <f>H19</f>
        <v>100</v>
      </c>
      <c r="V19" s="774" t="s">
        <v>17</v>
      </c>
      <c r="W19" s="775">
        <f>J19</f>
        <v>100</v>
      </c>
      <c r="X19" s="1810"/>
      <c r="Y19" s="3247"/>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47"/>
      <c r="Q20" s="1807"/>
      <c r="R20" s="774"/>
      <c r="S20" s="775"/>
      <c r="T20" s="774"/>
      <c r="U20" s="775"/>
      <c r="V20" s="774"/>
      <c r="W20" s="775"/>
      <c r="X20" s="1810"/>
      <c r="Y20" s="3247"/>
      <c r="Z20" s="1811"/>
      <c r="AA20" s="1808">
        <v>1</v>
      </c>
      <c r="AB20" s="1808">
        <v>1</v>
      </c>
      <c r="AC20" s="1808">
        <v>1</v>
      </c>
    </row>
    <row r="21" spans="1:29" ht="96.6">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47"/>
      <c r="Q21" s="1807" t="str">
        <f>B21</f>
        <v>交通便捷度</v>
      </c>
      <c r="R21" s="774" t="s">
        <v>17</v>
      </c>
      <c r="S21" s="775">
        <f>F21</f>
        <v>100</v>
      </c>
      <c r="T21" s="774" t="s">
        <v>17</v>
      </c>
      <c r="U21" s="775">
        <f>H21</f>
        <v>100</v>
      </c>
      <c r="V21" s="774" t="s">
        <v>17</v>
      </c>
      <c r="W21" s="775">
        <f>J21</f>
        <v>100</v>
      </c>
      <c r="X21" s="1810"/>
      <c r="Y21" s="3247"/>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47"/>
      <c r="Q22" s="1807"/>
      <c r="R22" s="774"/>
      <c r="S22" s="775"/>
      <c r="T22" s="774"/>
      <c r="U22" s="775"/>
      <c r="V22" s="774"/>
      <c r="W22" s="775"/>
      <c r="X22" s="1810"/>
      <c r="Y22" s="3247"/>
      <c r="Z22" s="1811"/>
      <c r="AA22" s="1808">
        <v>1</v>
      </c>
      <c r="AB22" s="1808">
        <v>1</v>
      </c>
      <c r="AC22" s="1808">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47"/>
      <c r="Q23" s="1807" t="str">
        <f t="shared" ref="Q23:Q37" si="8">B23</f>
        <v>区域土地利用方向</v>
      </c>
      <c r="R23" s="774" t="s">
        <v>17</v>
      </c>
      <c r="S23" s="775">
        <f>F23</f>
        <v>100</v>
      </c>
      <c r="T23" s="774" t="s">
        <v>17</v>
      </c>
      <c r="U23" s="775">
        <f>H23</f>
        <v>100</v>
      </c>
      <c r="V23" s="774" t="s">
        <v>17</v>
      </c>
      <c r="W23" s="775">
        <f>J23</f>
        <v>100</v>
      </c>
      <c r="X23" s="1810"/>
      <c r="Y23" s="3247"/>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47"/>
      <c r="Q24" s="1807"/>
      <c r="R24" s="774"/>
      <c r="S24" s="775"/>
      <c r="T24" s="774"/>
      <c r="U24" s="775"/>
      <c r="V24" s="774"/>
      <c r="W24" s="775"/>
      <c r="X24" s="1810"/>
      <c r="Y24" s="3247"/>
      <c r="Z24" s="1811"/>
      <c r="AA24" s="1808"/>
      <c r="AB24" s="1808"/>
      <c r="AC24" s="1808"/>
    </row>
    <row r="25" spans="1:29" ht="55.2">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47"/>
      <c r="Q25" s="1807" t="str">
        <f t="shared" si="8"/>
        <v>自然及人文环境状况</v>
      </c>
      <c r="R25" s="774" t="s">
        <v>17</v>
      </c>
      <c r="S25" s="775">
        <f>F25</f>
        <v>100</v>
      </c>
      <c r="T25" s="774" t="s">
        <v>17</v>
      </c>
      <c r="U25" s="775">
        <f>H25</f>
        <v>100</v>
      </c>
      <c r="V25" s="774" t="s">
        <v>17</v>
      </c>
      <c r="W25" s="775">
        <f>J25</f>
        <v>100</v>
      </c>
      <c r="X25" s="1810"/>
      <c r="Y25" s="3247"/>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47"/>
      <c r="Q26" s="1807"/>
      <c r="R26" s="774"/>
      <c r="S26" s="775"/>
      <c r="T26" s="774"/>
      <c r="U26" s="775"/>
      <c r="V26" s="774"/>
      <c r="W26" s="775"/>
      <c r="X26" s="1810"/>
      <c r="Y26" s="3247"/>
      <c r="Z26" s="1811"/>
      <c r="AA26" s="1808">
        <v>1</v>
      </c>
      <c r="AB26" s="1808">
        <v>1</v>
      </c>
      <c r="AC26" s="1808">
        <v>1</v>
      </c>
    </row>
    <row r="27" spans="1:29" s="117" customFormat="1" ht="41.4">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47"/>
      <c r="Q27" s="1792" t="str">
        <f t="shared" si="8"/>
        <v>公共配套设施</v>
      </c>
      <c r="R27" s="770" t="s">
        <v>17</v>
      </c>
      <c r="S27" s="771">
        <f>F27</f>
        <v>100</v>
      </c>
      <c r="T27" s="770" t="s">
        <v>17</v>
      </c>
      <c r="U27" s="771">
        <f>H27</f>
        <v>100</v>
      </c>
      <c r="V27" s="770" t="s">
        <v>17</v>
      </c>
      <c r="W27" s="771">
        <f>J27</f>
        <v>100</v>
      </c>
      <c r="X27" s="772"/>
      <c r="Y27" s="3247"/>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47"/>
      <c r="Q28" s="1792"/>
      <c r="R28" s="770"/>
      <c r="S28" s="771"/>
      <c r="T28" s="770"/>
      <c r="U28" s="771"/>
      <c r="V28" s="770"/>
      <c r="W28" s="771"/>
      <c r="X28" s="772"/>
      <c r="Y28" s="3247"/>
      <c r="Z28" s="55"/>
      <c r="AA28" s="1808">
        <v>1</v>
      </c>
      <c r="AB28" s="1808">
        <v>1</v>
      </c>
      <c r="AC28" s="1808">
        <v>1</v>
      </c>
    </row>
    <row r="29" spans="1:29" s="117" customFormat="1" ht="41.4">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47"/>
      <c r="Q29" s="1792" t="str">
        <f t="shared" ref="Q29" si="9">B29</f>
        <v>基础设施水平</v>
      </c>
      <c r="R29" s="770" t="s">
        <v>17</v>
      </c>
      <c r="S29" s="771">
        <f>F29</f>
        <v>100</v>
      </c>
      <c r="T29" s="770" t="s">
        <v>17</v>
      </c>
      <c r="U29" s="771">
        <f>H29</f>
        <v>100</v>
      </c>
      <c r="V29" s="770" t="s">
        <v>17</v>
      </c>
      <c r="W29" s="771">
        <f>J29</f>
        <v>100</v>
      </c>
      <c r="X29" s="772"/>
      <c r="Y29" s="3247"/>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47"/>
      <c r="Q30" s="1792"/>
      <c r="R30" s="770"/>
      <c r="S30" s="771"/>
      <c r="T30" s="770"/>
      <c r="U30" s="771"/>
      <c r="V30" s="770"/>
      <c r="W30" s="771"/>
      <c r="X30" s="772"/>
      <c r="Y30" s="3247"/>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47"/>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47"/>
      <c r="Z31" s="1811" t="str">
        <f t="shared" ref="Z31:Z45" si="13">Q31</f>
        <v>临街状况</v>
      </c>
      <c r="AA31" s="1808">
        <f t="shared" si="3"/>
        <v>1</v>
      </c>
      <c r="AB31" s="1808">
        <f t="shared" si="4"/>
        <v>1</v>
      </c>
      <c r="AC31" s="1808">
        <f t="shared" si="5"/>
        <v>1</v>
      </c>
    </row>
    <row r="32" spans="1:29" ht="28.8">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47"/>
      <c r="Q32" s="1807" t="str">
        <f t="shared" si="8"/>
        <v>毗邻道路的类型与等级</v>
      </c>
      <c r="R32" s="774" t="s">
        <v>17</v>
      </c>
      <c r="S32" s="775">
        <f t="shared" si="10"/>
        <v>100</v>
      </c>
      <c r="T32" s="774" t="s">
        <v>17</v>
      </c>
      <c r="U32" s="775">
        <f t="shared" si="11"/>
        <v>100</v>
      </c>
      <c r="V32" s="774" t="s">
        <v>17</v>
      </c>
      <c r="W32" s="775">
        <f t="shared" si="12"/>
        <v>100</v>
      </c>
      <c r="X32" s="1810"/>
      <c r="Y32" s="3247"/>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47"/>
      <c r="Q33" s="1807"/>
      <c r="R33" s="774"/>
      <c r="S33" s="775"/>
      <c r="T33" s="774"/>
      <c r="U33" s="775"/>
      <c r="V33" s="774"/>
      <c r="W33" s="775"/>
      <c r="X33" s="1810"/>
      <c r="Y33" s="3247"/>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47"/>
      <c r="Q34" s="1807" t="str">
        <f t="shared" si="8"/>
        <v>土地级别</v>
      </c>
      <c r="R34" s="774" t="s">
        <v>17</v>
      </c>
      <c r="S34" s="775">
        <f t="shared" si="10"/>
        <v>100</v>
      </c>
      <c r="T34" s="774" t="s">
        <v>17</v>
      </c>
      <c r="U34" s="775">
        <f t="shared" si="11"/>
        <v>100</v>
      </c>
      <c r="V34" s="774" t="s">
        <v>17</v>
      </c>
      <c r="W34" s="775">
        <f t="shared" si="12"/>
        <v>100</v>
      </c>
      <c r="X34" s="1810"/>
      <c r="Y34" s="3247"/>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47"/>
      <c r="Q35" s="1807">
        <f t="shared" si="8"/>
        <v>111</v>
      </c>
      <c r="R35" s="774" t="s">
        <v>17</v>
      </c>
      <c r="S35" s="775">
        <f t="shared" si="10"/>
        <v>100</v>
      </c>
      <c r="T35" s="774" t="s">
        <v>17</v>
      </c>
      <c r="U35" s="775">
        <f t="shared" si="11"/>
        <v>100</v>
      </c>
      <c r="V35" s="774" t="s">
        <v>17</v>
      </c>
      <c r="W35" s="775">
        <f t="shared" si="12"/>
        <v>100</v>
      </c>
      <c r="X35" s="1810"/>
      <c r="Y35" s="3247"/>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2" t="s">
        <v>2561</v>
      </c>
      <c r="Q36" s="1807">
        <f t="shared" si="8"/>
        <v>111</v>
      </c>
      <c r="R36" s="774" t="s">
        <v>17</v>
      </c>
      <c r="S36" s="775">
        <f t="shared" si="10"/>
        <v>100</v>
      </c>
      <c r="T36" s="774" t="s">
        <v>17</v>
      </c>
      <c r="U36" s="775">
        <f t="shared" si="11"/>
        <v>100</v>
      </c>
      <c r="V36" s="774" t="s">
        <v>17</v>
      </c>
      <c r="W36" s="775">
        <f t="shared" si="12"/>
        <v>100</v>
      </c>
      <c r="X36" s="1810"/>
      <c r="Y36" s="3251" t="s">
        <v>2561</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51"/>
      <c r="Q37" s="1807">
        <f t="shared" si="8"/>
        <v>111</v>
      </c>
      <c r="R37" s="777" t="s">
        <v>17</v>
      </c>
      <c r="S37" s="778">
        <f t="shared" si="10"/>
        <v>100</v>
      </c>
      <c r="T37" s="777" t="s">
        <v>17</v>
      </c>
      <c r="U37" s="778">
        <f t="shared" si="11"/>
        <v>100</v>
      </c>
      <c r="V37" s="777" t="s">
        <v>17</v>
      </c>
      <c r="W37" s="778">
        <f t="shared" si="12"/>
        <v>100</v>
      </c>
      <c r="X37" s="779"/>
      <c r="Y37" s="3251"/>
      <c r="Z37" s="780">
        <f t="shared" si="13"/>
        <v>111</v>
      </c>
      <c r="AA37" s="1808">
        <f t="shared" si="3"/>
        <v>1</v>
      </c>
      <c r="AB37" s="1808">
        <f t="shared" si="4"/>
        <v>1</v>
      </c>
      <c r="AC37" s="1808">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51"/>
      <c r="Q38" s="1807" t="str">
        <f>B38</f>
        <v>宗地面积</v>
      </c>
      <c r="R38" s="774" t="s">
        <v>17</v>
      </c>
      <c r="S38" s="775" t="e">
        <f t="shared" si="10"/>
        <v>#N/A</v>
      </c>
      <c r="T38" s="774" t="s">
        <v>17</v>
      </c>
      <c r="U38" s="775" t="e">
        <f t="shared" si="11"/>
        <v>#N/A</v>
      </c>
      <c r="V38" s="774" t="s">
        <v>17</v>
      </c>
      <c r="W38" s="775" t="e">
        <f t="shared" si="12"/>
        <v>#N/A</v>
      </c>
      <c r="X38" s="1810"/>
      <c r="Y38" s="3251"/>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51"/>
      <c r="Q39" s="1807" t="str">
        <f t="shared" ref="Q39:Q45" si="14">B39</f>
        <v>宗地形状</v>
      </c>
      <c r="R39" s="774" t="s">
        <v>17</v>
      </c>
      <c r="S39" s="775">
        <f t="shared" si="10"/>
        <v>100</v>
      </c>
      <c r="T39" s="774" t="s">
        <v>17</v>
      </c>
      <c r="U39" s="775">
        <f t="shared" si="11"/>
        <v>100</v>
      </c>
      <c r="V39" s="774" t="s">
        <v>17</v>
      </c>
      <c r="W39" s="775">
        <f t="shared" si="12"/>
        <v>100</v>
      </c>
      <c r="X39" s="1810"/>
      <c r="Y39" s="3251"/>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51"/>
      <c r="Q40" s="1807" t="str">
        <f t="shared" si="14"/>
        <v>临街宽度及深度</v>
      </c>
      <c r="R40" s="774" t="s">
        <v>17</v>
      </c>
      <c r="S40" s="775">
        <f t="shared" si="10"/>
        <v>100</v>
      </c>
      <c r="T40" s="774" t="s">
        <v>17</v>
      </c>
      <c r="U40" s="775">
        <f t="shared" si="11"/>
        <v>100</v>
      </c>
      <c r="V40" s="774" t="s">
        <v>17</v>
      </c>
      <c r="W40" s="775">
        <f t="shared" si="12"/>
        <v>100</v>
      </c>
      <c r="X40" s="1810"/>
      <c r="Y40" s="3251"/>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51"/>
      <c r="Q41" s="1807"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51" t="s">
        <v>2561</v>
      </c>
      <c r="Q42" s="1807" t="str">
        <f t="shared" si="14"/>
        <v>工程地质条件</v>
      </c>
      <c r="R42" s="774" t="s">
        <v>17</v>
      </c>
      <c r="S42" s="775">
        <f t="shared" si="10"/>
        <v>100</v>
      </c>
      <c r="T42" s="774" t="s">
        <v>17</v>
      </c>
      <c r="U42" s="775">
        <f t="shared" si="11"/>
        <v>100</v>
      </c>
      <c r="V42" s="774" t="s">
        <v>17</v>
      </c>
      <c r="W42" s="775">
        <f t="shared" si="12"/>
        <v>100</v>
      </c>
      <c r="X42" s="1810"/>
      <c r="Y42" s="3251"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51"/>
      <c r="Q43" s="1807">
        <f t="shared" si="14"/>
        <v>111</v>
      </c>
      <c r="R43" s="774" t="s">
        <v>17</v>
      </c>
      <c r="S43" s="775">
        <f t="shared" si="10"/>
        <v>100</v>
      </c>
      <c r="T43" s="774" t="s">
        <v>17</v>
      </c>
      <c r="U43" s="775">
        <f t="shared" si="11"/>
        <v>100</v>
      </c>
      <c r="V43" s="774" t="s">
        <v>17</v>
      </c>
      <c r="W43" s="775">
        <f t="shared" si="12"/>
        <v>100</v>
      </c>
      <c r="X43" s="1810"/>
      <c r="Y43" s="325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51"/>
      <c r="Q44" s="1807">
        <f t="shared" si="14"/>
        <v>111</v>
      </c>
      <c r="R44" s="774" t="s">
        <v>17</v>
      </c>
      <c r="S44" s="775">
        <f t="shared" si="10"/>
        <v>100</v>
      </c>
      <c r="T44" s="774" t="s">
        <v>17</v>
      </c>
      <c r="U44" s="775">
        <f t="shared" si="11"/>
        <v>100</v>
      </c>
      <c r="V44" s="774" t="s">
        <v>17</v>
      </c>
      <c r="W44" s="775">
        <f t="shared" si="12"/>
        <v>100</v>
      </c>
      <c r="X44" s="1810"/>
      <c r="Y44" s="3251"/>
      <c r="Z44" s="1811">
        <f t="shared" si="13"/>
        <v>111</v>
      </c>
      <c r="AA44" s="1808">
        <f t="shared" si="3"/>
        <v>1</v>
      </c>
      <c r="AB44" s="1808">
        <f t="shared" si="4"/>
        <v>1</v>
      </c>
      <c r="AC44" s="1808">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51"/>
      <c r="Q45" s="1807">
        <f t="shared" si="14"/>
        <v>111</v>
      </c>
      <c r="R45" s="777" t="s">
        <v>17</v>
      </c>
      <c r="S45" s="778">
        <f t="shared" si="10"/>
        <v>100</v>
      </c>
      <c r="T45" s="777" t="s">
        <v>17</v>
      </c>
      <c r="U45" s="778">
        <f t="shared" si="11"/>
        <v>100</v>
      </c>
      <c r="V45" s="777" t="s">
        <v>17</v>
      </c>
      <c r="W45" s="778">
        <f t="shared" si="12"/>
        <v>100</v>
      </c>
      <c r="X45" s="779"/>
      <c r="Y45" s="3251"/>
      <c r="Z45" s="780">
        <f t="shared" si="13"/>
        <v>111</v>
      </c>
      <c r="AA45" s="1808">
        <f t="shared" si="3"/>
        <v>1</v>
      </c>
      <c r="AB45" s="1808">
        <f t="shared" si="4"/>
        <v>1</v>
      </c>
      <c r="AC45" s="1808">
        <f t="shared" si="5"/>
        <v>1</v>
      </c>
    </row>
    <row r="46" spans="1:29" ht="14.4">
      <c r="A46" s="479" t="s">
        <v>2716</v>
      </c>
      <c r="B46" s="2699" t="s">
        <v>2752</v>
      </c>
      <c r="C46" s="682" t="s">
        <v>1</v>
      </c>
      <c r="D46" s="481"/>
      <c r="E46" s="482"/>
      <c r="F46" s="483"/>
      <c r="G46" s="484"/>
      <c r="H46" s="485"/>
      <c r="I46" s="482"/>
      <c r="J46" s="485"/>
      <c r="K46" s="783"/>
      <c r="L46" s="1140"/>
      <c r="M46" s="1141"/>
      <c r="N46" s="1128"/>
      <c r="O46" s="1141"/>
      <c r="P46" s="3244" t="str">
        <f>A46</f>
        <v>成交单价</v>
      </c>
      <c r="Q46" s="3244"/>
      <c r="R46" s="3275">
        <f>E46</f>
        <v>0</v>
      </c>
      <c r="S46" s="3275"/>
      <c r="T46" s="3275">
        <f>G46</f>
        <v>0</v>
      </c>
      <c r="U46" s="3275"/>
      <c r="V46" s="3275">
        <f>I46</f>
        <v>0</v>
      </c>
      <c r="W46" s="3275"/>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44" t="str">
        <f>A47</f>
        <v>比较价值（元/平方米）</v>
      </c>
      <c r="Q47" s="3244"/>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0"/>
      <c r="M48" s="1141"/>
      <c r="N48" s="1141"/>
      <c r="O48" s="1141"/>
      <c r="P48" s="3241" t="str">
        <f>A48</f>
        <v>估价对象XX用房的比较价值（楼面单价，元/平方米）</v>
      </c>
      <c r="Q48" s="3242"/>
      <c r="R48" s="3306" t="e">
        <f>ROUND(AVERAGE(R47:V47),0)</f>
        <v>#DIV/0!</v>
      </c>
      <c r="S48" s="3306"/>
      <c r="T48" s="3306"/>
      <c r="U48" s="3306"/>
      <c r="V48" s="3306"/>
      <c r="W48" s="330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59" t="s">
        <v>2760</v>
      </c>
      <c r="H55" s="3307"/>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55"/>
      <c r="H56" s="3244"/>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308"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308"/>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308"/>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308"/>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4.4"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2581</v>
      </c>
      <c r="B72" s="516"/>
      <c r="C72" s="517"/>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69" t="s">
        <v>2643</v>
      </c>
      <c r="S4" s="3270"/>
      <c r="T4" s="3269" t="s">
        <v>2644</v>
      </c>
      <c r="U4" s="3270"/>
      <c r="V4" s="3275" t="s">
        <v>2645</v>
      </c>
      <c r="W4" s="3275"/>
      <c r="X4" s="1810"/>
      <c r="Y4" s="3269" t="s">
        <v>2647</v>
      </c>
      <c r="Z4" s="3270"/>
      <c r="AA4" s="3256" t="s">
        <v>2643</v>
      </c>
      <c r="AB4" s="3257" t="s">
        <v>2644</v>
      </c>
      <c r="AC4" s="3256" t="s">
        <v>2645</v>
      </c>
    </row>
    <row r="5" spans="1:29">
      <c r="A5" s="404"/>
      <c r="B5" s="405"/>
      <c r="C5" s="3278" t="s">
        <v>2538</v>
      </c>
      <c r="D5" s="3279"/>
      <c r="E5" s="3285" t="s">
        <v>2539</v>
      </c>
      <c r="F5" s="3286"/>
      <c r="G5" s="3278" t="s">
        <v>2540</v>
      </c>
      <c r="H5" s="3279"/>
      <c r="I5" s="3278" t="s">
        <v>2541</v>
      </c>
      <c r="J5" s="3279"/>
      <c r="K5" s="610"/>
      <c r="L5" s="1127"/>
      <c r="M5" s="1128"/>
      <c r="N5" s="1128"/>
      <c r="O5" s="1128"/>
      <c r="P5" s="3265"/>
      <c r="Q5" s="3266"/>
      <c r="R5" s="3271"/>
      <c r="S5" s="3272"/>
      <c r="T5" s="3271"/>
      <c r="U5" s="3272"/>
      <c r="V5" s="3275"/>
      <c r="W5" s="3275"/>
      <c r="X5" s="1810"/>
      <c r="Y5" s="3271"/>
      <c r="Z5" s="3272"/>
      <c r="AA5" s="3257"/>
      <c r="AB5" s="3257"/>
      <c r="AC5" s="3257"/>
    </row>
    <row r="6" spans="1:29" ht="15" thickBot="1">
      <c r="A6" s="406"/>
      <c r="B6" s="407"/>
      <c r="C6" s="3309" t="s">
        <v>2793</v>
      </c>
      <c r="D6" s="3310"/>
      <c r="E6" s="3311" t="s">
        <v>2793</v>
      </c>
      <c r="F6" s="3312"/>
      <c r="G6" s="3309" t="s">
        <v>2793</v>
      </c>
      <c r="H6" s="3310"/>
      <c r="I6" s="3309" t="s">
        <v>2793</v>
      </c>
      <c r="J6" s="3310"/>
      <c r="K6" s="610" t="s">
        <v>2543</v>
      </c>
      <c r="L6" s="1127"/>
      <c r="M6" s="1128"/>
      <c r="N6" s="1128"/>
      <c r="O6" s="1128"/>
      <c r="P6" s="3267"/>
      <c r="Q6" s="3268"/>
      <c r="R6" s="3271"/>
      <c r="S6" s="3272"/>
      <c r="T6" s="3273"/>
      <c r="U6" s="3274"/>
      <c r="V6" s="3275"/>
      <c r="W6" s="3275"/>
      <c r="X6" s="1810"/>
      <c r="Y6" s="3273"/>
      <c r="Z6" s="3274"/>
      <c r="AA6" s="3258"/>
      <c r="AB6" s="3258"/>
      <c r="AC6" s="3258"/>
    </row>
    <row r="7" spans="1:29" s="117" customFormat="1" ht="1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80" t="s">
        <v>2545</v>
      </c>
      <c r="Q7" s="3282"/>
      <c r="R7" s="770" t="s">
        <v>17</v>
      </c>
      <c r="S7" s="771">
        <f t="shared" ref="S7:S15" si="0">F7</f>
        <v>0</v>
      </c>
      <c r="T7" s="770" t="s">
        <v>17</v>
      </c>
      <c r="U7" s="771">
        <f t="shared" ref="U7:U15" si="1">H7</f>
        <v>0</v>
      </c>
      <c r="V7" s="770" t="s">
        <v>17</v>
      </c>
      <c r="W7" s="771">
        <f t="shared" ref="W7:W15" si="2">J7</f>
        <v>0</v>
      </c>
      <c r="X7" s="772"/>
      <c r="Y7" s="3280" t="s">
        <v>2545</v>
      </c>
      <c r="Z7" s="3281"/>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80" t="s">
        <v>2548</v>
      </c>
      <c r="Q8" s="3281"/>
      <c r="R8" s="770" t="s">
        <v>17</v>
      </c>
      <c r="S8" s="771">
        <f t="shared" si="0"/>
        <v>0</v>
      </c>
      <c r="T8" s="770" t="s">
        <v>17</v>
      </c>
      <c r="U8" s="771">
        <f t="shared" si="1"/>
        <v>0</v>
      </c>
      <c r="V8" s="770" t="s">
        <v>17</v>
      </c>
      <c r="W8" s="771">
        <f t="shared" si="2"/>
        <v>0</v>
      </c>
      <c r="X8" s="772"/>
      <c r="Y8" s="3280" t="s">
        <v>2548</v>
      </c>
      <c r="Z8" s="3281"/>
      <c r="AA8" s="773" t="e">
        <f t="shared" ref="AA8:AA40" si="3">D8/F8</f>
        <v>#DIV/0!</v>
      </c>
      <c r="AB8" s="773" t="e">
        <f t="shared" ref="AB8:AB40" si="4">D8/H8</f>
        <v>#DIV/0!</v>
      </c>
      <c r="AC8" s="773" t="e">
        <f t="shared" ref="AC8:AC40" si="5">D8/J8</f>
        <v>#DIV/0!</v>
      </c>
    </row>
    <row r="9" spans="1:29" s="117" customFormat="1" ht="14.4">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44" t="s">
        <v>2551</v>
      </c>
      <c r="Q9" s="1792" t="str">
        <f t="shared" ref="Q9:Q15" si="6">B9</f>
        <v>用途</v>
      </c>
      <c r="R9" s="770" t="s">
        <v>17</v>
      </c>
      <c r="S9" s="771">
        <f t="shared" si="0"/>
        <v>100</v>
      </c>
      <c r="T9" s="770" t="s">
        <v>17</v>
      </c>
      <c r="U9" s="771">
        <f t="shared" si="1"/>
        <v>100</v>
      </c>
      <c r="V9" s="770" t="s">
        <v>17</v>
      </c>
      <c r="W9" s="771">
        <f t="shared" si="2"/>
        <v>100</v>
      </c>
      <c r="X9" s="772"/>
      <c r="Y9" s="3067"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44"/>
      <c r="Q10" s="1792" t="str">
        <f t="shared" si="6"/>
        <v>土地使用年限（年）</v>
      </c>
      <c r="R10" s="770" t="s">
        <v>17</v>
      </c>
      <c r="S10" s="771">
        <f t="shared" si="0"/>
        <v>110</v>
      </c>
      <c r="T10" s="770" t="s">
        <v>17</v>
      </c>
      <c r="U10" s="771">
        <f t="shared" si="1"/>
        <v>110</v>
      </c>
      <c r="V10" s="770" t="s">
        <v>17</v>
      </c>
      <c r="W10" s="771">
        <f t="shared" si="2"/>
        <v>110</v>
      </c>
      <c r="X10" s="772"/>
      <c r="Y10" s="3067"/>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44"/>
      <c r="Q11" s="1792"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44"/>
      <c r="Q12" s="1792">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44"/>
      <c r="Q13" s="1792">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44"/>
      <c r="Q14" s="1792">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82.8">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46" t="s">
        <v>2556</v>
      </c>
      <c r="Q15" s="1807" t="str">
        <f t="shared" si="6"/>
        <v>产业集聚程度</v>
      </c>
      <c r="R15" s="774" t="s">
        <v>17</v>
      </c>
      <c r="S15" s="775">
        <f t="shared" si="0"/>
        <v>100</v>
      </c>
      <c r="T15" s="774" t="s">
        <v>17</v>
      </c>
      <c r="U15" s="775">
        <f t="shared" si="1"/>
        <v>100</v>
      </c>
      <c r="V15" s="774" t="s">
        <v>17</v>
      </c>
      <c r="W15" s="775">
        <f t="shared" si="2"/>
        <v>100</v>
      </c>
      <c r="X15" s="1810"/>
      <c r="Y15" s="3246"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47"/>
      <c r="Q16" s="1807"/>
      <c r="R16" s="774"/>
      <c r="S16" s="775"/>
      <c r="T16" s="774"/>
      <c r="U16" s="775"/>
      <c r="V16" s="774"/>
      <c r="W16" s="775"/>
      <c r="X16" s="1810"/>
      <c r="Y16" s="3247"/>
      <c r="Z16" s="1811"/>
      <c r="AA16" s="1808">
        <v>1</v>
      </c>
      <c r="AB16" s="1808">
        <v>1</v>
      </c>
      <c r="AC16" s="1808">
        <v>1</v>
      </c>
    </row>
    <row r="17" spans="1:29" ht="110.4">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47"/>
      <c r="Q17" s="1807" t="str">
        <f>B17</f>
        <v>交通便捷度</v>
      </c>
      <c r="R17" s="774" t="s">
        <v>17</v>
      </c>
      <c r="S17" s="775">
        <f>F17</f>
        <v>100</v>
      </c>
      <c r="T17" s="774" t="s">
        <v>17</v>
      </c>
      <c r="U17" s="775">
        <f>H17</f>
        <v>100</v>
      </c>
      <c r="V17" s="774" t="s">
        <v>17</v>
      </c>
      <c r="W17" s="775">
        <f>J17</f>
        <v>100</v>
      </c>
      <c r="X17" s="1810"/>
      <c r="Y17" s="3247"/>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47"/>
      <c r="Q18" s="1807"/>
      <c r="R18" s="774"/>
      <c r="S18" s="775"/>
      <c r="T18" s="774"/>
      <c r="U18" s="775"/>
      <c r="V18" s="774"/>
      <c r="W18" s="775"/>
      <c r="X18" s="1810"/>
      <c r="Y18" s="3247"/>
      <c r="Z18" s="1811"/>
      <c r="AA18" s="1808">
        <v>1</v>
      </c>
      <c r="AB18" s="1808">
        <v>1</v>
      </c>
      <c r="AC18" s="1808">
        <v>1</v>
      </c>
    </row>
    <row r="19" spans="1:29" ht="28.8">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47"/>
      <c r="Q19" s="1807" t="str">
        <f t="shared" ref="Q19:Q33" si="8">B19</f>
        <v>区域土地利用方向</v>
      </c>
      <c r="R19" s="774" t="s">
        <v>17</v>
      </c>
      <c r="S19" s="775">
        <f>F19</f>
        <v>100</v>
      </c>
      <c r="T19" s="774" t="s">
        <v>17</v>
      </c>
      <c r="U19" s="775">
        <f>H19</f>
        <v>100</v>
      </c>
      <c r="V19" s="774" t="s">
        <v>17</v>
      </c>
      <c r="W19" s="775">
        <f>J19</f>
        <v>100</v>
      </c>
      <c r="X19" s="1810"/>
      <c r="Y19" s="3247"/>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47"/>
      <c r="Q20" s="1807"/>
      <c r="R20" s="774"/>
      <c r="S20" s="775"/>
      <c r="T20" s="774"/>
      <c r="U20" s="775"/>
      <c r="V20" s="774"/>
      <c r="W20" s="775"/>
      <c r="X20" s="1810"/>
      <c r="Y20" s="3247"/>
      <c r="Z20" s="1811"/>
      <c r="AA20" s="1808"/>
      <c r="AB20" s="1808"/>
      <c r="AC20" s="1808"/>
    </row>
    <row r="21" spans="1:29" ht="82.8">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47"/>
      <c r="Q21" s="1807" t="str">
        <f t="shared" si="8"/>
        <v>环境状况</v>
      </c>
      <c r="R21" s="774" t="s">
        <v>17</v>
      </c>
      <c r="S21" s="775">
        <f>F21</f>
        <v>100</v>
      </c>
      <c r="T21" s="774" t="s">
        <v>17</v>
      </c>
      <c r="U21" s="775">
        <f>H21</f>
        <v>100</v>
      </c>
      <c r="V21" s="774" t="s">
        <v>17</v>
      </c>
      <c r="W21" s="775">
        <f>J21</f>
        <v>100</v>
      </c>
      <c r="X21" s="1810"/>
      <c r="Y21" s="3247"/>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47"/>
      <c r="Q22" s="1807"/>
      <c r="R22" s="774"/>
      <c r="S22" s="775"/>
      <c r="T22" s="774"/>
      <c r="U22" s="775"/>
      <c r="V22" s="774"/>
      <c r="W22" s="775"/>
      <c r="X22" s="1810"/>
      <c r="Y22" s="3247"/>
      <c r="Z22" s="1811"/>
      <c r="AA22" s="1808">
        <v>1</v>
      </c>
      <c r="AB22" s="1808">
        <v>1</v>
      </c>
      <c r="AC22" s="1808">
        <v>1</v>
      </c>
    </row>
    <row r="23" spans="1:29" s="117" customFormat="1" ht="55.2">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47"/>
      <c r="Q23" s="1792" t="str">
        <f t="shared" si="8"/>
        <v>公共配套设施</v>
      </c>
      <c r="R23" s="770" t="s">
        <v>17</v>
      </c>
      <c r="S23" s="771">
        <f>F23</f>
        <v>100</v>
      </c>
      <c r="T23" s="770" t="s">
        <v>17</v>
      </c>
      <c r="U23" s="771">
        <f>H23</f>
        <v>100</v>
      </c>
      <c r="V23" s="770" t="s">
        <v>17</v>
      </c>
      <c r="W23" s="771">
        <f>J23</f>
        <v>100</v>
      </c>
      <c r="X23" s="772"/>
      <c r="Y23" s="3247"/>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47"/>
      <c r="Q24" s="1792"/>
      <c r="R24" s="770"/>
      <c r="S24" s="771"/>
      <c r="T24" s="770"/>
      <c r="U24" s="771"/>
      <c r="V24" s="770"/>
      <c r="W24" s="771"/>
      <c r="X24" s="772"/>
      <c r="Y24" s="3247"/>
      <c r="Z24" s="55"/>
      <c r="AA24" s="773">
        <v>1</v>
      </c>
      <c r="AB24" s="773">
        <v>1</v>
      </c>
      <c r="AC24" s="773">
        <v>1</v>
      </c>
    </row>
    <row r="25" spans="1:29" s="117" customFormat="1" ht="41.4">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47"/>
      <c r="Q25" s="1792" t="str">
        <f t="shared" ref="Q25" si="9">B25</f>
        <v>基础设施水平</v>
      </c>
      <c r="R25" s="770" t="s">
        <v>17</v>
      </c>
      <c r="S25" s="771">
        <f>F25</f>
        <v>100</v>
      </c>
      <c r="T25" s="770" t="s">
        <v>17</v>
      </c>
      <c r="U25" s="771">
        <f>H25</f>
        <v>100</v>
      </c>
      <c r="V25" s="770" t="s">
        <v>17</v>
      </c>
      <c r="W25" s="771">
        <f>J25</f>
        <v>100</v>
      </c>
      <c r="X25" s="772"/>
      <c r="Y25" s="3247"/>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47"/>
      <c r="Q26" s="1792"/>
      <c r="R26" s="770"/>
      <c r="S26" s="771"/>
      <c r="T26" s="770"/>
      <c r="U26" s="771"/>
      <c r="V26" s="770"/>
      <c r="W26" s="771"/>
      <c r="X26" s="772"/>
      <c r="Y26" s="324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47"/>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47"/>
      <c r="Z27" s="1811" t="str">
        <f t="shared" ref="Z27:Z40" si="13">Q27</f>
        <v>临街状况</v>
      </c>
      <c r="AA27" s="1808">
        <f t="shared" si="3"/>
        <v>1</v>
      </c>
      <c r="AB27" s="1808">
        <f t="shared" si="4"/>
        <v>1</v>
      </c>
      <c r="AC27" s="1808">
        <f t="shared" si="5"/>
        <v>1</v>
      </c>
    </row>
    <row r="28" spans="1:29" ht="28.8">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47"/>
      <c r="Q28" s="1807" t="str">
        <f t="shared" si="8"/>
        <v>毗邻道路的类型与等级</v>
      </c>
      <c r="R28" s="774" t="s">
        <v>17</v>
      </c>
      <c r="S28" s="775">
        <f t="shared" si="10"/>
        <v>100</v>
      </c>
      <c r="T28" s="774" t="s">
        <v>17</v>
      </c>
      <c r="U28" s="775">
        <f t="shared" si="11"/>
        <v>100</v>
      </c>
      <c r="V28" s="774" t="s">
        <v>17</v>
      </c>
      <c r="W28" s="775">
        <f t="shared" si="12"/>
        <v>100</v>
      </c>
      <c r="X28" s="1810"/>
      <c r="Y28" s="3247"/>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47"/>
      <c r="Q29" s="1807"/>
      <c r="R29" s="774"/>
      <c r="S29" s="775"/>
      <c r="T29" s="774"/>
      <c r="U29" s="775"/>
      <c r="V29" s="774"/>
      <c r="W29" s="775"/>
      <c r="X29" s="1810"/>
      <c r="Y29" s="3247"/>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47"/>
      <c r="Q30" s="1807" t="str">
        <f t="shared" si="8"/>
        <v>土地级别</v>
      </c>
      <c r="R30" s="774" t="s">
        <v>17</v>
      </c>
      <c r="S30" s="775">
        <f t="shared" si="10"/>
        <v>100</v>
      </c>
      <c r="T30" s="774" t="s">
        <v>17</v>
      </c>
      <c r="U30" s="775">
        <f t="shared" si="11"/>
        <v>100</v>
      </c>
      <c r="V30" s="774" t="s">
        <v>17</v>
      </c>
      <c r="W30" s="775">
        <f t="shared" si="12"/>
        <v>100</v>
      </c>
      <c r="X30" s="1810"/>
      <c r="Y30" s="3247"/>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47"/>
      <c r="Q31" s="1807">
        <f t="shared" si="8"/>
        <v>111</v>
      </c>
      <c r="R31" s="774" t="s">
        <v>17</v>
      </c>
      <c r="S31" s="775">
        <f t="shared" si="10"/>
        <v>100</v>
      </c>
      <c r="T31" s="774" t="s">
        <v>17</v>
      </c>
      <c r="U31" s="775">
        <f t="shared" si="11"/>
        <v>100</v>
      </c>
      <c r="V31" s="774" t="s">
        <v>17</v>
      </c>
      <c r="W31" s="775">
        <f t="shared" si="12"/>
        <v>100</v>
      </c>
      <c r="X31" s="1810"/>
      <c r="Y31" s="3247"/>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2" t="s">
        <v>2561</v>
      </c>
      <c r="Q32" s="1807">
        <f t="shared" si="8"/>
        <v>111</v>
      </c>
      <c r="R32" s="774" t="s">
        <v>17</v>
      </c>
      <c r="S32" s="775">
        <f t="shared" si="10"/>
        <v>100</v>
      </c>
      <c r="T32" s="774" t="s">
        <v>17</v>
      </c>
      <c r="U32" s="775">
        <f t="shared" si="11"/>
        <v>100</v>
      </c>
      <c r="V32" s="774" t="s">
        <v>17</v>
      </c>
      <c r="W32" s="775">
        <f t="shared" si="12"/>
        <v>100</v>
      </c>
      <c r="X32" s="1810"/>
      <c r="Y32" s="3251" t="s">
        <v>2561</v>
      </c>
      <c r="Z32" s="1811">
        <f t="shared" si="13"/>
        <v>111</v>
      </c>
      <c r="AA32" s="1808">
        <f t="shared" si="3"/>
        <v>1</v>
      </c>
      <c r="AB32" s="1808">
        <f t="shared" si="4"/>
        <v>1</v>
      </c>
      <c r="AC32" s="1808">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51"/>
      <c r="Q33" s="1807">
        <f t="shared" si="8"/>
        <v>111</v>
      </c>
      <c r="R33" s="777" t="s">
        <v>17</v>
      </c>
      <c r="S33" s="778">
        <f t="shared" si="10"/>
        <v>100</v>
      </c>
      <c r="T33" s="777" t="s">
        <v>17</v>
      </c>
      <c r="U33" s="778">
        <f t="shared" si="11"/>
        <v>100</v>
      </c>
      <c r="V33" s="777" t="s">
        <v>17</v>
      </c>
      <c r="W33" s="778">
        <f t="shared" si="12"/>
        <v>100</v>
      </c>
      <c r="X33" s="779"/>
      <c r="Y33" s="3251"/>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51"/>
      <c r="Q34" s="1807" t="str">
        <f>B34</f>
        <v>宗地面积</v>
      </c>
      <c r="R34" s="774" t="s">
        <v>17</v>
      </c>
      <c r="S34" s="775" t="e">
        <f t="shared" si="10"/>
        <v>#N/A</v>
      </c>
      <c r="T34" s="774" t="s">
        <v>17</v>
      </c>
      <c r="U34" s="775" t="e">
        <f t="shared" si="11"/>
        <v>#N/A</v>
      </c>
      <c r="V34" s="774" t="s">
        <v>17</v>
      </c>
      <c r="W34" s="775" t="e">
        <f t="shared" si="12"/>
        <v>#N/A</v>
      </c>
      <c r="X34" s="1810"/>
      <c r="Y34" s="3251"/>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51"/>
      <c r="Q35" s="1807" t="str">
        <f t="shared" ref="Q35:Q40" si="14">B35</f>
        <v>宗地形状</v>
      </c>
      <c r="R35" s="774" t="s">
        <v>17</v>
      </c>
      <c r="S35" s="775">
        <f t="shared" si="10"/>
        <v>100</v>
      </c>
      <c r="T35" s="774" t="s">
        <v>17</v>
      </c>
      <c r="U35" s="775">
        <f t="shared" si="11"/>
        <v>100</v>
      </c>
      <c r="V35" s="774" t="s">
        <v>17</v>
      </c>
      <c r="W35" s="775">
        <f t="shared" si="12"/>
        <v>100</v>
      </c>
      <c r="X35" s="1810"/>
      <c r="Y35" s="3251"/>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51"/>
      <c r="Q36" s="1807"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51" t="s">
        <v>2561</v>
      </c>
      <c r="Q37" s="1807" t="str">
        <f t="shared" si="14"/>
        <v>工程地质条件</v>
      </c>
      <c r="R37" s="774" t="s">
        <v>17</v>
      </c>
      <c r="S37" s="775">
        <f t="shared" si="10"/>
        <v>100</v>
      </c>
      <c r="T37" s="774" t="s">
        <v>17</v>
      </c>
      <c r="U37" s="775">
        <f t="shared" si="11"/>
        <v>100</v>
      </c>
      <c r="V37" s="774" t="s">
        <v>17</v>
      </c>
      <c r="W37" s="775">
        <f t="shared" si="12"/>
        <v>100</v>
      </c>
      <c r="X37" s="1810"/>
      <c r="Y37" s="3251"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51"/>
      <c r="Q38" s="1807">
        <f t="shared" si="14"/>
        <v>111</v>
      </c>
      <c r="R38" s="774" t="s">
        <v>17</v>
      </c>
      <c r="S38" s="775">
        <f t="shared" si="10"/>
        <v>100</v>
      </c>
      <c r="T38" s="774" t="s">
        <v>17</v>
      </c>
      <c r="U38" s="775">
        <f t="shared" si="11"/>
        <v>100</v>
      </c>
      <c r="V38" s="774" t="s">
        <v>17</v>
      </c>
      <c r="W38" s="775">
        <f t="shared" si="12"/>
        <v>100</v>
      </c>
      <c r="X38" s="1810"/>
      <c r="Y38" s="3251"/>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51"/>
      <c r="Q39" s="1807">
        <f t="shared" si="14"/>
        <v>111</v>
      </c>
      <c r="R39" s="774" t="s">
        <v>17</v>
      </c>
      <c r="S39" s="775">
        <f t="shared" si="10"/>
        <v>100</v>
      </c>
      <c r="T39" s="774" t="s">
        <v>17</v>
      </c>
      <c r="U39" s="775">
        <f t="shared" si="11"/>
        <v>100</v>
      </c>
      <c r="V39" s="774" t="s">
        <v>17</v>
      </c>
      <c r="W39" s="775">
        <f t="shared" si="12"/>
        <v>100</v>
      </c>
      <c r="X39" s="1810"/>
      <c r="Y39" s="3251"/>
      <c r="Z39" s="1811">
        <f t="shared" si="13"/>
        <v>111</v>
      </c>
      <c r="AA39" s="1808">
        <f t="shared" si="3"/>
        <v>1</v>
      </c>
      <c r="AB39" s="1808">
        <f t="shared" si="4"/>
        <v>1</v>
      </c>
      <c r="AC39" s="1808">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51"/>
      <c r="Q40" s="1807">
        <f t="shared" si="14"/>
        <v>111</v>
      </c>
      <c r="R40" s="777" t="s">
        <v>17</v>
      </c>
      <c r="S40" s="778">
        <f t="shared" si="10"/>
        <v>100</v>
      </c>
      <c r="T40" s="777" t="s">
        <v>17</v>
      </c>
      <c r="U40" s="778">
        <f t="shared" si="11"/>
        <v>100</v>
      </c>
      <c r="V40" s="777" t="s">
        <v>17</v>
      </c>
      <c r="W40" s="778">
        <f t="shared" si="12"/>
        <v>100</v>
      </c>
      <c r="X40" s="779"/>
      <c r="Y40" s="3251"/>
      <c r="Z40" s="780">
        <f t="shared" si="13"/>
        <v>111</v>
      </c>
      <c r="AA40" s="1808">
        <f t="shared" si="3"/>
        <v>1</v>
      </c>
      <c r="AB40" s="1808">
        <f t="shared" si="4"/>
        <v>1</v>
      </c>
      <c r="AC40" s="1808">
        <f t="shared" si="5"/>
        <v>1</v>
      </c>
    </row>
    <row r="41" spans="1:29" ht="14.4">
      <c r="A41" s="479" t="s">
        <v>2716</v>
      </c>
      <c r="B41" s="2699" t="s">
        <v>2796</v>
      </c>
      <c r="C41" s="682" t="s">
        <v>1</v>
      </c>
      <c r="D41" s="481"/>
      <c r="E41" s="482"/>
      <c r="F41" s="483"/>
      <c r="G41" s="484"/>
      <c r="H41" s="485"/>
      <c r="I41" s="482"/>
      <c r="J41" s="485"/>
      <c r="K41" s="783"/>
      <c r="L41" s="1140"/>
      <c r="M41" s="1128"/>
      <c r="N41" s="1128"/>
      <c r="O41" s="1141"/>
      <c r="P41" s="3244" t="str">
        <f>A41</f>
        <v>成交单价</v>
      </c>
      <c r="Q41" s="3244"/>
      <c r="R41" s="3275">
        <f>E41</f>
        <v>0</v>
      </c>
      <c r="S41" s="3275"/>
      <c r="T41" s="3275">
        <f>G41</f>
        <v>0</v>
      </c>
      <c r="U41" s="3275"/>
      <c r="V41" s="3275">
        <f>I41</f>
        <v>0</v>
      </c>
      <c r="W41" s="3275"/>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44" t="str">
        <f>A42</f>
        <v>比较价值（元/平方米）</v>
      </c>
      <c r="Q42" s="3244"/>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241" t="str">
        <f>A43</f>
        <v>估价对象XX用房的比较价值（楼面单价，元/平方米）</v>
      </c>
      <c r="Q43" s="3242"/>
      <c r="R43" s="3306" t="e">
        <f>ROUND(AVERAGE(R42:V42),0)</f>
        <v>#DIV/0!</v>
      </c>
      <c r="S43" s="3306"/>
      <c r="T43" s="3306"/>
      <c r="U43" s="3306"/>
      <c r="V43" s="3306"/>
      <c r="W43" s="330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700" t="s">
        <v>2756</v>
      </c>
      <c r="D50" s="2701" t="s">
        <v>2757</v>
      </c>
      <c r="E50" s="686" t="s">
        <v>2758</v>
      </c>
      <c r="F50" s="687" t="s">
        <v>2759</v>
      </c>
      <c r="G50" s="3259" t="s">
        <v>2760</v>
      </c>
      <c r="H50" s="3307"/>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55"/>
      <c r="H51" s="3244"/>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308"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308"/>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308"/>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308"/>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9" customWidth="1"/>
    <col min="33" max="36" width="9.33203125" style="2791" customWidth="1"/>
    <col min="37" max="38" width="9.33203125" style="2715" customWidth="1"/>
    <col min="39" max="16384" width="12" style="2715"/>
  </cols>
  <sheetData>
    <row r="1" spans="1:36" ht="31.2">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6">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6">
      <c r="A3" s="247" t="s">
        <v>2814</v>
      </c>
      <c r="B3" s="248">
        <f ca="1">ROUND(B2*10000/D1,0)</f>
        <v>3043</v>
      </c>
      <c r="C3" s="2716" t="s">
        <v>2815</v>
      </c>
      <c r="D3" s="2717" t="s">
        <v>2816</v>
      </c>
      <c r="E3" s="2722" t="s">
        <v>3109</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316"/>
      <c r="B4" s="3317"/>
      <c r="C4" s="3317"/>
      <c r="D4" s="3318"/>
      <c r="E4" s="3318"/>
      <c r="F4" s="3318"/>
      <c r="G4" s="3318"/>
      <c r="H4" s="3318"/>
      <c r="I4" s="3318"/>
      <c r="J4" s="3319"/>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320"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6.4">
      <c r="A8" s="3321"/>
      <c r="B8" s="198" t="s">
        <v>2833</v>
      </c>
      <c r="C8" s="2745" t="s">
        <v>3110</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313" t="s">
        <v>2836</v>
      </c>
      <c r="X8" s="3314"/>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321"/>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315"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21"/>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31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321"/>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315"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8" thickBot="1">
      <c r="A12" s="3320"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315"/>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22"/>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315"/>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322"/>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323"/>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320" t="s">
        <v>2879</v>
      </c>
      <c r="B16" s="2740" t="s">
        <v>2880</v>
      </c>
      <c r="C16" s="1798">
        <f>ROUND(SUM(G17:J17)/C17,0)</f>
        <v>60</v>
      </c>
      <c r="D16" s="2774" t="s">
        <v>2881</v>
      </c>
      <c r="E16" s="2775" t="s">
        <v>3111</v>
      </c>
      <c r="F16" s="2776" t="s">
        <v>3112</v>
      </c>
      <c r="G16" s="2777" t="s">
        <v>3068</v>
      </c>
      <c r="H16" s="2777" t="s">
        <v>3113</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321"/>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4"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3114</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9.4"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4.4">
      <c r="A21" s="2806" t="s">
        <v>811</v>
      </c>
      <c r="B21" s="2807" t="s">
        <v>3115</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4">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9.4"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4.4">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8"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3.8">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36">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30"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31"/>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1"/>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8" thickBot="1">
      <c r="A36" s="3332"/>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8"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4.4">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5.2">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36">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9.6">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36.6"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4.4">
      <c r="A79" s="2869" t="s">
        <v>2964</v>
      </c>
      <c r="B79" s="2870">
        <f>1+E81</f>
        <v>1</v>
      </c>
      <c r="C79" s="808"/>
      <c r="D79" s="808"/>
      <c r="E79" s="809"/>
      <c r="F79" s="2872"/>
      <c r="G79" s="6"/>
      <c r="H79" s="6"/>
      <c r="I79" s="6"/>
      <c r="J79" s="7"/>
      <c r="K79" s="7"/>
      <c r="L79" s="7"/>
      <c r="M79" s="7"/>
      <c r="N79" s="7"/>
      <c r="Z79" s="2715"/>
      <c r="AA79" s="2791"/>
      <c r="AG79" s="1369"/>
      <c r="AK79" s="2791"/>
    </row>
    <row r="80" spans="1:37" ht="25.2">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52.8">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66">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3.8">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39.6">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6.4">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36">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53.4"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324" t="s">
        <v>2968</v>
      </c>
      <c r="B90" s="3324"/>
      <c r="C90" s="3324"/>
      <c r="D90" s="3324"/>
      <c r="E90" s="3324"/>
      <c r="F90" s="3324"/>
      <c r="G90" s="3324"/>
      <c r="H90" s="3324"/>
      <c r="I90" s="3324"/>
      <c r="J90" s="3324"/>
      <c r="K90" s="2887"/>
      <c r="L90" s="2887"/>
      <c r="M90" s="2887"/>
      <c r="N90" s="2887"/>
    </row>
    <row r="91" spans="1:37">
      <c r="A91" s="3326" t="s">
        <v>2969</v>
      </c>
      <c r="B91" s="3326" t="s">
        <v>2970</v>
      </c>
      <c r="C91" s="2841" t="s">
        <v>2971</v>
      </c>
      <c r="D91" s="2842"/>
      <c r="E91" s="2842"/>
      <c r="F91" s="2842"/>
      <c r="G91" s="2842"/>
      <c r="H91" s="2842"/>
      <c r="I91" s="2842"/>
      <c r="J91" s="2888"/>
      <c r="K91" s="2889"/>
      <c r="L91" s="2889"/>
      <c r="M91" s="2889"/>
      <c r="N91" s="2889"/>
    </row>
    <row r="92" spans="1:37">
      <c r="A92" s="3326"/>
      <c r="B92" s="3326"/>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327"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8"/>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27"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328"/>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328"/>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328"/>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328"/>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328"/>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328"/>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328"/>
      <c r="B108" s="3179"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9"/>
      <c r="B109" s="3180"/>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325" t="s">
        <v>2976</v>
      </c>
      <c r="B110" s="3325"/>
      <c r="C110" s="3325"/>
      <c r="D110" s="3325"/>
      <c r="E110" s="3325"/>
      <c r="F110" s="3325"/>
      <c r="G110" s="3325"/>
      <c r="H110" s="3325"/>
      <c r="I110" s="3325"/>
      <c r="J110" s="3325"/>
      <c r="K110" s="2896"/>
      <c r="L110" s="2896"/>
      <c r="M110" s="2896"/>
      <c r="N110" s="2896"/>
    </row>
    <row r="112" spans="1:14" ht="13.8" thickBot="1"/>
    <row r="113" spans="1:13" ht="25.8"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8"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3" t="s">
        <v>183</v>
      </c>
      <c r="B18" s="876" t="s">
        <v>560</v>
      </c>
      <c r="C18" s="877" t="s">
        <v>561</v>
      </c>
      <c r="D18" s="878"/>
      <c r="E18" s="876">
        <v>1</v>
      </c>
      <c r="F18" s="879" t="s">
        <v>562</v>
      </c>
      <c r="G18" s="880"/>
      <c r="H18" s="872"/>
      <c r="I18" s="872"/>
    </row>
    <row r="19" spans="1:9" s="881" customFormat="1" ht="19.5" customHeight="1">
      <c r="A19" s="3333"/>
      <c r="B19" s="3333" t="s">
        <v>563</v>
      </c>
      <c r="C19" s="877" t="s">
        <v>564</v>
      </c>
      <c r="D19" s="878"/>
      <c r="E19" s="876">
        <v>0.9</v>
      </c>
      <c r="F19" s="879" t="s">
        <v>565</v>
      </c>
      <c r="G19" s="880"/>
      <c r="H19" s="872"/>
      <c r="I19" s="872"/>
    </row>
    <row r="20" spans="1:9" s="881" customFormat="1" ht="19.5" customHeight="1">
      <c r="A20" s="3333"/>
      <c r="B20" s="3333"/>
      <c r="C20" s="877" t="s">
        <v>566</v>
      </c>
      <c r="D20" s="878"/>
      <c r="E20" s="876">
        <v>1.1000000000000001</v>
      </c>
      <c r="F20" s="879" t="s">
        <v>567</v>
      </c>
      <c r="G20" s="880"/>
      <c r="H20" s="872"/>
      <c r="I20" s="872"/>
    </row>
    <row r="21" spans="1:9" s="881" customFormat="1" ht="19.5" customHeight="1">
      <c r="A21" s="3333"/>
      <c r="B21" s="3333"/>
      <c r="C21" s="877" t="s">
        <v>568</v>
      </c>
      <c r="D21" s="878"/>
      <c r="E21" s="876">
        <v>0.8</v>
      </c>
      <c r="F21" s="879" t="s">
        <v>569</v>
      </c>
      <c r="G21" s="880"/>
      <c r="H21" s="872"/>
      <c r="I21" s="872"/>
    </row>
    <row r="22" spans="1:9" s="881" customFormat="1" ht="19.5" customHeight="1">
      <c r="A22" s="3333"/>
      <c r="B22" s="3333"/>
      <c r="C22" s="877" t="s">
        <v>570</v>
      </c>
      <c r="D22" s="878"/>
      <c r="E22" s="876">
        <v>0.5</v>
      </c>
      <c r="F22" s="879"/>
      <c r="G22" s="880"/>
      <c r="H22" s="872"/>
      <c r="I22" s="872"/>
    </row>
    <row r="23" spans="1:9" s="881" customFormat="1" ht="19.5" customHeight="1">
      <c r="A23" s="3333" t="s">
        <v>184</v>
      </c>
      <c r="B23" s="876" t="s">
        <v>560</v>
      </c>
      <c r="C23" s="877" t="s">
        <v>571</v>
      </c>
      <c r="D23" s="878"/>
      <c r="E23" s="876">
        <v>1</v>
      </c>
      <c r="F23" s="879" t="s">
        <v>572</v>
      </c>
      <c r="G23" s="880"/>
      <c r="H23" s="872"/>
      <c r="I23" s="872"/>
    </row>
    <row r="24" spans="1:9" s="881" customFormat="1" ht="19.5" customHeight="1">
      <c r="A24" s="3333"/>
      <c r="B24" s="3333" t="s">
        <v>563</v>
      </c>
      <c r="C24" s="877" t="s">
        <v>573</v>
      </c>
      <c r="D24" s="878"/>
      <c r="E24" s="876">
        <v>0.5</v>
      </c>
      <c r="F24" s="879"/>
      <c r="G24" s="880"/>
      <c r="H24" s="872"/>
      <c r="I24" s="872"/>
    </row>
    <row r="25" spans="1:9" s="881" customFormat="1" ht="19.5" customHeight="1">
      <c r="A25" s="3333"/>
      <c r="B25" s="3333"/>
      <c r="C25" s="877" t="s">
        <v>574</v>
      </c>
      <c r="D25" s="878"/>
      <c r="E25" s="876">
        <v>1.1000000000000001</v>
      </c>
      <c r="F25" s="879"/>
      <c r="G25" s="880"/>
      <c r="H25" s="872"/>
      <c r="I25" s="872"/>
    </row>
    <row r="26" spans="1:9" s="881" customFormat="1" ht="19.5" customHeight="1">
      <c r="A26" s="3333"/>
      <c r="B26" s="3333"/>
      <c r="C26" s="877" t="s">
        <v>575</v>
      </c>
      <c r="D26" s="878"/>
      <c r="E26" s="876">
        <v>1.1000000000000001</v>
      </c>
      <c r="F26" s="879"/>
      <c r="G26" s="880"/>
      <c r="H26" s="872"/>
      <c r="I26" s="872"/>
    </row>
    <row r="27" spans="1:9" s="881" customFormat="1" ht="19.5" customHeight="1">
      <c r="A27" s="3333"/>
      <c r="B27" s="3333"/>
      <c r="C27" s="877" t="s">
        <v>576</v>
      </c>
      <c r="D27" s="878"/>
      <c r="E27" s="876">
        <v>0.9</v>
      </c>
      <c r="F27" s="879" t="s">
        <v>577</v>
      </c>
      <c r="G27" s="880"/>
      <c r="H27" s="872"/>
      <c r="I27" s="872"/>
    </row>
    <row r="28" spans="1:9" s="881" customFormat="1" ht="19.5" customHeight="1">
      <c r="A28" s="3333"/>
      <c r="B28" s="3333"/>
      <c r="C28" s="877" t="s">
        <v>578</v>
      </c>
      <c r="D28" s="878"/>
      <c r="E28" s="876">
        <v>0.9</v>
      </c>
      <c r="F28" s="879" t="s">
        <v>579</v>
      </c>
      <c r="G28" s="880"/>
      <c r="H28" s="872"/>
      <c r="I28" s="872"/>
    </row>
    <row r="29" spans="1:9" s="881" customFormat="1" ht="19.5" customHeight="1">
      <c r="A29" s="3333"/>
      <c r="B29" s="3333"/>
      <c r="C29" s="877" t="s">
        <v>580</v>
      </c>
      <c r="D29" s="878"/>
      <c r="E29" s="876">
        <v>0.9</v>
      </c>
      <c r="F29" s="879" t="s">
        <v>581</v>
      </c>
      <c r="G29" s="880"/>
      <c r="H29" s="872"/>
      <c r="I29" s="872"/>
    </row>
    <row r="30" spans="1:9" s="881" customFormat="1" ht="19.5" customHeight="1">
      <c r="A30" s="3333"/>
      <c r="B30" s="3333"/>
      <c r="C30" s="877" t="s">
        <v>582</v>
      </c>
      <c r="D30" s="878"/>
      <c r="E30" s="876">
        <v>0.9</v>
      </c>
      <c r="F30" s="879" t="s">
        <v>583</v>
      </c>
      <c r="G30" s="880"/>
      <c r="H30" s="872"/>
      <c r="I30" s="872"/>
    </row>
    <row r="31" spans="1:9" s="881" customFormat="1" ht="19.5" customHeight="1">
      <c r="A31" s="3333"/>
      <c r="B31" s="3333"/>
      <c r="C31" s="877" t="s">
        <v>584</v>
      </c>
      <c r="D31" s="878"/>
      <c r="E31" s="876">
        <v>0.8</v>
      </c>
      <c r="F31" s="879" t="s">
        <v>585</v>
      </c>
      <c r="G31" s="880"/>
      <c r="H31" s="872"/>
      <c r="I31" s="872"/>
    </row>
    <row r="32" spans="1:9" s="881" customFormat="1" ht="19.5" customHeight="1">
      <c r="A32" s="3333"/>
      <c r="B32" s="3333"/>
      <c r="C32" s="877" t="s">
        <v>586</v>
      </c>
      <c r="D32" s="878"/>
      <c r="E32" s="876">
        <v>0.8</v>
      </c>
      <c r="F32" s="879" t="s">
        <v>587</v>
      </c>
      <c r="G32" s="880"/>
      <c r="H32" s="872"/>
      <c r="I32" s="872"/>
    </row>
    <row r="33" spans="1:9" s="881" customFormat="1" ht="19.5" customHeight="1">
      <c r="A33" s="3333" t="s">
        <v>185</v>
      </c>
      <c r="B33" s="876" t="s">
        <v>560</v>
      </c>
      <c r="C33" s="877" t="s">
        <v>588</v>
      </c>
      <c r="D33" s="878"/>
      <c r="E33" s="876">
        <v>1</v>
      </c>
      <c r="F33" s="879" t="s">
        <v>589</v>
      </c>
      <c r="G33" s="880"/>
      <c r="H33" s="872"/>
      <c r="I33" s="872"/>
    </row>
    <row r="34" spans="1:9" s="881" customFormat="1" ht="19.5" customHeight="1">
      <c r="A34" s="3333"/>
      <c r="B34" s="876" t="s">
        <v>563</v>
      </c>
      <c r="C34" s="877" t="s">
        <v>590</v>
      </c>
      <c r="D34" s="878"/>
      <c r="E34" s="876">
        <v>1.5</v>
      </c>
      <c r="F34" s="879" t="s">
        <v>591</v>
      </c>
      <c r="G34" s="880"/>
      <c r="H34" s="872"/>
      <c r="I34" s="872"/>
    </row>
    <row r="35" spans="1:9" s="881" customFormat="1" ht="19.5" customHeight="1">
      <c r="A35" s="3333" t="s">
        <v>186</v>
      </c>
      <c r="B35" s="876" t="s">
        <v>560</v>
      </c>
      <c r="C35" s="877" t="s">
        <v>592</v>
      </c>
      <c r="D35" s="878"/>
      <c r="E35" s="876">
        <v>1</v>
      </c>
      <c r="F35" s="879" t="s">
        <v>593</v>
      </c>
      <c r="G35" s="880"/>
      <c r="H35" s="872"/>
      <c r="I35" s="872"/>
    </row>
    <row r="36" spans="1:9" s="881" customFormat="1" ht="19.5" customHeight="1">
      <c r="A36" s="3333"/>
      <c r="B36" s="3333" t="s">
        <v>563</v>
      </c>
      <c r="C36" s="877" t="s">
        <v>594</v>
      </c>
      <c r="D36" s="878"/>
      <c r="E36" s="876">
        <v>1</v>
      </c>
      <c r="F36" s="879" t="s">
        <v>595</v>
      </c>
      <c r="G36" s="880"/>
      <c r="H36" s="872"/>
      <c r="I36" s="872"/>
    </row>
    <row r="37" spans="1:9" s="881" customFormat="1" ht="19.5" customHeight="1">
      <c r="A37" s="3333"/>
      <c r="B37" s="3333"/>
      <c r="C37" s="877" t="s">
        <v>596</v>
      </c>
      <c r="D37" s="878"/>
      <c r="E37" s="876">
        <v>1.5</v>
      </c>
      <c r="F37" s="879" t="s">
        <v>597</v>
      </c>
      <c r="G37" s="880"/>
      <c r="H37" s="872"/>
      <c r="I37" s="872"/>
    </row>
    <row r="38" spans="1:9" s="881" customFormat="1" ht="19.5" customHeight="1">
      <c r="A38" s="3333"/>
      <c r="B38" s="3333"/>
      <c r="C38" s="877" t="s">
        <v>598</v>
      </c>
      <c r="D38" s="878"/>
      <c r="E38" s="876">
        <v>1</v>
      </c>
      <c r="F38" s="879" t="s">
        <v>599</v>
      </c>
      <c r="G38" s="880"/>
      <c r="H38" s="872"/>
      <c r="I38" s="872"/>
    </row>
    <row r="39" spans="1:9" s="881" customFormat="1" ht="19.5" customHeight="1">
      <c r="A39" s="3333"/>
      <c r="B39" s="333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33" t="s">
        <v>614</v>
      </c>
      <c r="C61" s="812" t="s">
        <v>615</v>
      </c>
      <c r="D61" s="812" t="s">
        <v>616</v>
      </c>
      <c r="E61" s="889">
        <v>0.5</v>
      </c>
      <c r="F61" s="876">
        <v>80</v>
      </c>
    </row>
    <row r="62" spans="1:8" s="872" customFormat="1" ht="36">
      <c r="A62" s="876">
        <v>2</v>
      </c>
      <c r="B62" s="3333"/>
      <c r="C62" s="812" t="s">
        <v>617</v>
      </c>
      <c r="D62" s="812" t="s">
        <v>618</v>
      </c>
      <c r="E62" s="889">
        <v>0.5</v>
      </c>
      <c r="F62" s="876">
        <v>80</v>
      </c>
    </row>
    <row r="63" spans="1:8" s="872" customFormat="1" ht="48">
      <c r="A63" s="876">
        <v>3</v>
      </c>
      <c r="B63" s="3333"/>
      <c r="C63" s="812" t="s">
        <v>619</v>
      </c>
      <c r="D63" s="812" t="s">
        <v>620</v>
      </c>
      <c r="E63" s="889">
        <v>0.5</v>
      </c>
      <c r="F63" s="876">
        <v>80</v>
      </c>
    </row>
    <row r="64" spans="1:8" s="872" customFormat="1" ht="48">
      <c r="A64" s="876">
        <v>4</v>
      </c>
      <c r="B64" s="3333"/>
      <c r="C64" s="812" t="s">
        <v>621</v>
      </c>
      <c r="D64" s="812" t="s">
        <v>622</v>
      </c>
      <c r="E64" s="889">
        <v>0.4</v>
      </c>
      <c r="F64" s="876">
        <v>60</v>
      </c>
    </row>
    <row r="65" spans="1:6" s="872" customFormat="1" ht="48">
      <c r="A65" s="876">
        <v>5</v>
      </c>
      <c r="B65" s="3333"/>
      <c r="C65" s="812" t="s">
        <v>623</v>
      </c>
      <c r="D65" s="812" t="s">
        <v>624</v>
      </c>
      <c r="E65" s="889">
        <v>0.2</v>
      </c>
      <c r="F65" s="876">
        <v>30</v>
      </c>
    </row>
    <row r="66" spans="1:6" s="872" customFormat="1" ht="48">
      <c r="A66" s="876">
        <v>6</v>
      </c>
      <c r="B66" s="3333"/>
      <c r="C66" s="812" t="s">
        <v>625</v>
      </c>
      <c r="D66" s="812" t="s">
        <v>626</v>
      </c>
      <c r="E66" s="889">
        <v>0.3</v>
      </c>
      <c r="F66" s="876">
        <v>50</v>
      </c>
    </row>
    <row r="67" spans="1:6" s="872" customFormat="1" ht="48">
      <c r="A67" s="876">
        <v>7</v>
      </c>
      <c r="B67" s="3333"/>
      <c r="C67" s="812" t="s">
        <v>627</v>
      </c>
      <c r="D67" s="812" t="s">
        <v>628</v>
      </c>
      <c r="E67" s="889">
        <v>0.2</v>
      </c>
      <c r="F67" s="876">
        <v>30</v>
      </c>
    </row>
    <row r="68" spans="1:6" s="872" customFormat="1" ht="48">
      <c r="A68" s="876">
        <v>8</v>
      </c>
      <c r="B68" s="3333"/>
      <c r="C68" s="812" t="s">
        <v>629</v>
      </c>
      <c r="D68" s="812" t="s">
        <v>630</v>
      </c>
      <c r="E68" s="889">
        <v>0.2</v>
      </c>
      <c r="F68" s="876">
        <v>30</v>
      </c>
    </row>
    <row r="69" spans="1:6" s="872" customFormat="1" ht="48">
      <c r="A69" s="876">
        <v>9</v>
      </c>
      <c r="B69" s="3333"/>
      <c r="C69" s="812" t="s">
        <v>631</v>
      </c>
      <c r="D69" s="812" t="s">
        <v>632</v>
      </c>
      <c r="E69" s="889">
        <v>0.2</v>
      </c>
      <c r="F69" s="876">
        <v>30</v>
      </c>
    </row>
    <row r="70" spans="1:6" s="872" customFormat="1" ht="60">
      <c r="A70" s="876">
        <v>10</v>
      </c>
      <c r="B70" s="3333"/>
      <c r="C70" s="812" t="s">
        <v>633</v>
      </c>
      <c r="D70" s="812" t="s">
        <v>634</v>
      </c>
      <c r="E70" s="889">
        <v>0.2</v>
      </c>
      <c r="F70" s="876">
        <v>30</v>
      </c>
    </row>
    <row r="71" spans="1:6" s="872" customFormat="1" ht="60">
      <c r="A71" s="876">
        <v>11</v>
      </c>
      <c r="B71" s="3333"/>
      <c r="C71" s="812" t="s">
        <v>635</v>
      </c>
      <c r="D71" s="812" t="s">
        <v>636</v>
      </c>
      <c r="E71" s="889">
        <v>0.2</v>
      </c>
      <c r="F71" s="876">
        <v>30</v>
      </c>
    </row>
    <row r="72" spans="1:6" s="872" customFormat="1" ht="36">
      <c r="A72" s="876">
        <v>12</v>
      </c>
      <c r="B72" s="3333"/>
      <c r="C72" s="812" t="s">
        <v>637</v>
      </c>
      <c r="D72" s="812" t="s">
        <v>638</v>
      </c>
      <c r="E72" s="889">
        <v>0.5</v>
      </c>
      <c r="F72" s="876">
        <v>80</v>
      </c>
    </row>
    <row r="73" spans="1:6" s="872" customFormat="1" ht="36">
      <c r="A73" s="876">
        <v>13</v>
      </c>
      <c r="B73" s="3333"/>
      <c r="C73" s="812" t="s">
        <v>639</v>
      </c>
      <c r="D73" s="812" t="s">
        <v>640</v>
      </c>
      <c r="E73" s="889">
        <v>0.4</v>
      </c>
      <c r="F73" s="876">
        <v>60</v>
      </c>
    </row>
    <row r="74" spans="1:6" s="872" customFormat="1" ht="36">
      <c r="A74" s="876">
        <v>14</v>
      </c>
      <c r="B74" s="3333"/>
      <c r="C74" s="812" t="s">
        <v>641</v>
      </c>
      <c r="D74" s="812" t="s">
        <v>642</v>
      </c>
      <c r="E74" s="889">
        <v>0.2</v>
      </c>
      <c r="F74" s="876">
        <v>30</v>
      </c>
    </row>
    <row r="75" spans="1:6" s="872" customFormat="1" ht="36">
      <c r="A75" s="876">
        <v>15</v>
      </c>
      <c r="B75" s="3333"/>
      <c r="C75" s="812" t="s">
        <v>643</v>
      </c>
      <c r="D75" s="812" t="s">
        <v>644</v>
      </c>
      <c r="E75" s="889">
        <v>0.2</v>
      </c>
      <c r="F75" s="876">
        <v>30</v>
      </c>
    </row>
    <row r="76" spans="1:6" s="872" customFormat="1" ht="36">
      <c r="A76" s="876">
        <v>16</v>
      </c>
      <c r="B76" s="3333" t="s">
        <v>645</v>
      </c>
      <c r="C76" s="812" t="s">
        <v>646</v>
      </c>
      <c r="D76" s="812" t="s">
        <v>647</v>
      </c>
      <c r="E76" s="889">
        <v>0.5</v>
      </c>
      <c r="F76" s="876">
        <v>80</v>
      </c>
    </row>
    <row r="77" spans="1:6" s="872" customFormat="1" ht="36">
      <c r="A77" s="876">
        <v>17</v>
      </c>
      <c r="B77" s="3333"/>
      <c r="C77" s="812" t="s">
        <v>648</v>
      </c>
      <c r="D77" s="812" t="s">
        <v>649</v>
      </c>
      <c r="E77" s="889">
        <v>0.5</v>
      </c>
      <c r="F77" s="876">
        <v>80</v>
      </c>
    </row>
    <row r="78" spans="1:6" s="872" customFormat="1" ht="36">
      <c r="A78" s="876">
        <v>18</v>
      </c>
      <c r="B78" s="3333"/>
      <c r="C78" s="812" t="s">
        <v>650</v>
      </c>
      <c r="D78" s="812" t="s">
        <v>651</v>
      </c>
      <c r="E78" s="889">
        <v>0.2</v>
      </c>
      <c r="F78" s="876">
        <v>30</v>
      </c>
    </row>
    <row r="79" spans="1:6" s="872" customFormat="1" ht="36">
      <c r="A79" s="876">
        <v>19</v>
      </c>
      <c r="B79" s="3333"/>
      <c r="C79" s="812" t="s">
        <v>652</v>
      </c>
      <c r="D79" s="812" t="s">
        <v>653</v>
      </c>
      <c r="E79" s="889">
        <v>0.5</v>
      </c>
      <c r="F79" s="876">
        <v>80</v>
      </c>
    </row>
    <row r="80" spans="1:6" s="872" customFormat="1" ht="36">
      <c r="A80" s="876">
        <v>20</v>
      </c>
      <c r="B80" s="3333"/>
      <c r="C80" s="812" t="s">
        <v>654</v>
      </c>
      <c r="D80" s="812" t="s">
        <v>655</v>
      </c>
      <c r="E80" s="889">
        <v>0.2</v>
      </c>
      <c r="F80" s="876">
        <v>30</v>
      </c>
    </row>
    <row r="81" spans="1:6" s="872" customFormat="1" ht="36">
      <c r="A81" s="876">
        <v>21</v>
      </c>
      <c r="B81" s="3333"/>
      <c r="C81" s="812" t="s">
        <v>656</v>
      </c>
      <c r="D81" s="812" t="s">
        <v>657</v>
      </c>
      <c r="E81" s="889">
        <v>0.2</v>
      </c>
      <c r="F81" s="876">
        <v>30</v>
      </c>
    </row>
    <row r="82" spans="1:6" s="872" customFormat="1" ht="60">
      <c r="A82" s="876">
        <v>22</v>
      </c>
      <c r="B82" s="3333"/>
      <c r="C82" s="812" t="s">
        <v>658</v>
      </c>
      <c r="D82" s="812" t="s">
        <v>659</v>
      </c>
      <c r="E82" s="889">
        <v>0.2</v>
      </c>
      <c r="F82" s="876">
        <v>30</v>
      </c>
    </row>
    <row r="83" spans="1:6" s="872" customFormat="1" ht="60">
      <c r="A83" s="876">
        <v>23</v>
      </c>
      <c r="B83" s="3333"/>
      <c r="C83" s="812" t="s">
        <v>660</v>
      </c>
      <c r="D83" s="812" t="s">
        <v>661</v>
      </c>
      <c r="E83" s="889">
        <v>0.2</v>
      </c>
      <c r="F83" s="876">
        <v>30</v>
      </c>
    </row>
    <row r="84" spans="1:6" s="872" customFormat="1" ht="48">
      <c r="A84" s="876">
        <v>24</v>
      </c>
      <c r="B84" s="3333"/>
      <c r="C84" s="812" t="s">
        <v>662</v>
      </c>
      <c r="D84" s="812" t="s">
        <v>663</v>
      </c>
      <c r="E84" s="889">
        <v>0.2</v>
      </c>
      <c r="F84" s="876">
        <v>30</v>
      </c>
    </row>
    <row r="85" spans="1:6" s="872" customFormat="1" ht="36">
      <c r="A85" s="876">
        <v>25</v>
      </c>
      <c r="B85" s="3333"/>
      <c r="C85" s="812" t="s">
        <v>664</v>
      </c>
      <c r="D85" s="812" t="s">
        <v>665</v>
      </c>
      <c r="E85" s="889">
        <v>0.5</v>
      </c>
      <c r="F85" s="876">
        <v>80</v>
      </c>
    </row>
    <row r="86" spans="1:6" s="872" customFormat="1" ht="36">
      <c r="A86" s="876">
        <v>26</v>
      </c>
      <c r="B86" s="3333"/>
      <c r="C86" s="812" t="s">
        <v>666</v>
      </c>
      <c r="D86" s="812" t="s">
        <v>667</v>
      </c>
      <c r="E86" s="889">
        <v>0.2</v>
      </c>
      <c r="F86" s="876">
        <v>30</v>
      </c>
    </row>
    <row r="87" spans="1:6" s="872" customFormat="1" ht="36">
      <c r="A87" s="876">
        <v>27</v>
      </c>
      <c r="B87" s="3333"/>
      <c r="C87" s="812" t="s">
        <v>668</v>
      </c>
      <c r="D87" s="812" t="s">
        <v>669</v>
      </c>
      <c r="E87" s="889">
        <v>0.2</v>
      </c>
      <c r="F87" s="876">
        <v>30</v>
      </c>
    </row>
    <row r="88" spans="1:6" s="872" customFormat="1" ht="36">
      <c r="A88" s="876">
        <v>28</v>
      </c>
      <c r="B88" s="3333"/>
      <c r="C88" s="812" t="s">
        <v>670</v>
      </c>
      <c r="D88" s="812" t="s">
        <v>671</v>
      </c>
      <c r="E88" s="889">
        <v>0.2</v>
      </c>
      <c r="F88" s="876">
        <v>30</v>
      </c>
    </row>
    <row r="89" spans="1:6" s="872" customFormat="1" ht="36">
      <c r="A89" s="876">
        <v>29</v>
      </c>
      <c r="B89" s="3333"/>
      <c r="C89" s="812" t="s">
        <v>672</v>
      </c>
      <c r="D89" s="812" t="s">
        <v>673</v>
      </c>
      <c r="E89" s="889">
        <v>0.2</v>
      </c>
      <c r="F89" s="876">
        <v>30</v>
      </c>
    </row>
    <row r="90" spans="1:6" s="872" customFormat="1" ht="36">
      <c r="A90" s="876">
        <v>30</v>
      </c>
      <c r="B90" s="3333"/>
      <c r="C90" s="812" t="s">
        <v>674</v>
      </c>
      <c r="D90" s="812" t="s">
        <v>675</v>
      </c>
      <c r="E90" s="889">
        <v>0.2</v>
      </c>
      <c r="F90" s="876">
        <v>30</v>
      </c>
    </row>
    <row r="91" spans="1:6" s="872" customFormat="1" ht="48">
      <c r="A91" s="876">
        <v>31</v>
      </c>
      <c r="B91" s="3333"/>
      <c r="C91" s="812" t="s">
        <v>676</v>
      </c>
      <c r="D91" s="812" t="s">
        <v>677</v>
      </c>
      <c r="E91" s="889">
        <v>0.2</v>
      </c>
      <c r="F91" s="876">
        <v>30</v>
      </c>
    </row>
    <row r="92" spans="1:6" s="872" customFormat="1" ht="36">
      <c r="A92" s="876">
        <v>32</v>
      </c>
      <c r="B92" s="3333" t="s">
        <v>678</v>
      </c>
      <c r="C92" s="876" t="s">
        <v>679</v>
      </c>
      <c r="D92" s="812" t="s">
        <v>680</v>
      </c>
      <c r="E92" s="889">
        <v>0.2</v>
      </c>
      <c r="F92" s="876">
        <v>30</v>
      </c>
    </row>
    <row r="93" spans="1:6" s="872" customFormat="1" ht="36">
      <c r="A93" s="876">
        <v>33</v>
      </c>
      <c r="B93" s="3333"/>
      <c r="C93" s="876" t="s">
        <v>681</v>
      </c>
      <c r="D93" s="812" t="s">
        <v>682</v>
      </c>
      <c r="E93" s="889">
        <v>0.2</v>
      </c>
      <c r="F93" s="876">
        <v>30</v>
      </c>
    </row>
    <row r="94" spans="1:6" s="872" customFormat="1" ht="60">
      <c r="A94" s="876">
        <v>34</v>
      </c>
      <c r="B94" s="3333"/>
      <c r="C94" s="876" t="s">
        <v>683</v>
      </c>
      <c r="D94" s="812" t="s">
        <v>684</v>
      </c>
      <c r="E94" s="889">
        <v>0.2</v>
      </c>
      <c r="F94" s="876">
        <v>30</v>
      </c>
    </row>
    <row r="95" spans="1:6" s="872" customFormat="1" ht="48">
      <c r="A95" s="876">
        <v>35</v>
      </c>
      <c r="B95" s="3333"/>
      <c r="C95" s="876" t="s">
        <v>685</v>
      </c>
      <c r="D95" s="812" t="s">
        <v>686</v>
      </c>
      <c r="E95" s="889">
        <v>0.2</v>
      </c>
      <c r="F95" s="876">
        <v>30</v>
      </c>
    </row>
    <row r="96" spans="1:6" s="872" customFormat="1" ht="72">
      <c r="A96" s="876">
        <v>36</v>
      </c>
      <c r="B96" s="3333"/>
      <c r="C96" s="812" t="s">
        <v>687</v>
      </c>
      <c r="D96" s="812" t="s">
        <v>688</v>
      </c>
      <c r="E96" s="889">
        <v>0.2</v>
      </c>
      <c r="F96" s="876">
        <v>30</v>
      </c>
    </row>
    <row r="97" spans="1:6" s="872" customFormat="1" ht="36">
      <c r="A97" s="876">
        <v>37</v>
      </c>
      <c r="B97" s="3333"/>
      <c r="C97" s="876" t="s">
        <v>689</v>
      </c>
      <c r="D97" s="812" t="s">
        <v>690</v>
      </c>
      <c r="E97" s="889">
        <v>0.2</v>
      </c>
      <c r="F97" s="876">
        <v>30</v>
      </c>
    </row>
    <row r="98" spans="1:6" s="872" customFormat="1" ht="36">
      <c r="A98" s="876">
        <v>38</v>
      </c>
      <c r="B98" s="3333"/>
      <c r="C98" s="876" t="s">
        <v>691</v>
      </c>
      <c r="D98" s="812" t="s">
        <v>692</v>
      </c>
      <c r="E98" s="889">
        <v>0.2</v>
      </c>
      <c r="F98" s="876">
        <v>30</v>
      </c>
    </row>
    <row r="99" spans="1:6" s="872" customFormat="1" ht="36">
      <c r="A99" s="876">
        <v>39</v>
      </c>
      <c r="B99" s="3333" t="s">
        <v>693</v>
      </c>
      <c r="C99" s="876" t="s">
        <v>694</v>
      </c>
      <c r="D99" s="812" t="s">
        <v>695</v>
      </c>
      <c r="E99" s="889">
        <v>0.3</v>
      </c>
      <c r="F99" s="876">
        <v>50</v>
      </c>
    </row>
    <row r="100" spans="1:6" s="872" customFormat="1" ht="36">
      <c r="A100" s="876">
        <v>40</v>
      </c>
      <c r="B100" s="3333"/>
      <c r="C100" s="876" t="s">
        <v>696</v>
      </c>
      <c r="D100" s="812" t="s">
        <v>697</v>
      </c>
      <c r="E100" s="889">
        <v>0.2</v>
      </c>
      <c r="F100" s="876">
        <v>30</v>
      </c>
    </row>
    <row r="101" spans="1:6" s="872" customFormat="1" ht="36">
      <c r="A101" s="876">
        <v>41</v>
      </c>
      <c r="B101" s="3333"/>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3" t="s">
        <v>708</v>
      </c>
      <c r="C105" s="876" t="s">
        <v>709</v>
      </c>
      <c r="D105" s="812" t="s">
        <v>710</v>
      </c>
      <c r="E105" s="889">
        <v>0.2</v>
      </c>
      <c r="F105" s="876">
        <v>30</v>
      </c>
    </row>
    <row r="106" spans="1:6" s="872" customFormat="1" ht="48">
      <c r="A106" s="876">
        <v>46</v>
      </c>
      <c r="B106" s="3333"/>
      <c r="C106" s="876" t="s">
        <v>711</v>
      </c>
      <c r="D106" s="812" t="s">
        <v>712</v>
      </c>
      <c r="E106" s="889">
        <v>0.2</v>
      </c>
      <c r="F106" s="876">
        <v>30</v>
      </c>
    </row>
    <row r="107" spans="1:6" s="872" customFormat="1" ht="36">
      <c r="A107" s="876">
        <v>47</v>
      </c>
      <c r="B107" s="3333" t="s">
        <v>713</v>
      </c>
      <c r="C107" s="876" t="s">
        <v>714</v>
      </c>
      <c r="D107" s="812" t="s">
        <v>715</v>
      </c>
      <c r="E107" s="889">
        <v>0.3</v>
      </c>
      <c r="F107" s="876">
        <v>50</v>
      </c>
    </row>
    <row r="108" spans="1:6" s="872" customFormat="1" ht="48">
      <c r="A108" s="876">
        <v>48</v>
      </c>
      <c r="B108" s="333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3" t="s">
        <v>724</v>
      </c>
      <c r="C111" s="876" t="s">
        <v>725</v>
      </c>
      <c r="D111" s="812" t="s">
        <v>726</v>
      </c>
      <c r="E111" s="889">
        <v>0.2</v>
      </c>
      <c r="F111" s="876">
        <v>30</v>
      </c>
    </row>
    <row r="112" spans="1:6" s="872" customFormat="1" ht="36">
      <c r="A112" s="876">
        <v>52</v>
      </c>
      <c r="B112" s="3333"/>
      <c r="C112" s="876" t="s">
        <v>727</v>
      </c>
      <c r="D112" s="812" t="s">
        <v>728</v>
      </c>
      <c r="E112" s="889">
        <v>0.2</v>
      </c>
      <c r="F112" s="876">
        <v>30</v>
      </c>
    </row>
    <row r="113" spans="1:6" s="872" customFormat="1" ht="36">
      <c r="A113" s="876">
        <v>53</v>
      </c>
      <c r="B113" s="3333"/>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3" t="s">
        <v>737</v>
      </c>
      <c r="C116" s="876" t="s">
        <v>738</v>
      </c>
      <c r="D116" s="812" t="s">
        <v>739</v>
      </c>
      <c r="E116" s="889">
        <v>0.2</v>
      </c>
      <c r="F116" s="876">
        <v>30</v>
      </c>
    </row>
    <row r="117" spans="1:6" ht="36">
      <c r="A117" s="876">
        <v>57</v>
      </c>
      <c r="B117" s="3333"/>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1621</v>
      </c>
      <c r="B1" s="1956"/>
      <c r="C1" s="1956"/>
      <c r="D1" s="1956"/>
      <c r="E1" s="1956"/>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7.399999999999999">
      <c r="A3" s="3029" t="str">
        <f>IF(项目基本情况!B9="房地产市场价值","估价结果一览表（市场价值不需“结果表-1”）","估价结果一览表")</f>
        <v>估价结果一览表</v>
      </c>
      <c r="B3" s="3029"/>
      <c r="C3" s="3029"/>
      <c r="D3" s="3029"/>
      <c r="E3" s="3029"/>
    </row>
    <row r="4" spans="1:5" ht="18" thickBot="1">
      <c r="A4" s="1958"/>
      <c r="B4" s="3027" t="s">
        <v>1630</v>
      </c>
      <c r="C4" s="3027"/>
      <c r="D4" s="3027"/>
      <c r="E4" s="1958"/>
    </row>
    <row r="5" spans="1:5" ht="16.2" thickTop="1">
      <c r="A5" s="1956"/>
      <c r="B5" s="3025" t="s">
        <v>1622</v>
      </c>
      <c r="C5" s="1959" t="s">
        <v>1623</v>
      </c>
      <c r="D5" s="1037">
        <f ca="1">结果表!H101</f>
        <v>185357</v>
      </c>
      <c r="E5" s="1956"/>
    </row>
    <row r="6" spans="1:5" ht="31.2">
      <c r="A6" s="1956"/>
      <c r="B6" s="3025"/>
      <c r="C6" s="1959" t="s">
        <v>1624</v>
      </c>
      <c r="D6" s="1037" t="str">
        <f ca="1">NUMBERSTRING(INT(D5*10000),2)&amp;"元整"</f>
        <v>壹拾捌亿伍仟叁佰伍拾柒万元整</v>
      </c>
      <c r="E6" s="1956"/>
    </row>
    <row r="7" spans="1:5" ht="15.6">
      <c r="A7" s="1956"/>
      <c r="B7" s="3030"/>
      <c r="C7" s="1960" t="s">
        <v>1625</v>
      </c>
      <c r="D7" s="1038">
        <f ca="1">结果表!H102</f>
        <v>24448</v>
      </c>
      <c r="E7" s="1956"/>
    </row>
    <row r="8" spans="1:5" ht="15.6">
      <c r="A8" s="1956"/>
      <c r="B8" s="3031" t="str">
        <f>结果表!E103</f>
        <v>2.估价师知悉的法定优先受偿款</v>
      </c>
      <c r="C8" s="1961" t="s">
        <v>1626</v>
      </c>
      <c r="D8" s="1038">
        <f>结果表!H103</f>
        <v>0</v>
      </c>
      <c r="E8" s="1956"/>
    </row>
    <row r="9" spans="1:5" ht="15.6">
      <c r="A9" s="1956"/>
      <c r="B9" s="3033"/>
      <c r="C9" s="1959" t="s">
        <v>1624</v>
      </c>
      <c r="D9" s="1037" t="str">
        <f>NUMBERSTRING(INT(D8*10000),2)&amp;"元整"</f>
        <v>零元整</v>
      </c>
      <c r="E9" s="1956"/>
    </row>
    <row r="10" spans="1:5" ht="15.6">
      <c r="A10" s="1956"/>
      <c r="B10" s="1962" t="s">
        <v>1629</v>
      </c>
      <c r="C10" s="1963" t="s">
        <v>1627</v>
      </c>
      <c r="D10" s="1039">
        <f>结果表!H104</f>
        <v>0</v>
      </c>
      <c r="E10" s="1956"/>
    </row>
    <row r="11" spans="1:5" ht="15.6">
      <c r="A11" s="1956"/>
      <c r="B11" s="1962" t="s">
        <v>1631</v>
      </c>
      <c r="C11" s="1963" t="s">
        <v>1632</v>
      </c>
      <c r="D11" s="1039">
        <f>结果表!H105</f>
        <v>0</v>
      </c>
      <c r="E11" s="1956"/>
    </row>
    <row r="12" spans="1:5" ht="15.6">
      <c r="A12" s="1956"/>
      <c r="B12" s="1962" t="s">
        <v>1633</v>
      </c>
      <c r="C12" s="1963" t="s">
        <v>1632</v>
      </c>
      <c r="D12" s="1039">
        <f>结果表!H106</f>
        <v>0</v>
      </c>
      <c r="E12" s="1956"/>
    </row>
    <row r="13" spans="1:5" ht="15.6">
      <c r="A13" s="1956"/>
      <c r="B13" s="3024" t="str">
        <f>结果表!E107</f>
        <v>——</v>
      </c>
      <c r="C13" s="1964" t="s">
        <v>1623</v>
      </c>
      <c r="D13" s="1040" t="str">
        <f>结果表!H107</f>
        <v>——</v>
      </c>
      <c r="E13" s="1956"/>
    </row>
    <row r="14" spans="1:5" ht="15.6">
      <c r="A14" s="1956"/>
      <c r="B14" s="3025"/>
      <c r="C14" s="1959" t="s">
        <v>1624</v>
      </c>
      <c r="D14" s="1037" t="e">
        <f>NUMBERSTRING(INT(D13*10000),2)&amp;"元整"</f>
        <v>#VALUE!</v>
      </c>
      <c r="E14" s="1956"/>
    </row>
    <row r="15" spans="1:5" ht="15.6">
      <c r="A15" s="1956"/>
      <c r="B15" s="3030"/>
      <c r="C15" s="1960" t="s">
        <v>1634</v>
      </c>
      <c r="D15" s="1049" t="e">
        <f>结果表!H108</f>
        <v>#VALUE!</v>
      </c>
      <c r="E15" s="1956"/>
    </row>
    <row r="16" spans="1:5" ht="15.6">
      <c r="A16" s="1956"/>
      <c r="B16" s="3031" t="str">
        <f>结果表!E109</f>
        <v>3.抵押担保权已注销时的房地产抵押价值</v>
      </c>
      <c r="C16" s="1964" t="s">
        <v>1635</v>
      </c>
      <c r="D16" s="1965">
        <f ca="1">结果表!H109</f>
        <v>185357</v>
      </c>
      <c r="E16" s="1956"/>
    </row>
    <row r="17" spans="1:5" ht="31.2">
      <c r="A17" s="1956"/>
      <c r="B17" s="3032"/>
      <c r="C17" s="1959" t="s">
        <v>1636</v>
      </c>
      <c r="D17" s="1037" t="str">
        <f ca="1">NUMBERSTRING(INT(D16*10000),2)&amp;"元整"</f>
        <v>壹拾捌亿伍仟叁佰伍拾柒万元整</v>
      </c>
      <c r="E17" s="1956"/>
    </row>
    <row r="18" spans="1:5" ht="15.6">
      <c r="A18" s="1956"/>
      <c r="B18" s="3033"/>
      <c r="C18" s="1960" t="s">
        <v>1625</v>
      </c>
      <c r="D18" s="1049">
        <f ca="1">结果表!H110</f>
        <v>24448</v>
      </c>
      <c r="E18" s="1956"/>
    </row>
    <row r="19" spans="1:5" ht="15.6">
      <c r="A19" s="1956"/>
      <c r="B19" s="3024" t="str">
        <f>结果表!E111</f>
        <v>4.抵押净值</v>
      </c>
      <c r="C19" s="1964" t="s">
        <v>1623</v>
      </c>
      <c r="D19" s="1038">
        <f ca="1">结果表!H111</f>
        <v>169618</v>
      </c>
      <c r="E19" s="1956"/>
    </row>
    <row r="20" spans="1:5" ht="15.6">
      <c r="A20" s="1956"/>
      <c r="B20" s="3025"/>
      <c r="C20" s="1959" t="s">
        <v>1636</v>
      </c>
      <c r="D20" s="1037" t="str">
        <f ca="1">NUMBERSTRING(INT(D19*10000),2)&amp;"元整"</f>
        <v>壹拾陆亿玖仟陆佰壹拾捌万元整</v>
      </c>
      <c r="E20" s="1956"/>
    </row>
    <row r="21" spans="1:5" ht="16.2" thickBot="1">
      <c r="A21" s="1956"/>
      <c r="B21" s="3026"/>
      <c r="C21" s="1966" t="s">
        <v>1634</v>
      </c>
      <c r="D21" s="1050">
        <f ca="1">结果表!H112</f>
        <v>22372</v>
      </c>
      <c r="E21" s="1956"/>
    </row>
    <row r="22" spans="1:5" ht="14.4" thickTop="1">
      <c r="A22" s="1956"/>
      <c r="B22" s="1967" t="s">
        <v>1637</v>
      </c>
      <c r="C22" s="1956"/>
      <c r="D22" s="1956"/>
      <c r="E22" s="1956"/>
    </row>
    <row r="23" spans="1:5">
      <c r="A23" s="1956"/>
      <c r="B23" s="1956"/>
      <c r="C23" s="1956"/>
      <c r="D23" s="1956"/>
      <c r="E23" s="1956"/>
    </row>
    <row r="24" spans="1:5" ht="17.399999999999999">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2999</v>
      </c>
    </row>
    <row r="2" spans="1:5" ht="15.6">
      <c r="A2" s="2905" t="s">
        <v>2991</v>
      </c>
      <c r="B2" s="2906">
        <f ca="1">SUMIF(B6:B13,"&lt;&gt;#ref!",B6:B13)</f>
        <v>15375</v>
      </c>
      <c r="C2" s="2905" t="s">
        <v>2992</v>
      </c>
      <c r="D2" s="2905" t="s">
        <v>2993</v>
      </c>
      <c r="E2" s="2906">
        <f ca="1">SUMIF(E6:E13,"&lt;&gt;#ref!",E6:E13)</f>
        <v>50526.07</v>
      </c>
    </row>
    <row r="3" spans="1:5" ht="15.6">
      <c r="A3" s="2905" t="s">
        <v>2994</v>
      </c>
      <c r="B3" s="2906">
        <f ca="1">ROUND(B2*10000/E2,0)</f>
        <v>3043</v>
      </c>
      <c r="C3" s="2905" t="s">
        <v>3000</v>
      </c>
      <c r="D3" s="2907"/>
      <c r="E3" s="2907"/>
    </row>
    <row r="4" spans="1:5" ht="15.6">
      <c r="A4" s="2908"/>
      <c r="B4" s="2907"/>
      <c r="C4" s="2907"/>
      <c r="D4" s="2907"/>
      <c r="E4" s="2907"/>
    </row>
    <row r="5" spans="1:5" ht="31.2">
      <c r="A5" s="2909" t="s">
        <v>2995</v>
      </c>
      <c r="B5" s="2905" t="s">
        <v>2996</v>
      </c>
      <c r="C5" s="2906"/>
      <c r="D5" s="2907"/>
      <c r="E5" s="2905" t="s">
        <v>2997</v>
      </c>
    </row>
    <row r="6" spans="1:5" ht="15.6">
      <c r="A6" s="2910" t="s">
        <v>2998</v>
      </c>
      <c r="B6" s="2906">
        <f ca="1">SUMIF(INDIRECT("'"&amp;A6&amp;"'"&amp;"!A:A"),"总价",INDIRECT("'"&amp;A6&amp;"'"&amp;"!B:B"))</f>
        <v>15375</v>
      </c>
      <c r="C6" s="2905" t="s">
        <v>2992</v>
      </c>
      <c r="D6" s="2907"/>
      <c r="E6" s="2570">
        <f ca="1">SUMIF(INDIRECT("'"&amp;A6&amp;"'"&amp;"!C:C"),"建筑面积",INDIRECT("'"&amp;A6&amp;"'"&amp;"!D:D"))</f>
        <v>50526.07</v>
      </c>
    </row>
    <row r="7" spans="1:5" ht="15.6">
      <c r="A7" s="2910"/>
      <c r="B7" s="2906" t="e">
        <f ca="1">SUMIF(INDIRECT("'"&amp;A7&amp;"'"&amp;"!A:A"),"总价",INDIRECT("'"&amp;A7&amp;"'"&amp;"!B:B"))</f>
        <v>#REF!</v>
      </c>
      <c r="C7" s="2905" t="s">
        <v>2992</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2992</v>
      </c>
      <c r="D8" s="2907"/>
      <c r="E8" s="2570" t="e">
        <f t="shared" ca="1" si="0"/>
        <v>#REF!</v>
      </c>
    </row>
    <row r="9" spans="1:5" ht="15.6">
      <c r="A9" s="2910"/>
      <c r="B9" s="2906" t="e">
        <f t="shared" ca="1" si="1"/>
        <v>#REF!</v>
      </c>
      <c r="C9" s="2905" t="s">
        <v>2992</v>
      </c>
      <c r="D9" s="2907"/>
      <c r="E9" s="2570" t="e">
        <f t="shared" ca="1" si="0"/>
        <v>#REF!</v>
      </c>
    </row>
    <row r="10" spans="1:5" ht="15.6">
      <c r="A10" s="2910"/>
      <c r="B10" s="2906" t="e">
        <f t="shared" ca="1" si="1"/>
        <v>#REF!</v>
      </c>
      <c r="C10" s="2905" t="s">
        <v>2992</v>
      </c>
      <c r="D10" s="2907"/>
      <c r="E10" s="2570" t="e">
        <f t="shared" ca="1" si="0"/>
        <v>#REF!</v>
      </c>
    </row>
    <row r="11" spans="1:5" ht="15.6">
      <c r="A11" s="2910"/>
      <c r="B11" s="2906" t="e">
        <f t="shared" ca="1" si="1"/>
        <v>#REF!</v>
      </c>
      <c r="C11" s="2905" t="s">
        <v>2992</v>
      </c>
      <c r="D11" s="2907"/>
      <c r="E11" s="2570" t="e">
        <f t="shared" ca="1" si="0"/>
        <v>#REF!</v>
      </c>
    </row>
    <row r="12" spans="1:5" ht="15.6">
      <c r="A12" s="2910"/>
      <c r="B12" s="2906" t="e">
        <f t="shared" ca="1" si="1"/>
        <v>#REF!</v>
      </c>
      <c r="C12" s="2905" t="s">
        <v>2992</v>
      </c>
      <c r="D12" s="2907"/>
      <c r="E12" s="2570" t="e">
        <f t="shared" ca="1" si="0"/>
        <v>#REF!</v>
      </c>
    </row>
    <row r="13" spans="1:5" ht="15.6">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39" t="s">
        <v>1150</v>
      </c>
      <c r="C1" s="3339"/>
      <c r="D1" s="3339"/>
      <c r="E1" s="3339"/>
      <c r="F1" s="3339"/>
      <c r="G1" s="3338" t="s">
        <v>1151</v>
      </c>
      <c r="H1" s="3338"/>
      <c r="I1" s="3338"/>
      <c r="J1" s="3338"/>
      <c r="K1" s="3338"/>
      <c r="L1" s="3338"/>
      <c r="N1" s="3338" t="s">
        <v>1152</v>
      </c>
      <c r="O1" s="3338"/>
      <c r="P1" s="3338"/>
      <c r="Q1" s="3338"/>
      <c r="R1" s="1443"/>
      <c r="S1" s="3338" t="s">
        <v>1153</v>
      </c>
      <c r="T1" s="3338"/>
      <c r="U1" s="3338"/>
      <c r="V1" s="3338"/>
      <c r="X1" s="3337" t="s">
        <v>1154</v>
      </c>
      <c r="Y1" s="3338"/>
      <c r="Z1" s="3338"/>
      <c r="AA1" s="3338"/>
      <c r="AB1" s="3338"/>
      <c r="AD1" s="3337" t="s">
        <v>1155</v>
      </c>
      <c r="AE1" s="3338"/>
      <c r="AF1" s="3338"/>
      <c r="AG1" s="3338"/>
      <c r="AH1" s="3338"/>
    </row>
    <row r="2" spans="1:34" s="1444" customFormat="1" ht="1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4">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4">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8"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8"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8"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8"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40">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35"/>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35"/>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8"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36"/>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8" thickBot="1">
      <c r="A16" s="1458" t="s">
        <v>151</v>
      </c>
      <c r="B16" s="1466">
        <v>333</v>
      </c>
      <c r="C16" s="1466">
        <v>277</v>
      </c>
      <c r="D16" s="1466">
        <f t="shared" si="54"/>
        <v>277</v>
      </c>
      <c r="E16" s="1466">
        <v>459</v>
      </c>
      <c r="F16" s="1467">
        <v>249</v>
      </c>
      <c r="G16" s="3334">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35"/>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35"/>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36"/>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8" thickBot="1">
      <c r="A20" s="1458" t="s">
        <v>147</v>
      </c>
      <c r="B20" s="1487">
        <v>318</v>
      </c>
      <c r="C20" s="1487">
        <v>268</v>
      </c>
      <c r="D20" s="1487">
        <f t="shared" si="54"/>
        <v>268</v>
      </c>
      <c r="E20" s="1487">
        <v>437</v>
      </c>
      <c r="F20" s="1488">
        <v>237</v>
      </c>
      <c r="G20" s="3334">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35"/>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8"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35"/>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8"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36"/>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8" thickBot="1">
      <c r="A24" s="1458" t="s">
        <v>1163</v>
      </c>
      <c r="B24" s="1466">
        <v>299</v>
      </c>
      <c r="C24" s="1466">
        <v>252</v>
      </c>
      <c r="D24" s="1466">
        <f t="shared" si="54"/>
        <v>252</v>
      </c>
      <c r="E24" s="1466">
        <v>409</v>
      </c>
      <c r="F24" s="1467">
        <v>227</v>
      </c>
      <c r="G24" s="3341">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42"/>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42"/>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43"/>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8" thickBot="1">
      <c r="A28" s="1458" t="s">
        <v>1167</v>
      </c>
      <c r="B28" s="1508">
        <v>278</v>
      </c>
      <c r="C28" s="1508">
        <v>234</v>
      </c>
      <c r="D28" s="1508">
        <f t="shared" si="54"/>
        <v>234</v>
      </c>
      <c r="E28" s="1508">
        <v>379</v>
      </c>
      <c r="F28" s="1509">
        <v>220</v>
      </c>
      <c r="G28" s="3334">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335"/>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335"/>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8" thickBot="1">
      <c r="A31" s="1458" t="s">
        <v>1170</v>
      </c>
      <c r="B31" s="1474">
        <f>B30/(1+N30)</f>
        <v>275.19025476197027</v>
      </c>
      <c r="C31" s="1510">
        <v>232</v>
      </c>
      <c r="D31" s="1510">
        <f t="shared" si="54"/>
        <v>232</v>
      </c>
      <c r="E31" s="1474">
        <f t="shared" si="65"/>
        <v>375.65990977608692</v>
      </c>
      <c r="F31" s="1474">
        <f t="shared" si="65"/>
        <v>214.12518283971252</v>
      </c>
      <c r="G31" s="3336"/>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8" thickBot="1">
      <c r="A32" s="1458" t="s">
        <v>1171</v>
      </c>
      <c r="B32" s="1466">
        <v>275</v>
      </c>
      <c r="C32" s="1466">
        <v>232</v>
      </c>
      <c r="D32" s="1466">
        <f t="shared" si="54"/>
        <v>232</v>
      </c>
      <c r="E32" s="1466">
        <v>376</v>
      </c>
      <c r="F32" s="1467">
        <v>213</v>
      </c>
      <c r="G32" s="3334">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35">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335">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8"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36">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8" thickBot="1">
      <c r="A36" s="1458" t="s">
        <v>1175</v>
      </c>
      <c r="B36" s="1466">
        <v>269</v>
      </c>
      <c r="C36" s="1466">
        <v>221</v>
      </c>
      <c r="D36" s="1466">
        <f t="shared" si="54"/>
        <v>221</v>
      </c>
      <c r="E36" s="1466">
        <v>373</v>
      </c>
      <c r="F36" s="1467">
        <v>196</v>
      </c>
      <c r="G36" s="3334">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35">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335">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8"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36">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8" thickBot="1">
      <c r="A40" s="1458" t="s">
        <v>1179</v>
      </c>
      <c r="B40" s="1466">
        <v>220</v>
      </c>
      <c r="C40" s="1466">
        <v>187</v>
      </c>
      <c r="D40" s="1466">
        <f t="shared" si="54"/>
        <v>187</v>
      </c>
      <c r="E40" s="1466">
        <v>301</v>
      </c>
      <c r="F40" s="1467">
        <v>168</v>
      </c>
      <c r="G40" s="3334">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35">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335">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36">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8" thickBot="1">
      <c r="A44" s="1458" t="s">
        <v>1183</v>
      </c>
      <c r="B44" s="1508">
        <v>214</v>
      </c>
      <c r="C44" s="1508">
        <v>188</v>
      </c>
      <c r="D44" s="1508">
        <f t="shared" si="54"/>
        <v>188</v>
      </c>
      <c r="E44" s="1508">
        <v>289</v>
      </c>
      <c r="F44" s="1509">
        <v>166</v>
      </c>
      <c r="G44" s="3334">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35">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335">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8"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36">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8" thickBot="1">
      <c r="A48" s="1458" t="s">
        <v>1187</v>
      </c>
      <c r="B48" s="1466">
        <v>188</v>
      </c>
      <c r="C48" s="1466">
        <v>165</v>
      </c>
      <c r="D48" s="1466">
        <f t="shared" si="54"/>
        <v>165</v>
      </c>
      <c r="E48" s="1466">
        <v>254</v>
      </c>
      <c r="F48" s="1467">
        <v>148</v>
      </c>
      <c r="G48" s="3334">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35">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335">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36">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8" thickBot="1">
      <c r="A52" s="1458" t="s">
        <v>1191</v>
      </c>
      <c r="B52" s="1487">
        <v>159</v>
      </c>
      <c r="C52" s="1487">
        <v>141</v>
      </c>
      <c r="D52" s="1487">
        <f t="shared" si="54"/>
        <v>141</v>
      </c>
      <c r="E52" s="1487">
        <v>195</v>
      </c>
      <c r="F52" s="1488">
        <v>122</v>
      </c>
      <c r="G52" s="3334">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35">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335">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36">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8" thickBot="1">
      <c r="A56" s="1458" t="s">
        <v>1195</v>
      </c>
      <c r="B56" s="1487">
        <v>138</v>
      </c>
      <c r="C56" s="1487">
        <v>131</v>
      </c>
      <c r="D56" s="1487">
        <f t="shared" si="54"/>
        <v>131</v>
      </c>
      <c r="E56" s="1487">
        <v>155</v>
      </c>
      <c r="F56" s="1488">
        <v>114</v>
      </c>
      <c r="G56" s="3334">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35">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335">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36">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8" thickBot="1">
      <c r="A60" s="1458" t="s">
        <v>1199</v>
      </c>
      <c r="B60" s="1508">
        <v>121</v>
      </c>
      <c r="C60" s="1508">
        <v>122</v>
      </c>
      <c r="D60" s="1508">
        <f t="shared" si="54"/>
        <v>122</v>
      </c>
      <c r="E60" s="1508">
        <v>124</v>
      </c>
      <c r="F60" s="1509">
        <v>107</v>
      </c>
      <c r="G60" s="3334">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35">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335">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8"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36">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8" thickBot="1">
      <c r="A64" s="1458" t="s">
        <v>1203</v>
      </c>
      <c r="B64" s="1529">
        <v>111</v>
      </c>
      <c r="C64" s="1529">
        <v>114</v>
      </c>
      <c r="D64" s="1529">
        <f t="shared" si="54"/>
        <v>114</v>
      </c>
      <c r="E64" s="1529">
        <v>108</v>
      </c>
      <c r="F64" s="1530">
        <v>104</v>
      </c>
      <c r="G64" s="3334">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335">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335">
        <v>2003</v>
      </c>
      <c r="H66" s="1462">
        <v>2</v>
      </c>
      <c r="I66" s="1531"/>
      <c r="J66" s="1531"/>
      <c r="K66" s="1531"/>
      <c r="L66" s="1531"/>
      <c r="X66" s="1523"/>
      <c r="Y66" s="1523"/>
      <c r="Z66" s="1523"/>
    </row>
    <row r="67" spans="1:26" ht="13.8" thickBot="1">
      <c r="A67" s="1458" t="s">
        <v>1206</v>
      </c>
      <c r="B67" s="1533">
        <f t="shared" si="90"/>
        <v>107.25</v>
      </c>
      <c r="C67" s="1533">
        <f t="shared" si="90"/>
        <v>108.75</v>
      </c>
      <c r="D67" s="1533">
        <f t="shared" si="54"/>
        <v>108.75</v>
      </c>
      <c r="E67" s="1533">
        <f t="shared" si="91"/>
        <v>105.75</v>
      </c>
      <c r="F67" s="1533">
        <f t="shared" si="91"/>
        <v>102.5</v>
      </c>
      <c r="G67" s="3336">
        <v>2003</v>
      </c>
      <c r="H67" s="1534">
        <v>1</v>
      </c>
      <c r="I67" s="1531"/>
      <c r="J67" s="1531"/>
      <c r="K67" s="1531"/>
      <c r="L67" s="1531"/>
      <c r="S67" s="1469"/>
      <c r="T67" s="1470"/>
      <c r="U67" s="1470"/>
      <c r="X67" s="1523"/>
      <c r="Y67" s="1523"/>
      <c r="Z67" s="1523"/>
    </row>
    <row r="68" spans="1:26" ht="13.8" thickBot="1">
      <c r="A68" s="1458" t="s">
        <v>1207</v>
      </c>
      <c r="B68" s="1535">
        <v>106</v>
      </c>
      <c r="C68" s="1535">
        <v>107</v>
      </c>
      <c r="D68" s="1535">
        <f t="shared" si="54"/>
        <v>107</v>
      </c>
      <c r="E68" s="1535">
        <v>105</v>
      </c>
      <c r="F68" s="1536">
        <v>102</v>
      </c>
      <c r="G68" s="3334">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335">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335">
        <v>2002</v>
      </c>
      <c r="H70" s="1462">
        <v>2</v>
      </c>
      <c r="I70" s="1531"/>
      <c r="J70" s="1531"/>
      <c r="K70" s="1531"/>
      <c r="L70" s="1531"/>
      <c r="X70" s="1523"/>
      <c r="Y70" s="1523"/>
      <c r="Z70" s="1523"/>
    </row>
    <row r="71" spans="1:26" s="1495" customFormat="1" ht="13.8" thickBot="1">
      <c r="A71" s="1491" t="s">
        <v>1210</v>
      </c>
      <c r="B71" s="1537">
        <f t="shared" si="92"/>
        <v>103</v>
      </c>
      <c r="C71" s="1537">
        <f t="shared" si="92"/>
        <v>104</v>
      </c>
      <c r="D71" s="1537">
        <f t="shared" si="54"/>
        <v>104</v>
      </c>
      <c r="E71" s="1537">
        <f t="shared" si="93"/>
        <v>103.5</v>
      </c>
      <c r="F71" s="1537">
        <f t="shared" si="93"/>
        <v>100.5</v>
      </c>
      <c r="G71" s="3336">
        <v>2002</v>
      </c>
      <c r="H71" s="1538">
        <v>1</v>
      </c>
      <c r="I71" s="1539"/>
      <c r="J71" s="1539"/>
      <c r="K71" s="1539"/>
      <c r="L71" s="1539"/>
      <c r="N71" s="1540"/>
      <c r="S71" s="1540"/>
      <c r="X71" s="1541"/>
      <c r="Y71" s="1541"/>
      <c r="Z71" s="1541"/>
    </row>
    <row r="72" spans="1:26" ht="13.8"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8"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8"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45" t="s">
        <v>3002</v>
      </c>
      <c r="D1" s="3346"/>
      <c r="E1" s="3346"/>
      <c r="F1" s="3346"/>
      <c r="G1" s="3346"/>
      <c r="H1" s="3346"/>
      <c r="I1" s="3346"/>
      <c r="J1" s="3346"/>
      <c r="K1" s="3346"/>
      <c r="L1" s="3346"/>
      <c r="M1" s="3346"/>
      <c r="N1" s="3346"/>
      <c r="O1" s="3346"/>
      <c r="P1" s="3346"/>
      <c r="Q1" s="3346"/>
      <c r="R1" s="3346"/>
      <c r="S1" s="3347"/>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2"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201" t="s">
        <v>33</v>
      </c>
      <c r="D22" s="3202"/>
      <c r="E22" s="3202"/>
      <c r="F22" s="3202"/>
      <c r="G22" s="3202"/>
      <c r="H22" s="3202"/>
      <c r="I22" s="3202"/>
      <c r="J22" s="3202"/>
      <c r="K22" s="3202"/>
      <c r="L22" s="3202"/>
      <c r="M22" s="3202"/>
      <c r="N22" s="3202"/>
      <c r="O22" s="3202"/>
      <c r="P22" s="3202"/>
      <c r="Q22" s="334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98127</v>
      </c>
      <c r="C2" s="2" t="s">
        <v>133</v>
      </c>
      <c r="D2" s="243"/>
      <c r="E2" s="243"/>
      <c r="F2" s="243"/>
      <c r="G2" s="243"/>
    </row>
    <row r="3" spans="1:7" s="244" customFormat="1" ht="18" customHeight="1" thickBot="1">
      <c r="A3" s="247" t="s">
        <v>85</v>
      </c>
      <c r="B3" s="248">
        <f ca="1">ROUND(B2*10000/'数据-汇总表'!E3,0)</f>
        <v>12943</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332</v>
      </c>
      <c r="D20" s="276"/>
      <c r="E20" s="276"/>
      <c r="F20" s="277">
        <f>'数据-取费表'!B37</f>
        <v>1.4999999999999999E-2</v>
      </c>
      <c r="G20" s="1286" t="s">
        <v>1068</v>
      </c>
    </row>
    <row r="21" spans="1:7" s="258" customFormat="1" ht="13.5" customHeight="1">
      <c r="A21" s="945" t="s">
        <v>1059</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1">
        <f ca="1">ROUND(SUM(C23:C25),0)</f>
        <v>2167</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16</v>
      </c>
      <c r="D25" s="282"/>
      <c r="E25" s="285"/>
      <c r="F25" s="283"/>
      <c r="G25" s="286" t="s">
        <v>110</v>
      </c>
    </row>
    <row r="26" spans="1:7" s="258" customFormat="1">
      <c r="A26" s="948" t="s">
        <v>795</v>
      </c>
      <c r="B26" s="259" t="s">
        <v>1060</v>
      </c>
      <c r="C26" s="282">
        <f ca="1">ROUND(IF('数据-取费表'!B22&lt;=1,F21*F22*'数据-取费表'!B23/2,F21*(POWER((1+F22),'数据-取费表'!B23/2)-1)),4)</f>
        <v>6.9999999999999999E-4</v>
      </c>
      <c r="D26" s="282"/>
      <c r="E26" s="285"/>
      <c r="F26" s="283"/>
      <c r="G26" s="287"/>
    </row>
    <row r="27" spans="1:7" s="258" customFormat="1" ht="26.4">
      <c r="A27" s="945" t="s">
        <v>787</v>
      </c>
      <c r="B27" s="288" t="s">
        <v>112</v>
      </c>
      <c r="C27" s="289">
        <f>C28</f>
        <v>5615</v>
      </c>
      <c r="D27" s="279">
        <f>C29</f>
        <v>3.8E-3</v>
      </c>
      <c r="E27" s="280" t="s">
        <v>126</v>
      </c>
      <c r="F27" s="290">
        <f>'数据-取费表'!Q16</f>
        <v>0.25</v>
      </c>
      <c r="G27" s="291" t="s">
        <v>1069</v>
      </c>
    </row>
    <row r="28" spans="1:7" s="258" customFormat="1" ht="13.5" customHeight="1">
      <c r="A28" s="948" t="s">
        <v>794</v>
      </c>
      <c r="B28" s="292" t="s">
        <v>1062</v>
      </c>
      <c r="C28" s="293">
        <f>ROUND((C5+C19+C20)*F27*'数据-取费表'!B21/'数据-取费表'!B20,0)</f>
        <v>5615</v>
      </c>
      <c r="D28" s="279"/>
      <c r="E28" s="280"/>
      <c r="F28" s="290"/>
      <c r="G28" s="291"/>
    </row>
    <row r="29" spans="1:7" s="258" customFormat="1" ht="13.5" customHeight="1">
      <c r="A29" s="948" t="s">
        <v>792</v>
      </c>
      <c r="B29" s="292" t="s">
        <v>1063</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32615</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53014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49281</v>
      </c>
      <c r="D34" s="261"/>
      <c r="E34" s="264"/>
      <c r="F34" s="301">
        <f>IF('数据-取费表'!B24=0,1,'数据-取费表'!N16)</f>
        <v>1</v>
      </c>
      <c r="G34" s="263" t="s">
        <v>116</v>
      </c>
    </row>
    <row r="35" spans="1:7" ht="13.5" customHeight="1">
      <c r="A35" s="948" t="s">
        <v>796</v>
      </c>
      <c r="B35" s="259" t="s">
        <v>60</v>
      </c>
      <c r="C35" s="264">
        <f>ROUND(C34*F35,0)</f>
        <v>1478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739</v>
      </c>
      <c r="D38" s="264"/>
      <c r="E38" s="264"/>
      <c r="F38" s="303">
        <f>'数据-取费表'!B36</f>
        <v>1.4999999999999999E-2</v>
      </c>
      <c r="G38" s="263" t="s">
        <v>117</v>
      </c>
    </row>
    <row r="39" spans="1:7" s="258" customFormat="1" ht="13.5" customHeight="1">
      <c r="A39" s="945" t="s">
        <v>783</v>
      </c>
      <c r="B39" s="254" t="s">
        <v>104</v>
      </c>
      <c r="C39" s="276">
        <f>ROUND(C33*F20,0)</f>
        <v>795</v>
      </c>
      <c r="D39" s="276"/>
      <c r="E39" s="276"/>
      <c r="F39" s="277"/>
      <c r="G39" s="1286" t="s">
        <v>1071</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2556</v>
      </c>
      <c r="D41" s="279">
        <f ca="1">C44</f>
        <v>6.9999999999999999E-4</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2518</v>
      </c>
      <c r="D42" s="282"/>
      <c r="E42" s="282"/>
      <c r="F42" s="283"/>
      <c r="G42" s="3211" t="s">
        <v>121</v>
      </c>
    </row>
    <row r="43" spans="1:7" ht="13.5" customHeight="1">
      <c r="A43" s="948" t="s">
        <v>792</v>
      </c>
      <c r="B43" s="259" t="s">
        <v>1064</v>
      </c>
      <c r="C43" s="282">
        <f ca="1">ROUND(IF('数据-取费表'!B22&lt;=1,C39*F22*'数据-取费表'!B21/2,C39*(POWER((1+F22),'数据-取费表'!B21/2)-1)),0)</f>
        <v>38</v>
      </c>
      <c r="D43" s="282"/>
      <c r="E43" s="282"/>
      <c r="F43" s="283"/>
      <c r="G43" s="3212"/>
    </row>
    <row r="44" spans="1:7" ht="13.5" customHeight="1">
      <c r="A44" s="948" t="s">
        <v>793</v>
      </c>
      <c r="B44" s="259" t="s">
        <v>1066</v>
      </c>
      <c r="C44" s="282">
        <f ca="1">ROUND(IF('数据-取费表'!B22&lt;=1,C40*F22*'数据-取费表'!B21/2,C40*(POWER((1+F22),'数据-取费表'!B21/2)-1)),4)</f>
        <v>6.9999999999999999E-4</v>
      </c>
      <c r="D44" s="282"/>
      <c r="E44" s="282"/>
      <c r="F44" s="283"/>
      <c r="G44" s="3213"/>
    </row>
    <row r="45" spans="1:7" s="258" customFormat="1" ht="13.5" customHeight="1">
      <c r="A45" s="945" t="s">
        <v>786</v>
      </c>
      <c r="B45" s="288" t="s">
        <v>112</v>
      </c>
      <c r="C45" s="289">
        <f>C46</f>
        <v>13452</v>
      </c>
      <c r="D45" s="279">
        <f>C47</f>
        <v>3.8E-3</v>
      </c>
      <c r="E45" s="280" t="s">
        <v>129</v>
      </c>
      <c r="F45" s="290"/>
      <c r="G45" s="291" t="s">
        <v>1072</v>
      </c>
    </row>
    <row r="46" spans="1:7" s="258" customFormat="1" ht="13.5" customHeight="1">
      <c r="A46" s="948" t="s">
        <v>794</v>
      </c>
      <c r="B46" s="292" t="s">
        <v>1065</v>
      </c>
      <c r="C46" s="293">
        <f>ROUND((C33+C39)*F27,0)</f>
        <v>13452</v>
      </c>
      <c r="D46" s="307"/>
      <c r="E46" s="280"/>
      <c r="F46" s="290"/>
      <c r="G46" s="291"/>
    </row>
    <row r="47" spans="1:7" s="258" customFormat="1" ht="13.5" customHeight="1">
      <c r="A47" s="948" t="s">
        <v>792</v>
      </c>
      <c r="B47" s="292" t="s">
        <v>1067</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75301</v>
      </c>
      <c r="D49" s="276"/>
      <c r="E49" s="276"/>
      <c r="F49" s="308"/>
      <c r="G49" s="278" t="s">
        <v>1073</v>
      </c>
    </row>
    <row r="50" spans="1:7" s="302" customFormat="1" ht="24">
      <c r="A50" s="945" t="s">
        <v>789</v>
      </c>
      <c r="B50" s="254" t="s">
        <v>124</v>
      </c>
      <c r="C50" s="276"/>
      <c r="D50" s="276"/>
      <c r="E50" s="276"/>
      <c r="F50" s="308">
        <f>IF('数据-取费表'!B24=0,'数据-取费表'!N16,1)</f>
        <v>0.87</v>
      </c>
      <c r="G50" s="291" t="s">
        <v>125</v>
      </c>
    </row>
    <row r="51" spans="1:7" ht="16.5" customHeight="1">
      <c r="A51" s="945" t="s">
        <v>790</v>
      </c>
      <c r="B51" s="254" t="s">
        <v>132</v>
      </c>
      <c r="C51" s="276">
        <f ca="1">ROUND(C49*F50,0)</f>
        <v>65512</v>
      </c>
      <c r="D51" s="276"/>
      <c r="E51" s="276"/>
      <c r="F51" s="308"/>
      <c r="G51" s="278" t="s">
        <v>64</v>
      </c>
    </row>
    <row r="52" spans="1:7" s="252" customFormat="1" ht="16.8" thickBot="1">
      <c r="A52" s="309" t="s">
        <v>65</v>
      </c>
      <c r="B52" s="310"/>
      <c r="C52" s="311">
        <f ca="1">C31+C51</f>
        <v>98127</v>
      </c>
      <c r="D52" s="310"/>
      <c r="E52" s="310"/>
      <c r="F52" s="310"/>
      <c r="G52" s="312"/>
    </row>
    <row r="55" spans="1:7" ht="15">
      <c r="B55" s="314" t="s">
        <v>66</v>
      </c>
      <c r="C55" s="315"/>
    </row>
    <row r="56" spans="1:7">
      <c r="B56" s="317" t="s">
        <v>67</v>
      </c>
      <c r="C56" s="318">
        <f ca="1">ROUND(C51/C52,3)</f>
        <v>0.66800000000000004</v>
      </c>
    </row>
    <row r="57" spans="1:7">
      <c r="B57" s="317" t="s">
        <v>68</v>
      </c>
      <c r="C57" s="319">
        <f ca="1">1-C56</f>
        <v>0.33199999999999996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8" t="s">
        <v>871</v>
      </c>
      <c r="B1" s="3348"/>
    </row>
    <row r="2" spans="1:6" ht="15" thickBot="1">
      <c r="A2" s="1054"/>
      <c r="B2" s="1054"/>
    </row>
    <row r="3" spans="1:6" ht="15" thickBot="1">
      <c r="A3" s="1054"/>
      <c r="B3" s="1054"/>
      <c r="C3" s="1058" t="s">
        <v>874</v>
      </c>
      <c r="D3" s="1058" t="s">
        <v>875</v>
      </c>
      <c r="E3" s="1058" t="s">
        <v>876</v>
      </c>
      <c r="F3" s="1058" t="s">
        <v>877</v>
      </c>
    </row>
    <row r="4" spans="1:6" ht="15" thickBot="1">
      <c r="A4" s="1056" t="s">
        <v>872</v>
      </c>
      <c r="B4" s="1057" t="s">
        <v>873</v>
      </c>
      <c r="C4" s="1058"/>
      <c r="D4" s="1058"/>
      <c r="E4" s="1058"/>
      <c r="F4" s="1058"/>
    </row>
    <row r="5" spans="1:6" ht="15" thickBot="1">
      <c r="A5" s="834" t="s">
        <v>878</v>
      </c>
      <c r="B5" s="835" t="s">
        <v>879</v>
      </c>
      <c r="C5" s="1059">
        <v>8.8999999999999996E-2</v>
      </c>
      <c r="D5" s="1059">
        <v>7.3999999999999996E-2</v>
      </c>
      <c r="E5" s="1059">
        <v>7.4999999999999997E-2</v>
      </c>
      <c r="F5" s="1060">
        <v>0.1</v>
      </c>
    </row>
    <row r="6" spans="1:6" ht="15" thickBot="1">
      <c r="A6" s="834" t="s">
        <v>212</v>
      </c>
      <c r="B6" s="828" t="s">
        <v>880</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881</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882</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883</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884</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885</v>
      </c>
      <c r="C72" s="1074"/>
      <c r="D72" s="1074"/>
      <c r="E72" s="1074"/>
      <c r="F72" s="1062">
        <v>0.05</v>
      </c>
    </row>
    <row r="73" spans="1:6" ht="24.6" thickBot="1">
      <c r="A73" s="834" t="s">
        <v>137</v>
      </c>
      <c r="B73" s="828" t="s">
        <v>886</v>
      </c>
      <c r="C73" s="1074"/>
      <c r="D73" s="1074"/>
      <c r="E73" s="1074"/>
      <c r="F73" s="1062">
        <v>0.05</v>
      </c>
    </row>
    <row r="74" spans="1:6" ht="24.6" thickBot="1">
      <c r="A74" s="834" t="s">
        <v>137</v>
      </c>
      <c r="B74" s="828" t="s">
        <v>887</v>
      </c>
      <c r="C74" s="1074"/>
      <c r="D74" s="1074"/>
      <c r="E74" s="1074"/>
      <c r="F74" s="1062">
        <v>0.05</v>
      </c>
    </row>
    <row r="75" spans="1:6" ht="24.6" thickBot="1">
      <c r="A75" s="844" t="s">
        <v>137</v>
      </c>
      <c r="B75" s="840" t="s">
        <v>888</v>
      </c>
      <c r="C75" s="1071"/>
      <c r="D75" s="1071"/>
      <c r="E75" s="1071"/>
      <c r="F75" s="1064">
        <v>0.05</v>
      </c>
    </row>
    <row r="76" spans="1:6" ht="15" thickBot="1">
      <c r="A76" s="834" t="s">
        <v>523</v>
      </c>
      <c r="B76" s="835" t="s">
        <v>889</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890</v>
      </c>
      <c r="C102" s="1074"/>
      <c r="D102" s="1074"/>
      <c r="E102" s="1074"/>
      <c r="F102" s="1062">
        <v>0.05</v>
      </c>
    </row>
    <row r="103" spans="1:6" ht="24.6" thickBot="1">
      <c r="A103" s="834" t="s">
        <v>523</v>
      </c>
      <c r="B103" s="828" t="s">
        <v>891</v>
      </c>
      <c r="C103" s="1074"/>
      <c r="D103" s="1074"/>
      <c r="E103" s="1074"/>
      <c r="F103" s="1062">
        <v>0.05</v>
      </c>
    </row>
    <row r="104" spans="1:6" ht="15" thickBot="1">
      <c r="A104" s="834" t="s">
        <v>523</v>
      </c>
      <c r="B104" s="828" t="s">
        <v>892</v>
      </c>
      <c r="C104" s="1074"/>
      <c r="D104" s="1074"/>
      <c r="E104" s="1074"/>
      <c r="F104" s="1062">
        <v>0.05</v>
      </c>
    </row>
    <row r="105" spans="1:6" ht="24.6" thickBot="1">
      <c r="A105" s="834" t="s">
        <v>523</v>
      </c>
      <c r="B105" s="828" t="s">
        <v>893</v>
      </c>
      <c r="C105" s="1074"/>
      <c r="D105" s="1074"/>
      <c r="E105" s="1074"/>
      <c r="F105" s="1062">
        <v>0.05</v>
      </c>
    </row>
    <row r="106" spans="1:6" ht="24.6" thickBot="1">
      <c r="A106" s="834" t="s">
        <v>523</v>
      </c>
      <c r="B106" s="828" t="s">
        <v>894</v>
      </c>
      <c r="C106" s="1074"/>
      <c r="D106" s="1074"/>
      <c r="E106" s="1074"/>
      <c r="F106" s="1062">
        <v>0.05</v>
      </c>
    </row>
    <row r="107" spans="1:6" ht="24.6" thickBot="1">
      <c r="A107" s="834" t="s">
        <v>523</v>
      </c>
      <c r="B107" s="828" t="s">
        <v>895</v>
      </c>
      <c r="C107" s="1074"/>
      <c r="D107" s="1074"/>
      <c r="E107" s="1074"/>
      <c r="F107" s="1062">
        <v>0.05</v>
      </c>
    </row>
    <row r="108" spans="1:6" ht="24.6" thickBot="1">
      <c r="A108" s="834" t="s">
        <v>523</v>
      </c>
      <c r="B108" s="828" t="s">
        <v>896</v>
      </c>
      <c r="C108" s="1074"/>
      <c r="D108" s="1074"/>
      <c r="E108" s="1074"/>
      <c r="F108" s="1062">
        <v>0.05</v>
      </c>
    </row>
    <row r="109" spans="1:6" ht="24.6" thickBot="1">
      <c r="A109" s="844" t="s">
        <v>523</v>
      </c>
      <c r="B109" s="840" t="s">
        <v>897</v>
      </c>
      <c r="C109" s="1071"/>
      <c r="D109" s="1071"/>
      <c r="E109" s="1071"/>
      <c r="F109" s="1064">
        <v>0.05</v>
      </c>
    </row>
    <row r="110" spans="1:6" ht="15" thickBot="1">
      <c r="A110" s="834" t="s">
        <v>56</v>
      </c>
      <c r="B110" s="835" t="s">
        <v>898</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899</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900</v>
      </c>
      <c r="C138" s="1061">
        <v>0.105</v>
      </c>
      <c r="D138" s="1061">
        <v>0.125</v>
      </c>
      <c r="E138" s="1061">
        <v>0.112</v>
      </c>
      <c r="F138" s="1073"/>
    </row>
    <row r="139" spans="1:6" ht="15" thickBot="1">
      <c r="A139" s="834" t="s">
        <v>56</v>
      </c>
      <c r="B139" s="828" t="s">
        <v>901</v>
      </c>
      <c r="C139" s="1061">
        <v>0.127</v>
      </c>
      <c r="D139" s="1061">
        <v>0.127</v>
      </c>
      <c r="E139" s="1061">
        <v>0.122</v>
      </c>
      <c r="F139" s="1062">
        <v>0.13</v>
      </c>
    </row>
    <row r="140" spans="1:6" ht="15" thickBot="1">
      <c r="A140" s="834" t="s">
        <v>56</v>
      </c>
      <c r="B140" s="828" t="s">
        <v>902</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903</v>
      </c>
      <c r="C144" s="1066">
        <v>0.126</v>
      </c>
      <c r="D144" s="1066">
        <v>0.126</v>
      </c>
      <c r="E144" s="1066">
        <v>0.121</v>
      </c>
      <c r="F144" s="1073"/>
    </row>
    <row r="145" spans="1:6" ht="15" thickBot="1">
      <c r="A145" s="844" t="s">
        <v>56</v>
      </c>
      <c r="B145" s="1067" t="s">
        <v>904</v>
      </c>
      <c r="C145" s="1075"/>
      <c r="D145" s="1075"/>
      <c r="E145" s="1075"/>
      <c r="F145" s="1068">
        <v>0.05</v>
      </c>
    </row>
    <row r="146" spans="1:6" ht="24.6" thickBot="1">
      <c r="A146" s="1069" t="s">
        <v>56</v>
      </c>
      <c r="B146" s="838" t="s">
        <v>905</v>
      </c>
      <c r="C146" s="1074"/>
      <c r="D146" s="1074"/>
      <c r="E146" s="1074"/>
      <c r="F146" s="1070">
        <v>0.05</v>
      </c>
    </row>
    <row r="147" spans="1:6" ht="24.6" thickBot="1">
      <c r="A147" s="834" t="s">
        <v>56</v>
      </c>
      <c r="B147" s="828" t="s">
        <v>906</v>
      </c>
      <c r="C147" s="1074"/>
      <c r="D147" s="1074"/>
      <c r="E147" s="1074"/>
      <c r="F147" s="1062">
        <v>0.05</v>
      </c>
    </row>
    <row r="148" spans="1:6" ht="24.6" thickBot="1">
      <c r="A148" s="834" t="s">
        <v>56</v>
      </c>
      <c r="B148" s="828" t="s">
        <v>907</v>
      </c>
      <c r="C148" s="1074"/>
      <c r="D148" s="1074"/>
      <c r="E148" s="1074"/>
      <c r="F148" s="1062">
        <v>0.05</v>
      </c>
    </row>
    <row r="149" spans="1:6" ht="24.6" thickBot="1">
      <c r="A149" s="834" t="s">
        <v>56</v>
      </c>
      <c r="B149" s="828" t="s">
        <v>908</v>
      </c>
      <c r="C149" s="1074"/>
      <c r="D149" s="1074"/>
      <c r="E149" s="1074"/>
      <c r="F149" s="1062">
        <v>0.05</v>
      </c>
    </row>
    <row r="150" spans="1:6" ht="24.6" thickBot="1">
      <c r="A150" s="834" t="s">
        <v>56</v>
      </c>
      <c r="B150" s="828" t="s">
        <v>909</v>
      </c>
      <c r="C150" s="1074"/>
      <c r="D150" s="1074"/>
      <c r="E150" s="1074"/>
      <c r="F150" s="1062">
        <v>0.05</v>
      </c>
    </row>
    <row r="151" spans="1:6" ht="24.6" thickBot="1">
      <c r="A151" s="834" t="s">
        <v>56</v>
      </c>
      <c r="B151" s="828" t="s">
        <v>910</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911</v>
      </c>
      <c r="C153" s="1074"/>
      <c r="D153" s="1074"/>
      <c r="E153" s="1074"/>
      <c r="F153" s="1062">
        <v>0.05</v>
      </c>
    </row>
    <row r="154" spans="1:6" ht="15" thickBot="1">
      <c r="A154" s="834" t="s">
        <v>56</v>
      </c>
      <c r="B154" s="828" t="s">
        <v>912</v>
      </c>
      <c r="C154" s="1074"/>
      <c r="D154" s="1074"/>
      <c r="E154" s="1074"/>
      <c r="F154" s="1062">
        <v>0.05</v>
      </c>
    </row>
    <row r="155" spans="1:6" ht="24.6" thickBot="1">
      <c r="A155" s="834" t="s">
        <v>56</v>
      </c>
      <c r="B155" s="828" t="s">
        <v>913</v>
      </c>
      <c r="C155" s="1074"/>
      <c r="D155" s="1074"/>
      <c r="E155" s="1074"/>
      <c r="F155" s="1062">
        <v>0.05</v>
      </c>
    </row>
    <row r="156" spans="1:6" ht="24.6" thickBot="1">
      <c r="A156" s="834" t="s">
        <v>56</v>
      </c>
      <c r="B156" s="828" t="s">
        <v>914</v>
      </c>
      <c r="C156" s="1074"/>
      <c r="D156" s="1074"/>
      <c r="E156" s="1074"/>
      <c r="F156" s="1062">
        <v>0.05</v>
      </c>
    </row>
    <row r="157" spans="1:6" ht="24.6" thickBot="1">
      <c r="A157" s="844" t="s">
        <v>56</v>
      </c>
      <c r="B157" s="840" t="s">
        <v>915</v>
      </c>
      <c r="C157" s="1071"/>
      <c r="D157" s="1071"/>
      <c r="E157" s="1071"/>
      <c r="F157" s="1064">
        <v>0.05</v>
      </c>
    </row>
    <row r="158" spans="1:6" ht="15" thickBot="1">
      <c r="A158" s="834" t="s">
        <v>526</v>
      </c>
      <c r="B158" s="835" t="s">
        <v>916</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917</v>
      </c>
      <c r="C171" s="1061">
        <v>0.127</v>
      </c>
      <c r="D171" s="1061">
        <v>0.126</v>
      </c>
      <c r="E171" s="1061">
        <v>0.126</v>
      </c>
      <c r="F171" s="1062">
        <v>0.11799999999999999</v>
      </c>
    </row>
    <row r="172" spans="1:6" ht="15" thickBot="1">
      <c r="A172" s="834" t="s">
        <v>526</v>
      </c>
      <c r="B172" s="828" t="s">
        <v>918</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919</v>
      </c>
      <c r="C174" s="1061">
        <v>0.13</v>
      </c>
      <c r="D174" s="1061">
        <v>0.13</v>
      </c>
      <c r="E174" s="1061">
        <v>0.13</v>
      </c>
      <c r="F174" s="1062">
        <v>0.13</v>
      </c>
    </row>
    <row r="175" spans="1:6" ht="15" thickBot="1">
      <c r="A175" s="834" t="s">
        <v>526</v>
      </c>
      <c r="B175" s="828" t="s">
        <v>920</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921</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922</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923</v>
      </c>
      <c r="C185" s="1061">
        <v>0.127</v>
      </c>
      <c r="D185" s="1061">
        <v>0.127</v>
      </c>
      <c r="E185" s="1061">
        <v>0.128</v>
      </c>
      <c r="F185" s="1062">
        <v>0.13</v>
      </c>
    </row>
    <row r="186" spans="1:6" ht="24.6" thickBot="1">
      <c r="A186" s="834" t="s">
        <v>526</v>
      </c>
      <c r="B186" s="828" t="s">
        <v>924</v>
      </c>
      <c r="C186" s="1074"/>
      <c r="D186" s="1074"/>
      <c r="E186" s="1074"/>
      <c r="F186" s="1062">
        <v>0.05</v>
      </c>
    </row>
    <row r="187" spans="1:6" ht="15" thickBot="1">
      <c r="A187" s="834" t="s">
        <v>526</v>
      </c>
      <c r="B187" s="828" t="s">
        <v>925</v>
      </c>
      <c r="C187" s="1074"/>
      <c r="D187" s="1074"/>
      <c r="E187" s="1074"/>
      <c r="F187" s="1062">
        <v>0.05</v>
      </c>
    </row>
    <row r="188" spans="1:6" ht="24.6" thickBot="1">
      <c r="A188" s="834" t="s">
        <v>526</v>
      </c>
      <c r="B188" s="828" t="s">
        <v>926</v>
      </c>
      <c r="C188" s="1074"/>
      <c r="D188" s="1074"/>
      <c r="E188" s="1074"/>
      <c r="F188" s="1062">
        <v>0.05</v>
      </c>
    </row>
    <row r="189" spans="1:6" ht="24.6" thickBot="1">
      <c r="A189" s="834" t="s">
        <v>526</v>
      </c>
      <c r="B189" s="828" t="s">
        <v>927</v>
      </c>
      <c r="C189" s="1074"/>
      <c r="D189" s="1074"/>
      <c r="E189" s="1074"/>
      <c r="F189" s="1062">
        <v>0.05</v>
      </c>
    </row>
    <row r="190" spans="1:6" ht="24.6" thickBot="1">
      <c r="A190" s="834" t="s">
        <v>526</v>
      </c>
      <c r="B190" s="828" t="s">
        <v>928</v>
      </c>
      <c r="C190" s="1074"/>
      <c r="D190" s="1074"/>
      <c r="E190" s="1074"/>
      <c r="F190" s="1062">
        <v>0.05</v>
      </c>
    </row>
    <row r="191" spans="1:6" ht="24.6" thickBot="1">
      <c r="A191" s="834" t="s">
        <v>526</v>
      </c>
      <c r="B191" s="828" t="s">
        <v>929</v>
      </c>
      <c r="C191" s="1074"/>
      <c r="D191" s="1074"/>
      <c r="E191" s="1074"/>
      <c r="F191" s="1062">
        <v>0.05</v>
      </c>
    </row>
    <row r="192" spans="1:6" ht="24.6" thickBot="1">
      <c r="A192" s="834" t="s">
        <v>526</v>
      </c>
      <c r="B192" s="828" t="s">
        <v>930</v>
      </c>
      <c r="C192" s="1074"/>
      <c r="D192" s="1074"/>
      <c r="E192" s="1074"/>
      <c r="F192" s="1062">
        <v>0.05</v>
      </c>
    </row>
    <row r="193" spans="1:6" ht="24.6" thickBot="1">
      <c r="A193" s="834" t="s">
        <v>526</v>
      </c>
      <c r="B193" s="828" t="s">
        <v>931</v>
      </c>
      <c r="C193" s="1074"/>
      <c r="D193" s="1074"/>
      <c r="E193" s="1074"/>
      <c r="F193" s="1062">
        <v>0.05</v>
      </c>
    </row>
    <row r="194" spans="1:6" ht="24.6" thickBot="1">
      <c r="A194" s="834" t="s">
        <v>526</v>
      </c>
      <c r="B194" s="828" t="s">
        <v>932</v>
      </c>
      <c r="C194" s="1074"/>
      <c r="D194" s="1074"/>
      <c r="E194" s="1074"/>
      <c r="F194" s="1062">
        <v>0.05</v>
      </c>
    </row>
    <row r="195" spans="1:6" ht="15" thickBot="1">
      <c r="A195" s="834" t="s">
        <v>526</v>
      </c>
      <c r="B195" s="828" t="s">
        <v>933</v>
      </c>
      <c r="C195" s="1074"/>
      <c r="D195" s="1074"/>
      <c r="E195" s="1074"/>
      <c r="F195" s="1062">
        <v>0.05</v>
      </c>
    </row>
    <row r="196" spans="1:6" ht="24.6" thickBot="1">
      <c r="A196" s="834" t="s">
        <v>526</v>
      </c>
      <c r="B196" s="828" t="s">
        <v>934</v>
      </c>
      <c r="C196" s="1074"/>
      <c r="D196" s="1074"/>
      <c r="E196" s="1074"/>
      <c r="F196" s="1062">
        <v>0.05</v>
      </c>
    </row>
    <row r="197" spans="1:6" ht="24.6" thickBot="1">
      <c r="A197" s="834" t="s">
        <v>526</v>
      </c>
      <c r="B197" s="828" t="s">
        <v>935</v>
      </c>
      <c r="C197" s="1074"/>
      <c r="D197" s="1074"/>
      <c r="E197" s="1074"/>
      <c r="F197" s="1062">
        <v>0.05</v>
      </c>
    </row>
    <row r="198" spans="1:6" ht="24.6" thickBot="1">
      <c r="A198" s="834" t="s">
        <v>526</v>
      </c>
      <c r="B198" s="828" t="s">
        <v>936</v>
      </c>
      <c r="C198" s="1074"/>
      <c r="D198" s="1074"/>
      <c r="E198" s="1074"/>
      <c r="F198" s="1062">
        <v>0.05</v>
      </c>
    </row>
    <row r="199" spans="1:6" ht="24.6" thickBot="1">
      <c r="A199" s="834" t="s">
        <v>526</v>
      </c>
      <c r="B199" s="828" t="s">
        <v>937</v>
      </c>
      <c r="C199" s="1074"/>
      <c r="D199" s="1074"/>
      <c r="E199" s="1074"/>
      <c r="F199" s="1062">
        <v>0.05</v>
      </c>
    </row>
    <row r="200" spans="1:6" ht="24.6" thickBot="1">
      <c r="A200" s="834" t="s">
        <v>526</v>
      </c>
      <c r="B200" s="828" t="s">
        <v>938</v>
      </c>
      <c r="C200" s="1074"/>
      <c r="D200" s="1074"/>
      <c r="E200" s="1074"/>
      <c r="F200" s="1062">
        <v>0.05</v>
      </c>
    </row>
    <row r="201" spans="1:6" ht="24.6" thickBot="1">
      <c r="A201" s="834" t="s">
        <v>526</v>
      </c>
      <c r="B201" s="828" t="s">
        <v>939</v>
      </c>
      <c r="C201" s="1074"/>
      <c r="D201" s="1074"/>
      <c r="E201" s="1074"/>
      <c r="F201" s="1062">
        <v>0.05</v>
      </c>
    </row>
    <row r="202" spans="1:6" ht="24.6" thickBot="1">
      <c r="A202" s="834" t="s">
        <v>526</v>
      </c>
      <c r="B202" s="828" t="s">
        <v>940</v>
      </c>
      <c r="C202" s="1074"/>
      <c r="D202" s="1074"/>
      <c r="E202" s="1074"/>
      <c r="F202" s="1062">
        <v>0.05</v>
      </c>
    </row>
    <row r="203" spans="1:6" ht="24.6" thickBot="1">
      <c r="A203" s="834" t="s">
        <v>526</v>
      </c>
      <c r="B203" s="828" t="s">
        <v>941</v>
      </c>
      <c r="C203" s="1074"/>
      <c r="D203" s="1074"/>
      <c r="E203" s="1074"/>
      <c r="F203" s="1062">
        <v>0.05</v>
      </c>
    </row>
    <row r="204" spans="1:6" ht="15" thickBot="1">
      <c r="A204" s="834" t="s">
        <v>526</v>
      </c>
      <c r="B204" s="828" t="s">
        <v>942</v>
      </c>
      <c r="C204" s="1074"/>
      <c r="D204" s="1074"/>
      <c r="E204" s="1074"/>
      <c r="F204" s="1062">
        <v>0.05</v>
      </c>
    </row>
    <row r="205" spans="1:6" ht="15" thickBot="1">
      <c r="A205" s="844" t="s">
        <v>526</v>
      </c>
      <c r="B205" s="840" t="s">
        <v>943</v>
      </c>
      <c r="C205" s="1071"/>
      <c r="D205" s="1071"/>
      <c r="E205" s="1071"/>
      <c r="F205" s="1064">
        <v>0.05</v>
      </c>
    </row>
    <row r="206" spans="1:6" ht="15" thickBot="1">
      <c r="A206" s="834" t="s">
        <v>528</v>
      </c>
      <c r="B206" s="835" t="s">
        <v>944</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945</v>
      </c>
      <c r="C210" s="1061">
        <v>0.15</v>
      </c>
      <c r="D210" s="1061">
        <v>0.15</v>
      </c>
      <c r="E210" s="1061">
        <v>0.15</v>
      </c>
      <c r="F210" s="1062">
        <v>0.13800000000000001</v>
      </c>
    </row>
    <row r="211" spans="1:6" ht="15" thickBot="1">
      <c r="A211" s="834" t="s">
        <v>528</v>
      </c>
      <c r="B211" s="828" t="s">
        <v>946</v>
      </c>
      <c r="C211" s="1061">
        <v>0.13700000000000001</v>
      </c>
      <c r="D211" s="1061">
        <v>0.13500000000000001</v>
      </c>
      <c r="E211" s="1061">
        <v>0.13600000000000001</v>
      </c>
      <c r="F211" s="1062">
        <v>0.1</v>
      </c>
    </row>
    <row r="212" spans="1:6" ht="15" thickBot="1">
      <c r="A212" s="834" t="s">
        <v>528</v>
      </c>
      <c r="B212" s="828" t="s">
        <v>947</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948</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949</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950</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951</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952</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953</v>
      </c>
      <c r="C231" s="1061">
        <v>0.128</v>
      </c>
      <c r="D231" s="1061">
        <v>0.125</v>
      </c>
      <c r="E231" s="1061">
        <v>0.13200000000000001</v>
      </c>
      <c r="F231" s="1073"/>
    </row>
    <row r="232" spans="1:6" ht="15" thickBot="1">
      <c r="A232" s="834" t="s">
        <v>528</v>
      </c>
      <c r="B232" s="828" t="s">
        <v>954</v>
      </c>
      <c r="C232" s="1061">
        <v>0.14499999999999999</v>
      </c>
      <c r="D232" s="1061">
        <v>0.14399999999999999</v>
      </c>
      <c r="E232" s="1061">
        <v>0.14599999999999999</v>
      </c>
      <c r="F232" s="1062">
        <v>0.13800000000000001</v>
      </c>
    </row>
    <row r="233" spans="1:6" ht="15" thickBot="1">
      <c r="A233" s="834" t="s">
        <v>528</v>
      </c>
      <c r="B233" s="828" t="s">
        <v>955</v>
      </c>
      <c r="C233" s="1061">
        <v>0.14499999999999999</v>
      </c>
      <c r="D233" s="1061">
        <v>0.14299999999999999</v>
      </c>
      <c r="E233" s="1061">
        <v>0.14199999999999999</v>
      </c>
      <c r="F233" s="1073"/>
    </row>
    <row r="234" spans="1:6" ht="15" thickBot="1">
      <c r="A234" s="834" t="s">
        <v>528</v>
      </c>
      <c r="B234" s="828" t="s">
        <v>956</v>
      </c>
      <c r="C234" s="1061">
        <v>0.14000000000000001</v>
      </c>
      <c r="D234" s="1061">
        <v>0.14000000000000001</v>
      </c>
      <c r="E234" s="1061">
        <v>0.14399999999999999</v>
      </c>
      <c r="F234" s="1073"/>
    </row>
    <row r="235" spans="1:6" ht="15" thickBot="1">
      <c r="A235" s="834" t="s">
        <v>528</v>
      </c>
      <c r="B235" s="828" t="s">
        <v>957</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958</v>
      </c>
      <c r="C237" s="1074"/>
      <c r="D237" s="1074"/>
      <c r="E237" s="1074"/>
      <c r="F237" s="1062">
        <v>0.05</v>
      </c>
    </row>
    <row r="238" spans="1:6" ht="24.6" thickBot="1">
      <c r="A238" s="834" t="s">
        <v>528</v>
      </c>
      <c r="B238" s="828" t="s">
        <v>959</v>
      </c>
      <c r="C238" s="1074"/>
      <c r="D238" s="1074"/>
      <c r="E238" s="1074"/>
      <c r="F238" s="1062">
        <v>0.05</v>
      </c>
    </row>
    <row r="239" spans="1:6" ht="24.6" thickBot="1">
      <c r="A239" s="834" t="s">
        <v>528</v>
      </c>
      <c r="B239" s="828" t="s">
        <v>960</v>
      </c>
      <c r="C239" s="1074"/>
      <c r="D239" s="1074"/>
      <c r="E239" s="1074"/>
      <c r="F239" s="1062">
        <v>0.05</v>
      </c>
    </row>
    <row r="240" spans="1:6" ht="24.6" thickBot="1">
      <c r="A240" s="834" t="s">
        <v>528</v>
      </c>
      <c r="B240" s="828" t="s">
        <v>961</v>
      </c>
      <c r="C240" s="1074"/>
      <c r="D240" s="1074"/>
      <c r="E240" s="1074"/>
      <c r="F240" s="1062">
        <v>0.05</v>
      </c>
    </row>
    <row r="241" spans="1:6" ht="24.6" thickBot="1">
      <c r="A241" s="834" t="s">
        <v>528</v>
      </c>
      <c r="B241" s="828" t="s">
        <v>962</v>
      </c>
      <c r="C241" s="1074"/>
      <c r="D241" s="1074"/>
      <c r="E241" s="1074"/>
      <c r="F241" s="1062">
        <v>0.05</v>
      </c>
    </row>
    <row r="242" spans="1:6" ht="24.6" thickBot="1">
      <c r="A242" s="834" t="s">
        <v>528</v>
      </c>
      <c r="B242" s="828" t="s">
        <v>963</v>
      </c>
      <c r="C242" s="1074"/>
      <c r="D242" s="1074"/>
      <c r="E242" s="1074"/>
      <c r="F242" s="1062">
        <v>0.05</v>
      </c>
    </row>
    <row r="243" spans="1:6" ht="24.6" thickBot="1">
      <c r="A243" s="834" t="s">
        <v>528</v>
      </c>
      <c r="B243" s="828" t="s">
        <v>964</v>
      </c>
      <c r="C243" s="1074"/>
      <c r="D243" s="1074"/>
      <c r="E243" s="1074"/>
      <c r="F243" s="1062">
        <v>0.05</v>
      </c>
    </row>
    <row r="244" spans="1:6" ht="24.6" thickBot="1">
      <c r="A244" s="844" t="s">
        <v>528</v>
      </c>
      <c r="B244" s="840" t="s">
        <v>965</v>
      </c>
      <c r="C244" s="1071"/>
      <c r="D244" s="1071"/>
      <c r="E244" s="1071"/>
      <c r="F244" s="1064">
        <v>0.05</v>
      </c>
    </row>
    <row r="245" spans="1:6" ht="15" thickBot="1">
      <c r="A245" s="834" t="s">
        <v>530</v>
      </c>
      <c r="B245" s="835" t="s">
        <v>966</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967</v>
      </c>
      <c r="C247" s="1061">
        <v>0.15</v>
      </c>
      <c r="D247" s="1061">
        <v>0.15</v>
      </c>
      <c r="E247" s="1061">
        <v>0.15</v>
      </c>
      <c r="F247" s="1062">
        <v>0.15</v>
      </c>
    </row>
    <row r="248" spans="1:6" ht="15" thickBot="1">
      <c r="A248" s="834" t="s">
        <v>530</v>
      </c>
      <c r="B248" s="828" t="s">
        <v>968</v>
      </c>
      <c r="C248" s="1061">
        <v>0.15</v>
      </c>
      <c r="D248" s="1061">
        <v>0.15</v>
      </c>
      <c r="E248" s="1061">
        <v>0.15</v>
      </c>
      <c r="F248" s="1062">
        <v>0.14000000000000001</v>
      </c>
    </row>
    <row r="249" spans="1:6" ht="15" thickBot="1">
      <c r="A249" s="834" t="s">
        <v>530</v>
      </c>
      <c r="B249" s="828" t="s">
        <v>969</v>
      </c>
      <c r="C249" s="1061">
        <v>0.15</v>
      </c>
      <c r="D249" s="1061">
        <v>0.14899999999999999</v>
      </c>
      <c r="E249" s="1061">
        <v>0.15</v>
      </c>
      <c r="F249" s="1062">
        <v>0.1</v>
      </c>
    </row>
    <row r="250" spans="1:6" ht="15" thickBot="1">
      <c r="A250" s="834" t="s">
        <v>530</v>
      </c>
      <c r="B250" s="828" t="s">
        <v>970</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971</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972</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973</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974</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975</v>
      </c>
      <c r="C273" s="1061">
        <v>0.14199999999999999</v>
      </c>
      <c r="D273" s="1061">
        <v>0.14299999999999999</v>
      </c>
      <c r="E273" s="1061">
        <v>0.15</v>
      </c>
      <c r="F273" s="1062">
        <v>0.1</v>
      </c>
    </row>
    <row r="274" spans="1:6" ht="15" thickBot="1">
      <c r="A274" s="834" t="s">
        <v>530</v>
      </c>
      <c r="B274" s="828" t="s">
        <v>976</v>
      </c>
      <c r="C274" s="1061">
        <v>0.14799999999999999</v>
      </c>
      <c r="D274" s="1061">
        <v>0.14799999999999999</v>
      </c>
      <c r="E274" s="1061">
        <v>0.15</v>
      </c>
      <c r="F274" s="1062">
        <v>6.7000000000000004E-2</v>
      </c>
    </row>
    <row r="275" spans="1:6" ht="15" thickBot="1">
      <c r="A275" s="834" t="s">
        <v>530</v>
      </c>
      <c r="B275" s="828" t="s">
        <v>977</v>
      </c>
      <c r="C275" s="1061">
        <v>0.15</v>
      </c>
      <c r="D275" s="1061">
        <v>0.15</v>
      </c>
      <c r="E275" s="1061">
        <v>0.15</v>
      </c>
      <c r="F275" s="1062">
        <v>0.15</v>
      </c>
    </row>
    <row r="276" spans="1:6" ht="15" thickBot="1">
      <c r="A276" s="834" t="s">
        <v>530</v>
      </c>
      <c r="B276" s="828" t="s">
        <v>978</v>
      </c>
      <c r="C276" s="1061">
        <v>0.14499999999999999</v>
      </c>
      <c r="D276" s="1061">
        <v>0.14299999999999999</v>
      </c>
      <c r="E276" s="1061">
        <v>0.15</v>
      </c>
      <c r="F276" s="1062">
        <v>5.8999999999999997E-2</v>
      </c>
    </row>
    <row r="277" spans="1:6" ht="15" thickBot="1">
      <c r="A277" s="834" t="s">
        <v>530</v>
      </c>
      <c r="B277" s="828" t="s">
        <v>979</v>
      </c>
      <c r="C277" s="1061">
        <v>0.15</v>
      </c>
      <c r="D277" s="1061">
        <v>0.15</v>
      </c>
      <c r="E277" s="1061">
        <v>0.15</v>
      </c>
      <c r="F277" s="1062">
        <v>0.121</v>
      </c>
    </row>
    <row r="278" spans="1:6" ht="15" thickBot="1">
      <c r="A278" s="834" t="s">
        <v>530</v>
      </c>
      <c r="B278" s="828" t="s">
        <v>980</v>
      </c>
      <c r="C278" s="1061">
        <v>0.15</v>
      </c>
      <c r="D278" s="1061">
        <v>0.15</v>
      </c>
      <c r="E278" s="1061">
        <v>0.15</v>
      </c>
      <c r="F278" s="1062">
        <v>0.13800000000000001</v>
      </c>
    </row>
    <row r="279" spans="1:6" ht="24.6" thickBot="1">
      <c r="A279" s="834" t="s">
        <v>530</v>
      </c>
      <c r="B279" s="828" t="s">
        <v>981</v>
      </c>
      <c r="C279" s="1074"/>
      <c r="D279" s="1074"/>
      <c r="E279" s="1074"/>
      <c r="F279" s="1062">
        <v>0.05</v>
      </c>
    </row>
    <row r="280" spans="1:6" ht="24.6" thickBot="1">
      <c r="A280" s="834" t="s">
        <v>530</v>
      </c>
      <c r="B280" s="828" t="s">
        <v>982</v>
      </c>
      <c r="C280" s="1074"/>
      <c r="D280" s="1074"/>
      <c r="E280" s="1074"/>
      <c r="F280" s="1062">
        <v>0.05</v>
      </c>
    </row>
    <row r="281" spans="1:6" ht="24.6" thickBot="1">
      <c r="A281" s="834" t="s">
        <v>530</v>
      </c>
      <c r="B281" s="828" t="s">
        <v>983</v>
      </c>
      <c r="C281" s="1074"/>
      <c r="D281" s="1074"/>
      <c r="E281" s="1074"/>
      <c r="F281" s="1062">
        <v>0.05</v>
      </c>
    </row>
    <row r="282" spans="1:6" ht="24.6" thickBot="1">
      <c r="A282" s="834" t="s">
        <v>530</v>
      </c>
      <c r="B282" s="828" t="s">
        <v>984</v>
      </c>
      <c r="C282" s="1074"/>
      <c r="D282" s="1074"/>
      <c r="E282" s="1074"/>
      <c r="F282" s="1062">
        <v>0.05</v>
      </c>
    </row>
    <row r="283" spans="1:6" ht="24.6" thickBot="1">
      <c r="A283" s="834" t="s">
        <v>530</v>
      </c>
      <c r="B283" s="828" t="s">
        <v>985</v>
      </c>
      <c r="C283" s="1074"/>
      <c r="D283" s="1074"/>
      <c r="E283" s="1074"/>
      <c r="F283" s="1062">
        <v>0.05</v>
      </c>
    </row>
    <row r="284" spans="1:6" ht="24.6" thickBot="1">
      <c r="A284" s="834" t="s">
        <v>530</v>
      </c>
      <c r="B284" s="828" t="s">
        <v>986</v>
      </c>
      <c r="C284" s="1074"/>
      <c r="D284" s="1074"/>
      <c r="E284" s="1074"/>
      <c r="F284" s="1062">
        <v>0.05</v>
      </c>
    </row>
    <row r="285" spans="1:6" ht="24.6" thickBot="1">
      <c r="A285" s="834" t="s">
        <v>530</v>
      </c>
      <c r="B285" s="828" t="s">
        <v>987</v>
      </c>
      <c r="C285" s="1074"/>
      <c r="D285" s="1074"/>
      <c r="E285" s="1074"/>
      <c r="F285" s="1062">
        <v>0.05</v>
      </c>
    </row>
    <row r="286" spans="1:6" ht="24.6" thickBot="1">
      <c r="A286" s="834" t="s">
        <v>530</v>
      </c>
      <c r="B286" s="828" t="s">
        <v>988</v>
      </c>
      <c r="C286" s="1074"/>
      <c r="D286" s="1074"/>
      <c r="E286" s="1074"/>
      <c r="F286" s="1062">
        <v>0.05</v>
      </c>
    </row>
    <row r="287" spans="1:6" ht="24.6" thickBot="1">
      <c r="A287" s="834" t="s">
        <v>530</v>
      </c>
      <c r="B287" s="828" t="s">
        <v>989</v>
      </c>
      <c r="C287" s="1074"/>
      <c r="D287" s="1074"/>
      <c r="E287" s="1074"/>
      <c r="F287" s="1062">
        <v>0.05</v>
      </c>
    </row>
    <row r="288" spans="1:6" ht="24.6" thickBot="1">
      <c r="A288" s="834" t="s">
        <v>530</v>
      </c>
      <c r="B288" s="828" t="s">
        <v>990</v>
      </c>
      <c r="C288" s="1074"/>
      <c r="D288" s="1074"/>
      <c r="E288" s="1074"/>
      <c r="F288" s="1062">
        <v>0.05</v>
      </c>
    </row>
    <row r="289" spans="1:6" ht="24.6" thickBot="1">
      <c r="A289" s="844" t="s">
        <v>530</v>
      </c>
      <c r="B289" s="840" t="s">
        <v>991</v>
      </c>
      <c r="C289" s="1071"/>
      <c r="D289" s="1071"/>
      <c r="E289" s="1071"/>
      <c r="F289" s="1064">
        <v>0.05</v>
      </c>
    </row>
    <row r="290" spans="1:6" ht="15" thickBot="1">
      <c r="A290" s="834" t="s">
        <v>534</v>
      </c>
      <c r="B290" s="835" t="s">
        <v>992</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993</v>
      </c>
      <c r="C292" s="1061">
        <v>0.15</v>
      </c>
      <c r="D292" s="1061">
        <v>0.15</v>
      </c>
      <c r="E292" s="1061">
        <v>0.15</v>
      </c>
      <c r="F292" s="1062">
        <v>0.14699999999999999</v>
      </c>
    </row>
    <row r="293" spans="1:6" ht="15" thickBot="1">
      <c r="A293" s="834" t="s">
        <v>534</v>
      </c>
      <c r="B293" s="828" t="s">
        <v>994</v>
      </c>
      <c r="C293" s="1074"/>
      <c r="D293" s="1074"/>
      <c r="E293" s="1074"/>
      <c r="F293" s="1062">
        <v>0.1</v>
      </c>
    </row>
    <row r="294" spans="1:6" ht="15" thickBot="1">
      <c r="A294" s="834" t="s">
        <v>534</v>
      </c>
      <c r="B294" s="828" t="s">
        <v>995</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996</v>
      </c>
      <c r="C296" s="1061">
        <v>0.15</v>
      </c>
      <c r="D296" s="1061">
        <v>0.15</v>
      </c>
      <c r="E296" s="1061">
        <v>0.15</v>
      </c>
      <c r="F296" s="1062">
        <v>0.15</v>
      </c>
    </row>
    <row r="297" spans="1:6" ht="15" thickBot="1">
      <c r="A297" s="834" t="s">
        <v>534</v>
      </c>
      <c r="B297" s="828" t="s">
        <v>997</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998</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999</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1000</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1001</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1002</v>
      </c>
      <c r="C310" s="1061">
        <v>0.15</v>
      </c>
      <c r="D310" s="1061">
        <v>0.15</v>
      </c>
      <c r="E310" s="1061">
        <v>0.15</v>
      </c>
      <c r="F310" s="1062">
        <v>0.13700000000000001</v>
      </c>
    </row>
    <row r="311" spans="1:6" ht="15" thickBot="1">
      <c r="A311" s="834" t="s">
        <v>534</v>
      </c>
      <c r="B311" s="828" t="s">
        <v>1003</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1004</v>
      </c>
      <c r="C313" s="1061">
        <v>0.15</v>
      </c>
      <c r="D313" s="1061">
        <v>0.15</v>
      </c>
      <c r="E313" s="1061">
        <v>0.15</v>
      </c>
      <c r="F313" s="1062">
        <v>0.15</v>
      </c>
    </row>
    <row r="314" spans="1:6" ht="24.6" thickBot="1">
      <c r="A314" s="834" t="s">
        <v>534</v>
      </c>
      <c r="B314" s="828" t="s">
        <v>1005</v>
      </c>
      <c r="C314" s="1074"/>
      <c r="D314" s="1074"/>
      <c r="E314" s="1074"/>
      <c r="F314" s="1062">
        <v>0.05</v>
      </c>
    </row>
    <row r="315" spans="1:6" ht="24.6" thickBot="1">
      <c r="A315" s="834" t="s">
        <v>534</v>
      </c>
      <c r="B315" s="828" t="s">
        <v>1006</v>
      </c>
      <c r="C315" s="1074"/>
      <c r="D315" s="1074"/>
      <c r="E315" s="1074"/>
      <c r="F315" s="1062">
        <v>0.05</v>
      </c>
    </row>
    <row r="316" spans="1:6" ht="24.6" thickBot="1">
      <c r="A316" s="844" t="s">
        <v>534</v>
      </c>
      <c r="B316" s="840" t="s">
        <v>1007</v>
      </c>
      <c r="C316" s="1071"/>
      <c r="D316" s="1071"/>
      <c r="E316" s="1071"/>
      <c r="F316" s="1064">
        <v>0.05</v>
      </c>
    </row>
    <row r="317" spans="1:6" ht="15" thickBot="1">
      <c r="A317" s="834" t="s">
        <v>1008</v>
      </c>
      <c r="B317" s="835" t="s">
        <v>1009</v>
      </c>
      <c r="C317" s="1059">
        <v>0.15</v>
      </c>
      <c r="D317" s="1059">
        <v>0.15</v>
      </c>
      <c r="E317" s="1059">
        <v>0.15</v>
      </c>
      <c r="F317" s="1060">
        <v>0.15</v>
      </c>
    </row>
    <row r="318" spans="1:6" ht="15" thickBot="1">
      <c r="A318" s="834" t="s">
        <v>1008</v>
      </c>
      <c r="B318" s="828" t="s">
        <v>1010</v>
      </c>
      <c r="C318" s="1061">
        <v>0.107</v>
      </c>
      <c r="D318" s="1061">
        <v>0.11</v>
      </c>
      <c r="E318" s="1061">
        <v>0.112</v>
      </c>
      <c r="F318" s="1073"/>
    </row>
    <row r="319" spans="1:6" ht="15" thickBot="1">
      <c r="A319" s="834" t="s">
        <v>1008</v>
      </c>
      <c r="B319" s="828" t="s">
        <v>1011</v>
      </c>
      <c r="C319" s="1061">
        <v>0.15</v>
      </c>
      <c r="D319" s="1061">
        <v>0.15</v>
      </c>
      <c r="E319" s="1061">
        <v>0.15</v>
      </c>
      <c r="F319" s="1062">
        <v>0.15</v>
      </c>
    </row>
    <row r="320" spans="1:6" ht="15" thickBot="1">
      <c r="A320" s="834" t="s">
        <v>1008</v>
      </c>
      <c r="B320" s="828" t="s">
        <v>223</v>
      </c>
      <c r="C320" s="1061">
        <v>0.15</v>
      </c>
      <c r="D320" s="1061">
        <v>0.15</v>
      </c>
      <c r="E320" s="1061">
        <v>0.15</v>
      </c>
      <c r="F320" s="1073"/>
    </row>
    <row r="321" spans="1:6" ht="15" thickBot="1">
      <c r="A321" s="834" t="s">
        <v>1008</v>
      </c>
      <c r="B321" s="828" t="s">
        <v>1012</v>
      </c>
      <c r="C321" s="1061">
        <v>0.15</v>
      </c>
      <c r="D321" s="1061">
        <v>0.15</v>
      </c>
      <c r="E321" s="1061">
        <v>0.15</v>
      </c>
      <c r="F321" s="1073"/>
    </row>
    <row r="322" spans="1:6" ht="15" thickBot="1">
      <c r="A322" s="834" t="s">
        <v>1008</v>
      </c>
      <c r="B322" s="828" t="s">
        <v>1013</v>
      </c>
      <c r="C322" s="1061">
        <v>0.15</v>
      </c>
      <c r="D322" s="1061">
        <v>0.15</v>
      </c>
      <c r="E322" s="1061">
        <v>0.15</v>
      </c>
      <c r="F322" s="1062">
        <v>0.15</v>
      </c>
    </row>
    <row r="323" spans="1:6" ht="15" thickBot="1">
      <c r="A323" s="834" t="s">
        <v>1008</v>
      </c>
      <c r="B323" s="828" t="s">
        <v>1014</v>
      </c>
      <c r="C323" s="1061">
        <v>0.15</v>
      </c>
      <c r="D323" s="1061">
        <v>0.15</v>
      </c>
      <c r="E323" s="1061">
        <v>0.15</v>
      </c>
      <c r="F323" s="1073"/>
    </row>
    <row r="324" spans="1:6" ht="15" thickBot="1">
      <c r="A324" s="834" t="s">
        <v>1008</v>
      </c>
      <c r="B324" s="828" t="s">
        <v>1015</v>
      </c>
      <c r="C324" s="1061">
        <v>0.15</v>
      </c>
      <c r="D324" s="1061">
        <v>0.15</v>
      </c>
      <c r="E324" s="1061">
        <v>0.15</v>
      </c>
      <c r="F324" s="1073"/>
    </row>
    <row r="325" spans="1:6" ht="15" thickBot="1">
      <c r="A325" s="834" t="s">
        <v>1008</v>
      </c>
      <c r="B325" s="828" t="s">
        <v>1016</v>
      </c>
      <c r="C325" s="1061">
        <v>0.15</v>
      </c>
      <c r="D325" s="1061">
        <v>0.15</v>
      </c>
      <c r="E325" s="1061">
        <v>0.15</v>
      </c>
      <c r="F325" s="1062">
        <v>0.14699999999999999</v>
      </c>
    </row>
    <row r="326" spans="1:6" ht="15" thickBot="1">
      <c r="A326" s="834" t="s">
        <v>1008</v>
      </c>
      <c r="B326" s="828" t="s">
        <v>290</v>
      </c>
      <c r="C326" s="1061">
        <v>0.15</v>
      </c>
      <c r="D326" s="1061">
        <v>0.15</v>
      </c>
      <c r="E326" s="1061">
        <v>0.15</v>
      </c>
      <c r="F326" s="1073"/>
    </row>
    <row r="327" spans="1:6" ht="15" thickBot="1">
      <c r="A327" s="834" t="s">
        <v>1008</v>
      </c>
      <c r="B327" s="828" t="s">
        <v>1017</v>
      </c>
      <c r="C327" s="1061">
        <v>0.15</v>
      </c>
      <c r="D327" s="1061">
        <v>0.15</v>
      </c>
      <c r="E327" s="1061">
        <v>0.15</v>
      </c>
      <c r="F327" s="1062">
        <v>0.15</v>
      </c>
    </row>
    <row r="328" spans="1:6" ht="15" thickBot="1">
      <c r="A328" s="834" t="s">
        <v>1008</v>
      </c>
      <c r="B328" s="828" t="s">
        <v>310</v>
      </c>
      <c r="C328" s="1061">
        <v>0.15</v>
      </c>
      <c r="D328" s="1061">
        <v>0.15</v>
      </c>
      <c r="E328" s="1061">
        <v>0.15</v>
      </c>
      <c r="F328" s="1062">
        <v>0.14099999999999999</v>
      </c>
    </row>
    <row r="329" spans="1:6" ht="15" thickBot="1">
      <c r="A329" s="834" t="s">
        <v>1008</v>
      </c>
      <c r="B329" s="828" t="s">
        <v>320</v>
      </c>
      <c r="C329" s="1061">
        <v>0.15</v>
      </c>
      <c r="D329" s="1061">
        <v>0.15</v>
      </c>
      <c r="E329" s="1061">
        <v>0.15</v>
      </c>
      <c r="F329" s="1062">
        <v>0.15</v>
      </c>
    </row>
    <row r="330" spans="1:6" ht="15" thickBot="1">
      <c r="A330" s="834" t="s">
        <v>1008</v>
      </c>
      <c r="B330" s="828" t="s">
        <v>331</v>
      </c>
      <c r="C330" s="1061">
        <v>0.15</v>
      </c>
      <c r="D330" s="1061">
        <v>0.15</v>
      </c>
      <c r="E330" s="1061">
        <v>0.15</v>
      </c>
      <c r="F330" s="1073"/>
    </row>
    <row r="331" spans="1:6" ht="15" thickBot="1">
      <c r="A331" s="834" t="s">
        <v>1008</v>
      </c>
      <c r="B331" s="828" t="s">
        <v>1018</v>
      </c>
      <c r="C331" s="1061">
        <v>0.15</v>
      </c>
      <c r="D331" s="1061">
        <v>0.15</v>
      </c>
      <c r="E331" s="1061">
        <v>0.15</v>
      </c>
      <c r="F331" s="1062">
        <v>0.15</v>
      </c>
    </row>
    <row r="332" spans="1:6" ht="15" thickBot="1">
      <c r="A332" s="834" t="s">
        <v>1008</v>
      </c>
      <c r="B332" s="828" t="s">
        <v>352</v>
      </c>
      <c r="C332" s="1061">
        <v>0.15</v>
      </c>
      <c r="D332" s="1061">
        <v>0.15</v>
      </c>
      <c r="E332" s="1061">
        <v>0.15</v>
      </c>
      <c r="F332" s="1062">
        <v>0.15</v>
      </c>
    </row>
    <row r="333" spans="1:6" ht="15" thickBot="1">
      <c r="A333" s="834" t="s">
        <v>1008</v>
      </c>
      <c r="B333" s="828" t="s">
        <v>1019</v>
      </c>
      <c r="C333" s="1061">
        <v>0.15</v>
      </c>
      <c r="D333" s="1061">
        <v>0.15</v>
      </c>
      <c r="E333" s="1061">
        <v>0.15</v>
      </c>
      <c r="F333" s="1062">
        <v>0.14099999999999999</v>
      </c>
    </row>
    <row r="334" spans="1:6" ht="15" thickBot="1">
      <c r="A334" s="834" t="s">
        <v>1008</v>
      </c>
      <c r="B334" s="828" t="s">
        <v>372</v>
      </c>
      <c r="C334" s="1061">
        <v>0.15</v>
      </c>
      <c r="D334" s="1061">
        <v>0.15</v>
      </c>
      <c r="E334" s="1061">
        <v>0.15</v>
      </c>
      <c r="F334" s="1062">
        <v>0.15</v>
      </c>
    </row>
    <row r="335" spans="1:6" ht="15" thickBot="1">
      <c r="A335" s="834" t="s">
        <v>1008</v>
      </c>
      <c r="B335" s="828" t="s">
        <v>382</v>
      </c>
      <c r="C335" s="1061">
        <v>0.15</v>
      </c>
      <c r="D335" s="1061">
        <v>0.15</v>
      </c>
      <c r="E335" s="1061">
        <v>0.15</v>
      </c>
      <c r="F335" s="1073"/>
    </row>
    <row r="336" spans="1:6" ht="15" thickBot="1">
      <c r="A336" s="834" t="s">
        <v>1008</v>
      </c>
      <c r="B336" s="828" t="s">
        <v>1020</v>
      </c>
      <c r="C336" s="1061">
        <v>0.15</v>
      </c>
      <c r="D336" s="1061">
        <v>0.15</v>
      </c>
      <c r="E336" s="1061">
        <v>0.15</v>
      </c>
      <c r="F336" s="1062">
        <v>0.11799999999999999</v>
      </c>
    </row>
    <row r="337" spans="1:6" ht="15" thickBot="1">
      <c r="A337" s="844" t="s">
        <v>1008</v>
      </c>
      <c r="B337" s="840" t="s">
        <v>400</v>
      </c>
      <c r="C337" s="1071"/>
      <c r="D337" s="1071"/>
      <c r="E337" s="1071"/>
      <c r="F337" s="1064">
        <v>0.14299999999999999</v>
      </c>
    </row>
    <row r="338" spans="1:6" ht="15" thickBot="1">
      <c r="A338" s="834" t="s">
        <v>1021</v>
      </c>
      <c r="B338" s="835" t="s">
        <v>1022</v>
      </c>
      <c r="C338" s="1059">
        <v>0.15</v>
      </c>
      <c r="D338" s="1059">
        <v>0.15</v>
      </c>
      <c r="E338" s="1059">
        <v>0.15</v>
      </c>
      <c r="F338" s="1076"/>
    </row>
    <row r="339" spans="1:6" ht="15" thickBot="1">
      <c r="A339" s="834" t="s">
        <v>1021</v>
      </c>
      <c r="B339" s="828" t="s">
        <v>1023</v>
      </c>
      <c r="C339" s="1061">
        <v>0.15</v>
      </c>
      <c r="D339" s="1061">
        <v>0.15</v>
      </c>
      <c r="E339" s="1061">
        <v>0.15</v>
      </c>
      <c r="F339" s="1073"/>
    </row>
    <row r="340" spans="1:6" ht="15" thickBot="1">
      <c r="A340" s="834" t="s">
        <v>1021</v>
      </c>
      <c r="B340" s="828" t="s">
        <v>1024</v>
      </c>
      <c r="C340" s="1061">
        <v>0.15</v>
      </c>
      <c r="D340" s="1061">
        <v>0.15</v>
      </c>
      <c r="E340" s="1061">
        <v>0.15</v>
      </c>
      <c r="F340" s="1073"/>
    </row>
    <row r="341" spans="1:6" ht="15" thickBot="1">
      <c r="A341" s="834" t="s">
        <v>1021</v>
      </c>
      <c r="B341" s="828" t="s">
        <v>1025</v>
      </c>
      <c r="C341" s="1061">
        <v>0.15</v>
      </c>
      <c r="D341" s="1061">
        <v>0.15</v>
      </c>
      <c r="E341" s="1061">
        <v>0.15</v>
      </c>
      <c r="F341" s="1062">
        <v>0.15</v>
      </c>
    </row>
    <row r="342" spans="1:6" ht="15" thickBot="1">
      <c r="A342" s="834" t="s">
        <v>1021</v>
      </c>
      <c r="B342" s="828" t="s">
        <v>1026</v>
      </c>
      <c r="C342" s="1061">
        <v>0.15</v>
      </c>
      <c r="D342" s="1061">
        <v>0.15</v>
      </c>
      <c r="E342" s="1061">
        <v>0.15</v>
      </c>
      <c r="F342" s="1062">
        <v>0.15</v>
      </c>
    </row>
    <row r="343" spans="1:6" ht="15" thickBot="1">
      <c r="A343" s="834" t="s">
        <v>1021</v>
      </c>
      <c r="B343" s="828" t="s">
        <v>1027</v>
      </c>
      <c r="C343" s="1061">
        <v>0.15</v>
      </c>
      <c r="D343" s="1061">
        <v>0.15</v>
      </c>
      <c r="E343" s="1061">
        <v>0.15</v>
      </c>
      <c r="F343" s="1062">
        <v>0.15</v>
      </c>
    </row>
    <row r="344" spans="1:6" ht="1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1372</v>
      </c>
      <c r="E1" s="1773" t="s">
        <v>1376</v>
      </c>
      <c r="F1" s="1774" t="s">
        <v>1380</v>
      </c>
    </row>
    <row r="2" spans="1:13" ht="19.8">
      <c r="A2" s="1780" t="s">
        <v>1373</v>
      </c>
    </row>
    <row r="3" spans="1:13" ht="15.6">
      <c r="A3" s="1781" t="s">
        <v>1374</v>
      </c>
    </row>
    <row r="4" spans="1:13">
      <c r="A4" s="1771" t="s">
        <v>1375</v>
      </c>
      <c r="B4" s="1776" t="s">
        <v>1377</v>
      </c>
      <c r="C4" s="1777"/>
      <c r="D4" s="1778"/>
      <c r="E4" s="1776" t="s">
        <v>27</v>
      </c>
      <c r="F4" s="1777"/>
      <c r="G4" s="1778"/>
      <c r="H4" s="1776" t="s">
        <v>1378</v>
      </c>
      <c r="I4" s="1777"/>
      <c r="J4" s="1778"/>
      <c r="K4" s="1776" t="s">
        <v>6</v>
      </c>
      <c r="L4" s="1777"/>
      <c r="M4" s="1778"/>
    </row>
    <row r="5" spans="1:13">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25" zoomScaleNormal="100" workbookViewId="0">
      <selection activeCell="F87" sqref="F87"/>
    </sheetView>
  </sheetViews>
  <sheetFormatPr defaultRowHeight="14.4"/>
  <cols>
    <col min="2" max="2" width="12.6640625" customWidth="1"/>
    <col min="3" max="3" width="10.44140625" bestFit="1" customWidth="1"/>
    <col min="6" max="7" width="9.4414062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F26" sqref="F26"/>
    </sheetView>
  </sheetViews>
  <sheetFormatPr defaultRowHeight="14.4"/>
  <cols>
    <col min="1" max="1" width="5.21875" customWidth="1"/>
    <col min="2" max="2" width="30.109375" customWidth="1"/>
    <col min="4" max="4" width="23.44140625" customWidth="1"/>
    <col min="7" max="7" width="8.88671875" style="2960"/>
  </cols>
  <sheetData>
    <row r="1" spans="1:10">
      <c r="A1" s="2972" t="s">
        <v>3122</v>
      </c>
      <c r="B1" s="2973" t="s">
        <v>3123</v>
      </c>
      <c r="C1" s="2974" t="s">
        <v>3124</v>
      </c>
      <c r="D1" s="2975" t="s">
        <v>3125</v>
      </c>
      <c r="E1" s="2974" t="s">
        <v>3126</v>
      </c>
      <c r="F1" s="2974" t="s">
        <v>3127</v>
      </c>
      <c r="G1" s="2974" t="s">
        <v>3128</v>
      </c>
      <c r="I1" s="2983" t="s">
        <v>3171</v>
      </c>
      <c r="J1" s="2983" t="s">
        <v>3171</v>
      </c>
    </row>
    <row r="2" spans="1:10">
      <c r="A2" s="2974">
        <v>7</v>
      </c>
      <c r="B2" s="2973" t="s">
        <v>3129</v>
      </c>
      <c r="C2" s="2977">
        <v>978</v>
      </c>
      <c r="D2" s="2980" t="s">
        <v>3130</v>
      </c>
      <c r="E2" s="2974">
        <v>6.6959999999999997</v>
      </c>
      <c r="F2" s="2974">
        <v>6.8970000000000002</v>
      </c>
      <c r="G2" s="2974">
        <v>30</v>
      </c>
      <c r="H2">
        <f>F2/E2</f>
        <v>1.0300179211469536</v>
      </c>
      <c r="I2">
        <f>E2*C2*365</f>
        <v>2390271.12</v>
      </c>
      <c r="J2">
        <f>F2*C2*365</f>
        <v>2462022.0900000003</v>
      </c>
    </row>
    <row r="3" spans="1:10">
      <c r="A3" s="2974">
        <v>9</v>
      </c>
      <c r="B3" s="2973" t="s">
        <v>3131</v>
      </c>
      <c r="C3" s="2979">
        <v>650</v>
      </c>
      <c r="D3" s="2981" t="s">
        <v>3132</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3133</v>
      </c>
      <c r="C4" s="2974">
        <v>680</v>
      </c>
      <c r="D4" s="2981" t="s">
        <v>3132</v>
      </c>
      <c r="E4" s="2974">
        <v>6.5</v>
      </c>
      <c r="F4" s="2974">
        <v>6.76</v>
      </c>
      <c r="G4" s="2974">
        <v>30</v>
      </c>
      <c r="H4">
        <f t="shared" si="0"/>
        <v>1.04</v>
      </c>
      <c r="I4">
        <f t="shared" si="1"/>
        <v>1613300</v>
      </c>
      <c r="J4">
        <f t="shared" si="2"/>
        <v>1677832</v>
      </c>
    </row>
    <row r="5" spans="1:10">
      <c r="A5" s="2974">
        <v>11</v>
      </c>
      <c r="B5" s="2973" t="s">
        <v>3134</v>
      </c>
      <c r="C5" s="2977">
        <v>100</v>
      </c>
      <c r="D5" s="2981" t="s">
        <v>3135</v>
      </c>
      <c r="E5" s="2977">
        <v>6.5</v>
      </c>
      <c r="F5" s="2974">
        <v>6.6959999999999997</v>
      </c>
      <c r="G5" s="2974">
        <v>30</v>
      </c>
      <c r="H5">
        <f t="shared" si="0"/>
        <v>1.0301538461538462</v>
      </c>
      <c r="I5">
        <f t="shared" si="1"/>
        <v>237250</v>
      </c>
      <c r="J5">
        <f t="shared" si="2"/>
        <v>244404</v>
      </c>
    </row>
    <row r="6" spans="1:10">
      <c r="A6" s="2974">
        <v>12</v>
      </c>
      <c r="B6" s="2973" t="s">
        <v>3136</v>
      </c>
      <c r="C6" s="2977">
        <v>743</v>
      </c>
      <c r="D6" s="2981" t="s">
        <v>3135</v>
      </c>
      <c r="E6" s="2977">
        <v>6.5</v>
      </c>
      <c r="F6" s="2974">
        <v>6.6959999999999997</v>
      </c>
      <c r="G6" s="2974">
        <v>30</v>
      </c>
      <c r="H6">
        <f t="shared" si="0"/>
        <v>1.0301538461538462</v>
      </c>
      <c r="I6">
        <f t="shared" si="1"/>
        <v>1762767.5</v>
      </c>
      <c r="J6">
        <f t="shared" si="2"/>
        <v>1815921.72</v>
      </c>
    </row>
    <row r="7" spans="1:10">
      <c r="A7" s="2974">
        <v>15</v>
      </c>
      <c r="B7" s="2973" t="s">
        <v>3137</v>
      </c>
      <c r="C7" s="2974">
        <v>90</v>
      </c>
      <c r="D7" s="2981" t="s">
        <v>3138</v>
      </c>
      <c r="E7" s="2974">
        <v>6.5</v>
      </c>
      <c r="F7" s="2974">
        <v>6.76</v>
      </c>
      <c r="G7" s="2974">
        <v>30</v>
      </c>
      <c r="H7">
        <f t="shared" si="0"/>
        <v>1.04</v>
      </c>
      <c r="I7">
        <f t="shared" si="1"/>
        <v>213525</v>
      </c>
      <c r="J7">
        <f t="shared" si="2"/>
        <v>222066</v>
      </c>
    </row>
    <row r="8" spans="1:10">
      <c r="A8" s="2974">
        <v>25</v>
      </c>
      <c r="B8" s="2973" t="s">
        <v>3139</v>
      </c>
      <c r="C8" s="2977">
        <v>16.73</v>
      </c>
      <c r="D8" s="2981" t="s">
        <v>3140</v>
      </c>
      <c r="E8" s="2977">
        <v>5.86</v>
      </c>
      <c r="F8" s="2977">
        <v>5.86</v>
      </c>
      <c r="G8" s="2974">
        <v>0</v>
      </c>
      <c r="H8">
        <f t="shared" si="0"/>
        <v>1</v>
      </c>
      <c r="I8">
        <f t="shared" si="1"/>
        <v>35783.796999999999</v>
      </c>
      <c r="J8">
        <f t="shared" si="2"/>
        <v>35783.796999999999</v>
      </c>
    </row>
    <row r="9" spans="1:10">
      <c r="A9" s="2974">
        <v>26</v>
      </c>
      <c r="B9" s="2973" t="s">
        <v>3141</v>
      </c>
      <c r="C9" s="2977">
        <v>65.709999999999994</v>
      </c>
      <c r="D9" s="2981" t="s">
        <v>3140</v>
      </c>
      <c r="E9" s="2977">
        <v>5.86</v>
      </c>
      <c r="F9" s="2977">
        <v>5.86</v>
      </c>
      <c r="G9" s="2974">
        <v>0</v>
      </c>
      <c r="H9">
        <f t="shared" si="0"/>
        <v>1</v>
      </c>
      <c r="I9">
        <f t="shared" si="1"/>
        <v>140547.11899999998</v>
      </c>
      <c r="J9">
        <f t="shared" si="2"/>
        <v>140547.11899999998</v>
      </c>
    </row>
    <row r="10" spans="1:10">
      <c r="A10" s="2974">
        <v>27</v>
      </c>
      <c r="B10" s="2973" t="s">
        <v>3142</v>
      </c>
      <c r="C10" s="2977">
        <v>246.13</v>
      </c>
      <c r="D10" s="2981" t="s">
        <v>3140</v>
      </c>
      <c r="E10" s="2977">
        <v>5.86</v>
      </c>
      <c r="F10" s="2977">
        <v>5.86</v>
      </c>
      <c r="G10" s="2974">
        <v>0</v>
      </c>
      <c r="H10">
        <f t="shared" si="0"/>
        <v>1</v>
      </c>
      <c r="I10">
        <f t="shared" si="1"/>
        <v>526447.45699999994</v>
      </c>
      <c r="J10">
        <f t="shared" si="2"/>
        <v>526447.45699999994</v>
      </c>
    </row>
    <row r="11" spans="1:10">
      <c r="A11" s="2974">
        <v>28</v>
      </c>
      <c r="B11" s="2973" t="s">
        <v>3143</v>
      </c>
      <c r="C11" s="2977">
        <v>326.3</v>
      </c>
      <c r="D11" s="2981" t="s">
        <v>3144</v>
      </c>
      <c r="E11" s="2977">
        <v>6.5</v>
      </c>
      <c r="F11" s="2974">
        <v>6.69</v>
      </c>
      <c r="G11" s="2974">
        <v>30</v>
      </c>
      <c r="H11">
        <f t="shared" si="0"/>
        <v>1.0292307692307694</v>
      </c>
      <c r="I11">
        <f t="shared" si="1"/>
        <v>774146.75000000012</v>
      </c>
      <c r="J11">
        <f t="shared" si="2"/>
        <v>796775.65500000003</v>
      </c>
    </row>
    <row r="12" spans="1:10">
      <c r="A12" s="2974">
        <v>36</v>
      </c>
      <c r="B12" s="2973" t="s">
        <v>3145</v>
      </c>
      <c r="C12" s="2977">
        <v>500</v>
      </c>
      <c r="D12" s="2978" t="s">
        <v>3146</v>
      </c>
      <c r="E12" s="2977">
        <v>6.12</v>
      </c>
      <c r="F12" s="2974">
        <v>6.24</v>
      </c>
      <c r="G12" s="2974">
        <v>0</v>
      </c>
      <c r="H12">
        <f t="shared" si="0"/>
        <v>1.0196078431372548</v>
      </c>
      <c r="I12">
        <f t="shared" si="1"/>
        <v>1116900</v>
      </c>
      <c r="J12">
        <f t="shared" si="2"/>
        <v>1138800</v>
      </c>
    </row>
    <row r="13" spans="1:10">
      <c r="A13" s="2974">
        <v>41</v>
      </c>
      <c r="B13" s="2976" t="s">
        <v>3147</v>
      </c>
      <c r="C13" s="2977">
        <v>590</v>
      </c>
      <c r="D13" s="2978" t="s">
        <v>3135</v>
      </c>
      <c r="E13" s="2977">
        <v>6.5</v>
      </c>
      <c r="F13" s="2977">
        <v>6.83</v>
      </c>
      <c r="G13" s="2974">
        <v>30</v>
      </c>
      <c r="H13">
        <f t="shared" si="0"/>
        <v>1.0507692307692307</v>
      </c>
      <c r="I13">
        <f t="shared" si="1"/>
        <v>1399775</v>
      </c>
      <c r="J13">
        <f t="shared" si="2"/>
        <v>1470840.5</v>
      </c>
    </row>
    <row r="14" spans="1:10">
      <c r="A14" s="2974">
        <v>43</v>
      </c>
      <c r="B14" s="2973" t="s">
        <v>3148</v>
      </c>
      <c r="C14" s="2977">
        <v>1200</v>
      </c>
      <c r="D14" s="2978" t="s">
        <v>3149</v>
      </c>
      <c r="E14" s="2977">
        <v>6.5</v>
      </c>
      <c r="F14" s="2974">
        <v>6.69</v>
      </c>
      <c r="G14" s="2974">
        <v>30</v>
      </c>
      <c r="H14">
        <f t="shared" si="0"/>
        <v>1.0292307692307694</v>
      </c>
      <c r="I14">
        <f t="shared" si="1"/>
        <v>2847000</v>
      </c>
      <c r="J14">
        <f t="shared" si="2"/>
        <v>2930220.0000000005</v>
      </c>
    </row>
    <row r="15" spans="1:10">
      <c r="A15" s="2974">
        <v>45</v>
      </c>
      <c r="B15" s="2973" t="s">
        <v>3150</v>
      </c>
      <c r="C15" s="2974">
        <v>1566</v>
      </c>
      <c r="D15" s="2982" t="s">
        <v>3151</v>
      </c>
      <c r="E15" s="2974">
        <v>6.76</v>
      </c>
      <c r="F15" s="2974">
        <v>7.03</v>
      </c>
      <c r="G15" s="2974">
        <v>40</v>
      </c>
      <c r="H15">
        <f t="shared" si="0"/>
        <v>1.039940828402367</v>
      </c>
      <c r="I15">
        <f t="shared" si="1"/>
        <v>3863948.4</v>
      </c>
      <c r="J15">
        <f t="shared" si="2"/>
        <v>4018277.6999999997</v>
      </c>
    </row>
    <row r="16" spans="1:10">
      <c r="A16" s="2974">
        <v>46</v>
      </c>
      <c r="B16" s="2973" t="s">
        <v>3152</v>
      </c>
      <c r="C16" s="2974">
        <v>150</v>
      </c>
      <c r="D16" s="2982" t="s">
        <v>3153</v>
      </c>
      <c r="E16" s="2974">
        <v>6.76</v>
      </c>
      <c r="F16" s="2974">
        <v>7.03</v>
      </c>
      <c r="G16" s="2974">
        <v>15</v>
      </c>
      <c r="H16">
        <f t="shared" si="0"/>
        <v>1.039940828402367</v>
      </c>
      <c r="I16">
        <f t="shared" si="1"/>
        <v>370110</v>
      </c>
      <c r="J16">
        <f t="shared" si="2"/>
        <v>384892.5</v>
      </c>
    </row>
    <row r="17" spans="1:10">
      <c r="A17" s="2974">
        <v>47</v>
      </c>
      <c r="B17" s="2973" t="s">
        <v>3154</v>
      </c>
      <c r="C17" s="2974">
        <v>90</v>
      </c>
      <c r="D17" s="2982" t="s">
        <v>3155</v>
      </c>
      <c r="E17" s="2974">
        <v>6.76</v>
      </c>
      <c r="F17" s="2974">
        <v>7.03</v>
      </c>
      <c r="G17" s="2974">
        <v>15</v>
      </c>
      <c r="H17">
        <f t="shared" si="0"/>
        <v>1.039940828402367</v>
      </c>
      <c r="I17">
        <f t="shared" si="1"/>
        <v>222066</v>
      </c>
      <c r="J17">
        <f t="shared" si="2"/>
        <v>230935.50000000003</v>
      </c>
    </row>
    <row r="18" spans="1:10">
      <c r="A18" s="2974">
        <v>48</v>
      </c>
      <c r="B18" s="2973" t="s">
        <v>3156</v>
      </c>
      <c r="C18" s="2977">
        <v>909</v>
      </c>
      <c r="D18" s="2978" t="s">
        <v>3157</v>
      </c>
      <c r="E18" s="2977">
        <v>5.94</v>
      </c>
      <c r="F18" s="2974">
        <v>6.05</v>
      </c>
      <c r="G18" s="2974">
        <v>15</v>
      </c>
      <c r="H18">
        <f t="shared" si="0"/>
        <v>1.0185185185185184</v>
      </c>
      <c r="I18">
        <f t="shared" si="1"/>
        <v>1970802.9</v>
      </c>
      <c r="J18">
        <f t="shared" si="2"/>
        <v>2007299.25</v>
      </c>
    </row>
    <row r="19" spans="1:10">
      <c r="A19" s="2974">
        <v>49</v>
      </c>
      <c r="B19" s="2973" t="s">
        <v>3158</v>
      </c>
      <c r="C19" s="2977">
        <v>76</v>
      </c>
      <c r="D19" s="2978" t="s">
        <v>3159</v>
      </c>
      <c r="E19" s="2977">
        <v>5.94</v>
      </c>
      <c r="F19" s="2974">
        <v>6.05</v>
      </c>
      <c r="G19" s="2974">
        <v>30</v>
      </c>
      <c r="H19">
        <f t="shared" si="0"/>
        <v>1.0185185185185184</v>
      </c>
      <c r="I19">
        <f t="shared" si="1"/>
        <v>164775.6</v>
      </c>
      <c r="J19">
        <f t="shared" si="2"/>
        <v>167827</v>
      </c>
    </row>
    <row r="20" spans="1:10">
      <c r="A20" s="2974">
        <v>50</v>
      </c>
      <c r="B20" s="2973" t="s">
        <v>3160</v>
      </c>
      <c r="C20" s="2977">
        <v>800</v>
      </c>
      <c r="D20" s="2978" t="s">
        <v>3161</v>
      </c>
      <c r="E20" s="2977">
        <v>6.5</v>
      </c>
      <c r="F20" s="2974">
        <v>6.83</v>
      </c>
      <c r="G20" s="2974">
        <v>30</v>
      </c>
      <c r="H20">
        <f t="shared" si="0"/>
        <v>1.0507692307692307</v>
      </c>
      <c r="I20">
        <f t="shared" si="1"/>
        <v>1898000</v>
      </c>
      <c r="J20">
        <f t="shared" si="2"/>
        <v>1994360</v>
      </c>
    </row>
    <row r="21" spans="1:10">
      <c r="A21" s="2974">
        <v>51</v>
      </c>
      <c r="B21" s="2973" t="s">
        <v>3162</v>
      </c>
      <c r="C21" s="2977">
        <v>3533</v>
      </c>
      <c r="D21" s="2978" t="s">
        <v>3135</v>
      </c>
      <c r="E21" s="2977">
        <v>6.5</v>
      </c>
      <c r="F21" s="2974">
        <v>6.69</v>
      </c>
      <c r="G21" s="2974">
        <v>30</v>
      </c>
      <c r="H21">
        <f t="shared" si="0"/>
        <v>1.0292307692307694</v>
      </c>
      <c r="I21">
        <f t="shared" si="1"/>
        <v>8382042.5</v>
      </c>
      <c r="J21">
        <f t="shared" si="2"/>
        <v>8627056.0500000007</v>
      </c>
    </row>
    <row r="22" spans="1:10">
      <c r="A22" s="2974">
        <v>52</v>
      </c>
      <c r="B22" s="2973" t="s">
        <v>3162</v>
      </c>
      <c r="C22" s="2977">
        <v>1650</v>
      </c>
      <c r="D22" s="2978" t="s">
        <v>3135</v>
      </c>
      <c r="E22" s="2977">
        <v>6.5</v>
      </c>
      <c r="F22" s="2974">
        <v>6.69</v>
      </c>
      <c r="G22" s="2974">
        <v>30</v>
      </c>
      <c r="H22">
        <f t="shared" si="0"/>
        <v>1.0292307692307694</v>
      </c>
      <c r="I22">
        <f t="shared" si="1"/>
        <v>3914625</v>
      </c>
      <c r="J22">
        <f t="shared" si="2"/>
        <v>4029052.5</v>
      </c>
    </row>
    <row r="23" spans="1:10">
      <c r="A23" s="2974">
        <v>53</v>
      </c>
      <c r="B23" s="2973" t="s">
        <v>3163</v>
      </c>
      <c r="C23" s="2977">
        <v>1015</v>
      </c>
      <c r="D23" s="2978" t="s">
        <v>3164</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1641</v>
      </c>
      <c r="B2" s="3044" t="s">
        <v>1642</v>
      </c>
      <c r="C2" s="3044" t="s">
        <v>1643</v>
      </c>
      <c r="D2" s="3044" t="str">
        <f>结果表!D116</f>
        <v>出让国有建设用地使用权价值</v>
      </c>
      <c r="E2" s="3044"/>
      <c r="F2" s="3044" t="str">
        <f>结果表!F116</f>
        <v>建筑物价值</v>
      </c>
      <c r="G2" s="3044"/>
      <c r="H2" s="3044" t="str">
        <f>IF(项目基本情况!B9="房地产市场价值","房地产市场价值","房地产价值")</f>
        <v>房地产价值</v>
      </c>
      <c r="I2" s="3044"/>
    </row>
    <row r="3" spans="1:9" ht="15.6">
      <c r="A3" s="3038"/>
      <c r="B3" s="3038"/>
      <c r="C3" s="3038"/>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119847</v>
      </c>
      <c r="E4" s="1041">
        <f ca="1">结果表!E118</f>
        <v>15808</v>
      </c>
      <c r="F4" s="1041">
        <f ca="1">结果表!F118</f>
        <v>65510</v>
      </c>
      <c r="G4" s="1041">
        <f ca="1">结果表!G118</f>
        <v>8641</v>
      </c>
      <c r="H4" s="1041">
        <f ca="1">结果表!H118</f>
        <v>185357</v>
      </c>
      <c r="I4" s="1041">
        <f ca="1">结果表!I118</f>
        <v>24448</v>
      </c>
    </row>
    <row r="5" spans="1:9" ht="30" customHeight="1">
      <c r="A5" s="3038" t="s">
        <v>1640</v>
      </c>
      <c r="B5" s="3038"/>
      <c r="C5" s="3038"/>
      <c r="D5" s="3039" t="str">
        <f ca="1">结果表!D119</f>
        <v>壹拾壹亿玖仟捌佰肆拾柒万元整</v>
      </c>
      <c r="E5" s="3039"/>
      <c r="F5" s="3039" t="str">
        <f ca="1">结果表!F119</f>
        <v>陆亿伍仟伍佰壹拾万元整</v>
      </c>
      <c r="G5" s="3039"/>
      <c r="H5" s="3039" t="str">
        <f ca="1">结果表!H119</f>
        <v>壹拾捌亿伍仟叁佰伍拾柒万元整</v>
      </c>
      <c r="I5" s="3039"/>
    </row>
    <row r="6" spans="1:9" ht="15.6">
      <c r="A6" s="3037" t="str">
        <f>结果表!A120</f>
        <v>估价师知悉的法定优先受偿款</v>
      </c>
      <c r="B6" s="3037"/>
      <c r="C6" s="3037"/>
      <c r="D6" s="3037">
        <f>结果表!D120</f>
        <v>0</v>
      </c>
      <c r="E6" s="3037"/>
      <c r="F6" s="3037"/>
      <c r="G6" s="3037"/>
      <c r="H6" s="3037"/>
      <c r="I6" s="3037"/>
    </row>
    <row r="7" spans="1:9" ht="15">
      <c r="A7" s="3038" t="s">
        <v>1640</v>
      </c>
      <c r="B7" s="3038"/>
      <c r="C7" s="3038"/>
      <c r="D7" s="3040" t="str">
        <f>结果表!D121</f>
        <v>零元整</v>
      </c>
      <c r="E7" s="3041"/>
      <c r="F7" s="3041"/>
      <c r="G7" s="3041"/>
      <c r="H7" s="3041"/>
      <c r="I7" s="3042"/>
    </row>
    <row r="8" spans="1:9" ht="15.6">
      <c r="A8" s="3037" t="str">
        <f>结果表!A122</f>
        <v/>
      </c>
      <c r="B8" s="3037"/>
      <c r="C8" s="3037"/>
      <c r="D8" s="3037" t="str">
        <f>结果表!D122</f>
        <v>——</v>
      </c>
      <c r="E8" s="3037"/>
      <c r="F8" s="3037"/>
      <c r="G8" s="3037"/>
      <c r="H8" s="3037"/>
      <c r="I8" s="3037"/>
    </row>
    <row r="9" spans="1:9" ht="15">
      <c r="A9" s="3038" t="s">
        <v>1640</v>
      </c>
      <c r="B9" s="3038"/>
      <c r="C9" s="3038"/>
      <c r="D9" s="3039" t="e">
        <f>结果表!D123</f>
        <v>#VALUE!</v>
      </c>
      <c r="E9" s="3039"/>
      <c r="F9" s="3039"/>
      <c r="G9" s="3039"/>
      <c r="H9" s="3039"/>
      <c r="I9" s="3039"/>
    </row>
    <row r="10" spans="1:9" ht="15.6">
      <c r="A10" s="3037" t="str">
        <f>结果表!A124</f>
        <v>抵押担保权已注销时的房地产抵押价值</v>
      </c>
      <c r="B10" s="3037"/>
      <c r="C10" s="3037"/>
      <c r="D10" s="3037">
        <f ca="1">结果表!D124</f>
        <v>185357</v>
      </c>
      <c r="E10" s="3037"/>
      <c r="F10" s="3037"/>
      <c r="G10" s="3037"/>
      <c r="H10" s="3037"/>
      <c r="I10" s="3037"/>
    </row>
    <row r="11" spans="1:9" ht="15">
      <c r="A11" s="3038" t="s">
        <v>1640</v>
      </c>
      <c r="B11" s="3038"/>
      <c r="C11" s="3038"/>
      <c r="D11" s="3039" t="str">
        <f ca="1">结果表!D125</f>
        <v>壹拾捌亿伍仟叁佰伍拾柒万元整</v>
      </c>
      <c r="E11" s="3039"/>
      <c r="F11" s="3039"/>
      <c r="G11" s="3039"/>
      <c r="H11" s="3039"/>
      <c r="I11" s="3039"/>
    </row>
    <row r="12" spans="1:9" ht="15.6">
      <c r="A12" s="3037" t="str">
        <f>结果表!A126</f>
        <v>抵押净值</v>
      </c>
      <c r="B12" s="3037"/>
      <c r="C12" s="3037"/>
      <c r="D12" s="3037">
        <f ca="1">结果表!D126</f>
        <v>169618</v>
      </c>
      <c r="E12" s="3037"/>
      <c r="F12" s="3037"/>
      <c r="G12" s="3037"/>
      <c r="H12" s="3037"/>
      <c r="I12" s="3037"/>
    </row>
    <row r="13" spans="1:9" ht="15.6" thickBot="1">
      <c r="A13" s="3034" t="s">
        <v>1640</v>
      </c>
      <c r="B13" s="3034"/>
      <c r="C13" s="3034"/>
      <c r="D13" s="3035" t="str">
        <f ca="1">结果表!D127</f>
        <v>壹拾陆亿玖仟陆佰壹拾捌万元整</v>
      </c>
      <c r="E13" s="3035"/>
      <c r="F13" s="3035"/>
      <c r="G13" s="3035"/>
      <c r="H13" s="3035"/>
      <c r="I13" s="3035"/>
    </row>
    <row r="14" spans="1:9" ht="14.4" thickTop="1">
      <c r="A14" s="3036" t="s">
        <v>1645</v>
      </c>
      <c r="B14" s="3036"/>
      <c r="C14" s="3036"/>
      <c r="D14" s="3036"/>
      <c r="E14" s="3036"/>
      <c r="F14" s="3036"/>
      <c r="G14" s="3036"/>
      <c r="H14" s="3036"/>
      <c r="I14" s="3036"/>
    </row>
    <row r="16" spans="1:9" ht="17.399999999999999">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51" t="s">
        <v>1662</v>
      </c>
      <c r="B1" s="3051"/>
      <c r="C1" s="3051"/>
      <c r="D1" s="3051"/>
    </row>
    <row r="2" spans="1:4" ht="17.399999999999999">
      <c r="A2" s="3052" t="s">
        <v>1646</v>
      </c>
      <c r="B2" s="3052"/>
      <c r="C2" s="3052"/>
      <c r="D2" s="3052"/>
    </row>
    <row r="3" spans="1:4" ht="17.399999999999999">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7.399999999999999">
      <c r="A6" s="3052" t="s">
        <v>1652</v>
      </c>
      <c r="B6" s="3052"/>
      <c r="C6" s="3052"/>
      <c r="D6" s="3052"/>
    </row>
    <row r="7" spans="1:4" ht="17.399999999999999">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7.399999999999999">
      <c r="A10" s="1981" t="s">
        <v>1654</v>
      </c>
      <c r="B10" s="728"/>
      <c r="C10" s="728"/>
      <c r="D10" s="728"/>
    </row>
    <row r="11" spans="1:4" ht="30" customHeight="1">
      <c r="A11" s="3053" t="s">
        <v>1655</v>
      </c>
      <c r="B11" s="3045"/>
      <c r="C11" s="3045"/>
      <c r="D11" s="3045"/>
    </row>
    <row r="12" spans="1:4" ht="15.6">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（1）根据估价对象《房屋所有权证》原件、《国有土地使用权》复印件，截至价值时点，估价对象抵押权未见登记。</v>
      </c>
      <c r="B15" s="3045"/>
      <c r="C15" s="3045"/>
      <c r="D15" s="3045"/>
    </row>
    <row r="16" spans="1:4" ht="30" customHeight="1">
      <c r="A16" s="3047" t="s">
        <v>1656</v>
      </c>
      <c r="B16" s="3047"/>
      <c r="C16" s="3047"/>
      <c r="D16" s="3047"/>
    </row>
    <row r="17" spans="1:4" ht="144" customHeight="1">
      <c r="A17" s="3047" t="s">
        <v>1657</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82"/>
      <c r="B23" s="1954"/>
      <c r="C23" s="1954"/>
      <c r="D23" s="1954"/>
    </row>
    <row r="24" spans="1:4">
      <c r="A24" s="1982"/>
      <c r="B24" s="1954"/>
      <c r="C24" s="1954"/>
      <c r="D24" s="1954"/>
    </row>
    <row r="25" spans="1:4" ht="17.399999999999999">
      <c r="A25" s="1983" t="s">
        <v>1659</v>
      </c>
    </row>
    <row r="26" spans="1:4" ht="17.399999999999999">
      <c r="A26" s="1952"/>
    </row>
    <row r="27" spans="1:4" ht="17.399999999999999">
      <c r="A27" s="1952" t="s">
        <v>1660</v>
      </c>
    </row>
    <row r="30" spans="1:4" ht="17.399999999999999">
      <c r="D30" s="1983" t="s">
        <v>1661</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0" customWidth="1"/>
    <col min="2" max="16384" width="14.44140625" style="1972"/>
  </cols>
  <sheetData>
    <row r="1" spans="1:7" s="1987" customFormat="1" ht="17.399999999999999">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4.4">
      <c r="A15" s="3059" t="s">
        <v>1669</v>
      </c>
      <c r="B15" s="3054" t="s">
        <v>136</v>
      </c>
      <c r="C15" s="3055"/>
    </row>
    <row r="16" spans="1:7" ht="14.4">
      <c r="A16" s="3060"/>
      <c r="B16" s="3054" t="s">
        <v>69</v>
      </c>
      <c r="C16" s="3055"/>
    </row>
    <row r="17" spans="1:3" ht="14.4">
      <c r="A17" s="3060"/>
      <c r="B17" s="3057" t="s">
        <v>1670</v>
      </c>
      <c r="C17" s="1997" t="s">
        <v>1669</v>
      </c>
    </row>
    <row r="18" spans="1:3" ht="14.4">
      <c r="A18" s="3060"/>
      <c r="B18" s="3057"/>
      <c r="C18" s="1997" t="s">
        <v>1671</v>
      </c>
    </row>
    <row r="19" spans="1:3" ht="14.4">
      <c r="A19" s="3060"/>
      <c r="B19" s="3057"/>
      <c r="C19" s="1997" t="s">
        <v>1672</v>
      </c>
    </row>
    <row r="20" spans="1:3" ht="14.4">
      <c r="A20" s="3061"/>
      <c r="B20" s="3056" t="s">
        <v>1673</v>
      </c>
      <c r="C20" s="3055"/>
    </row>
    <row r="21" spans="1:3" ht="14.4">
      <c r="A21" s="1998" t="s">
        <v>1674</v>
      </c>
      <c r="B21" s="1999"/>
      <c r="C21" s="2000"/>
    </row>
    <row r="22" spans="1:3" ht="14.4">
      <c r="A22" s="3058" t="s">
        <v>1675</v>
      </c>
      <c r="B22" s="3056" t="s">
        <v>1676</v>
      </c>
      <c r="C22" s="3055"/>
    </row>
    <row r="23" spans="1:3" ht="14.4">
      <c r="A23" s="3058"/>
      <c r="B23" s="3056" t="s">
        <v>1677</v>
      </c>
      <c r="C23" s="3055"/>
    </row>
    <row r="24" spans="1:3" ht="14.4">
      <c r="A24" s="3058"/>
      <c r="B24" s="3056" t="s">
        <v>1678</v>
      </c>
      <c r="C24" s="3055"/>
    </row>
    <row r="25" spans="1:3" ht="14.4">
      <c r="A25" s="3058"/>
      <c r="B25" s="3057" t="s">
        <v>1679</v>
      </c>
      <c r="C25" s="1997" t="s">
        <v>1680</v>
      </c>
    </row>
    <row r="26" spans="1:3" ht="14.4">
      <c r="A26" s="3058"/>
      <c r="B26" s="3057"/>
      <c r="C26" s="1997" t="s">
        <v>1681</v>
      </c>
    </row>
    <row r="27" spans="1:3" ht="14.4">
      <c r="A27" s="3058"/>
      <c r="B27" s="3057"/>
      <c r="C27" s="1997" t="s">
        <v>1682</v>
      </c>
    </row>
    <row r="28" spans="1:3" ht="14.4">
      <c r="A28" s="3058"/>
      <c r="B28" s="3057"/>
      <c r="C28" s="1997" t="s">
        <v>1683</v>
      </c>
    </row>
    <row r="29" spans="1:3" ht="14.4">
      <c r="A29" s="3058"/>
      <c r="B29" s="3057"/>
      <c r="C29" s="1997" t="s">
        <v>1684</v>
      </c>
    </row>
    <row r="30" spans="1:3" ht="14.4">
      <c r="A30" s="3058"/>
      <c r="B30" s="3057"/>
      <c r="C30" s="1997" t="s">
        <v>1685</v>
      </c>
    </row>
    <row r="31" spans="1:3" ht="14.4">
      <c r="A31" s="3058"/>
      <c r="B31" s="3057"/>
      <c r="C31" s="1997" t="s">
        <v>1686</v>
      </c>
    </row>
    <row r="32" spans="1:3" ht="14.4">
      <c r="A32" s="3058"/>
      <c r="B32" s="3057"/>
      <c r="C32" s="1997" t="s">
        <v>1687</v>
      </c>
    </row>
    <row r="33" spans="1:3" ht="14.4">
      <c r="A33" s="3058"/>
      <c r="B33" s="3057"/>
      <c r="C33" s="1997" t="s">
        <v>1688</v>
      </c>
    </row>
    <row r="34" spans="1:3">
      <c r="A34" s="2001" t="s">
        <v>76</v>
      </c>
    </row>
    <row r="37" spans="1:3">
      <c r="A37" s="2001" t="s">
        <v>1689</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43609</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62" t="s">
        <v>846</v>
      </c>
      <c r="B25" s="3062"/>
      <c r="C25" s="3062"/>
      <c r="D25" s="3062"/>
      <c r="E25" s="3062"/>
      <c r="F25" s="3062"/>
      <c r="G25" s="3062"/>
    </row>
    <row r="26" spans="1:7" s="1022" customFormat="1" ht="24" customHeight="1">
      <c r="A26" s="3063" t="s">
        <v>847</v>
      </c>
      <c r="B26" s="3063"/>
      <c r="C26" s="3064"/>
      <c r="D26" s="3065" t="s">
        <v>848</v>
      </c>
      <c r="E26" s="3063"/>
      <c r="F26" s="3063"/>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6">
      <formula>AND($C28-TODAY()&lt;30,TODAY()&lt;$C28)</formula>
    </cfRule>
  </conditionalFormatting>
  <conditionalFormatting sqref="C28 F4">
    <cfRule type="cellIs" dxfId="210" priority="68" stopIfTrue="1" operator="lessThan">
      <formula>$B$2</formula>
    </cfRule>
  </conditionalFormatting>
  <conditionalFormatting sqref="C5">
    <cfRule type="expression" dxfId="209" priority="63">
      <formula>AND($C5-TODAY()&lt;30,TODAY()&lt;$C5)</formula>
    </cfRule>
  </conditionalFormatting>
  <conditionalFormatting sqref="C5 F5">
    <cfRule type="cellIs" dxfId="208" priority="64" stopIfTrue="1" operator="lessThan">
      <formula>$B$2</formula>
    </cfRule>
  </conditionalFormatting>
  <conditionalFormatting sqref="F6 F8 F10">
    <cfRule type="cellIs" dxfId="207" priority="62" stopIfTrue="1" operator="lessThan">
      <formula>$B$2</formula>
    </cfRule>
  </conditionalFormatting>
  <conditionalFormatting sqref="C4:C11 C13:C21 C23">
    <cfRule type="expression" dxfId="206" priority="60">
      <formula>AND($C4-TODAY()&lt;30,TODAY()&lt;$C4)</formula>
    </cfRule>
  </conditionalFormatting>
  <conditionalFormatting sqref="F7 F9 F11 C4:C11 C13:C21 C23">
    <cfRule type="cellIs" dxfId="205" priority="61" stopIfTrue="1" operator="lessThan">
      <formula>$B$2</formula>
    </cfRule>
  </conditionalFormatting>
  <conditionalFormatting sqref="C14">
    <cfRule type="expression" dxfId="204" priority="54">
      <formula>AND($C14-TODAY()&lt;30,TODAY()&lt;$C14)</formula>
    </cfRule>
  </conditionalFormatting>
  <conditionalFormatting sqref="C14">
    <cfRule type="cellIs" dxfId="203" priority="55" stopIfTrue="1" operator="lessThan">
      <formula>$B$2</formula>
    </cfRule>
  </conditionalFormatting>
  <conditionalFormatting sqref="C16">
    <cfRule type="expression" dxfId="202" priority="52">
      <formula>AND($C16-TODAY()&lt;30,TODAY()&lt;$C16)</formula>
    </cfRule>
  </conditionalFormatting>
  <conditionalFormatting sqref="C16">
    <cfRule type="cellIs" dxfId="201" priority="53" stopIfTrue="1" operator="lessThan">
      <formula>$B$2</formula>
    </cfRule>
  </conditionalFormatting>
  <conditionalFormatting sqref="C18">
    <cfRule type="expression" dxfId="200" priority="50">
      <formula>AND($C18-TODAY()&lt;30,TODAY()&lt;$C18)</formula>
    </cfRule>
  </conditionalFormatting>
  <conditionalFormatting sqref="C18">
    <cfRule type="cellIs" dxfId="199" priority="51" stopIfTrue="1" operator="lessThan">
      <formula>$B$2</formula>
    </cfRule>
  </conditionalFormatting>
  <conditionalFormatting sqref="C20">
    <cfRule type="expression" dxfId="198" priority="48">
      <formula>AND($C20-TODAY()&lt;30,TODAY()&lt;$C20)</formula>
    </cfRule>
  </conditionalFormatting>
  <conditionalFormatting sqref="C20">
    <cfRule type="cellIs" dxfId="197" priority="49" stopIfTrue="1" operator="lessThan">
      <formula>$B$2</formula>
    </cfRule>
  </conditionalFormatting>
  <conditionalFormatting sqref="C15">
    <cfRule type="expression" dxfId="196" priority="44">
      <formula>AND($C15-TODAY()&lt;30,TODAY()&lt;$C15)</formula>
    </cfRule>
  </conditionalFormatting>
  <conditionalFormatting sqref="C15">
    <cfRule type="cellIs" dxfId="195" priority="45" stopIfTrue="1" operator="lessThan">
      <formula>$B$2</formula>
    </cfRule>
  </conditionalFormatting>
  <conditionalFormatting sqref="C17">
    <cfRule type="expression" dxfId="194" priority="42">
      <formula>AND($C17-TODAY()&lt;30,TODAY()&lt;$C17)</formula>
    </cfRule>
  </conditionalFormatting>
  <conditionalFormatting sqref="C17">
    <cfRule type="cellIs" dxfId="193" priority="43" stopIfTrue="1" operator="lessThan">
      <formula>$B$2</formula>
    </cfRule>
  </conditionalFormatting>
  <conditionalFormatting sqref="C19">
    <cfRule type="expression" dxfId="192" priority="40">
      <formula>AND($C19-TODAY()&lt;30,TODAY()&lt;$C19)</formula>
    </cfRule>
  </conditionalFormatting>
  <conditionalFormatting sqref="C19">
    <cfRule type="cellIs" dxfId="191" priority="41" stopIfTrue="1" operator="lessThan">
      <formula>$B$2</formula>
    </cfRule>
  </conditionalFormatting>
  <conditionalFormatting sqref="C21">
    <cfRule type="expression" dxfId="190" priority="38">
      <formula>AND($C21-TODAY()&lt;30,TODAY()&lt;$C21)</formula>
    </cfRule>
  </conditionalFormatting>
  <conditionalFormatting sqref="C21">
    <cfRule type="cellIs" dxfId="189" priority="39" stopIfTrue="1" operator="lessThan">
      <formula>$B$2</formula>
    </cfRule>
  </conditionalFormatting>
  <conditionalFormatting sqref="C23">
    <cfRule type="expression" dxfId="188" priority="36">
      <formula>AND($C23-TODAY()&lt;30,TODAY()&lt;$C23)</formula>
    </cfRule>
  </conditionalFormatting>
  <conditionalFormatting sqref="C23">
    <cfRule type="cellIs" dxfId="187" priority="37" stopIfTrue="1" operator="lessThan">
      <formula>$B$2</formula>
    </cfRule>
  </conditionalFormatting>
  <conditionalFormatting sqref="F16">
    <cfRule type="cellIs" dxfId="186" priority="34" stopIfTrue="1" operator="lessThan">
      <formula>$B$2</formula>
    </cfRule>
  </conditionalFormatting>
  <conditionalFormatting sqref="F18">
    <cfRule type="cellIs" dxfId="185" priority="33" stopIfTrue="1" operator="lessThan">
      <formula>$B$2</formula>
    </cfRule>
  </conditionalFormatting>
  <conditionalFormatting sqref="F22">
    <cfRule type="cellIs" dxfId="184" priority="32" stopIfTrue="1" operator="lessThan">
      <formula>$B$2</formula>
    </cfRule>
  </conditionalFormatting>
  <conditionalFormatting sqref="F21">
    <cfRule type="cellIs" dxfId="183" priority="31" stopIfTrue="1" operator="lessThan">
      <formula>$B$2</formula>
    </cfRule>
  </conditionalFormatting>
  <conditionalFormatting sqref="F17">
    <cfRule type="cellIs" dxfId="182" priority="30" stopIfTrue="1" operator="lessThan">
      <formula>$B$2</formula>
    </cfRule>
  </conditionalFormatting>
  <conditionalFormatting sqref="B4:B11 E4:E11 B16:B23 E16:E23 B13:B14 E13:E14">
    <cfRule type="cellIs" dxfId="181" priority="29" stopIfTrue="1" operator="equal">
      <formula>"已过期"</formula>
    </cfRule>
  </conditionalFormatting>
  <conditionalFormatting sqref="A24:F24">
    <cfRule type="cellIs" dxfId="180" priority="25" stopIfTrue="1" operator="equal">
      <formula>"已过期"</formula>
    </cfRule>
  </conditionalFormatting>
  <conditionalFormatting sqref="F28">
    <cfRule type="expression" dxfId="179" priority="23">
      <formula>AND($E28-TODAY()&lt;30,TODAY()&lt;$E28)</formula>
    </cfRule>
  </conditionalFormatting>
  <conditionalFormatting sqref="F28">
    <cfRule type="cellIs" dxfId="178" priority="24" stopIfTrue="1" operator="lessThan">
      <formula>$B$2</formula>
    </cfRule>
  </conditionalFormatting>
  <conditionalFormatting sqref="F29">
    <cfRule type="expression" dxfId="177" priority="19" stopIfTrue="1">
      <formula>AND($E29-TODAY()&lt;30,TODAY()&lt;$E29)</formula>
    </cfRule>
  </conditionalFormatting>
  <conditionalFormatting sqref="F29">
    <cfRule type="cellIs" dxfId="176" priority="20" stopIfTrue="1" operator="lessThan">
      <formula>$B$2</formula>
    </cfRule>
  </conditionalFormatting>
  <conditionalFormatting sqref="B15">
    <cfRule type="cellIs" dxfId="175" priority="17" stopIfTrue="1" operator="equal">
      <formula>"已过期"</formula>
    </cfRule>
  </conditionalFormatting>
  <conditionalFormatting sqref="A15">
    <cfRule type="cellIs" dxfId="174" priority="16" stopIfTrue="1" operator="equal">
      <formula>"已过期"</formula>
    </cfRule>
  </conditionalFormatting>
  <conditionalFormatting sqref="C15">
    <cfRule type="expression" dxfId="173" priority="15">
      <formula>AND($C15-TODAY()&lt;30,TODAY()&lt;$C15)</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3">
    <cfRule type="cellIs" dxfId="170" priority="12" stopIfTrue="1" operator="lessThan">
      <formula>$B$2</formula>
    </cfRule>
  </conditionalFormatting>
  <conditionalFormatting sqref="C12">
    <cfRule type="expression" dxfId="169" priority="10">
      <formula>AND($C12-TODAY()&lt;30,TODAY()&lt;$C12)</formula>
    </cfRule>
  </conditionalFormatting>
  <conditionalFormatting sqref="C12">
    <cfRule type="cellIs" dxfId="168" priority="11" stopIfTrue="1" operator="lessThan">
      <formula>$B$2</formula>
    </cfRule>
  </conditionalFormatting>
  <conditionalFormatting sqref="C12">
    <cfRule type="expression" dxfId="167" priority="8">
      <formula>AND($C12-TODAY()&lt;30,TODAY()&lt;$C12)</formula>
    </cfRule>
  </conditionalFormatting>
  <conditionalFormatting sqref="C12">
    <cfRule type="cellIs" dxfId="166" priority="9" stopIfTrue="1" operator="lessThan">
      <formula>$B$2</formula>
    </cfRule>
  </conditionalFormatting>
  <conditionalFormatting sqref="B12">
    <cfRule type="cellIs" dxfId="165" priority="7" stopIfTrue="1" operator="equal">
      <formula>"已过期"</formula>
    </cfRule>
  </conditionalFormatting>
  <conditionalFormatting sqref="E12">
    <cfRule type="cellIs" dxfId="164" priority="6" stopIfTrue="1" operator="equal">
      <formula>"已过期"</formula>
    </cfRule>
  </conditionalFormatting>
  <conditionalFormatting sqref="F12">
    <cfRule type="cellIs" dxfId="163" priority="5" stopIfTrue="1" operator="lessThan">
      <formula>$B$2</formula>
    </cfRule>
  </conditionalFormatting>
  <conditionalFormatting sqref="C22">
    <cfRule type="expression" dxfId="162" priority="3">
      <formula>AND($C22-TODAY()&lt;30,TODAY()&lt;$C22)</formula>
    </cfRule>
  </conditionalFormatting>
  <conditionalFormatting sqref="C22">
    <cfRule type="cellIs" dxfId="161" priority="4" stopIfTrue="1" operator="lessThan">
      <formula>$B$2</formula>
    </cfRule>
  </conditionalFormatting>
  <conditionalFormatting sqref="C22">
    <cfRule type="expression" dxfId="160" priority="1">
      <formula>AND($C22-TODAY()&lt;30,TODAY()&lt;$C22)</formula>
    </cfRule>
  </conditionalFormatting>
  <conditionalFormatting sqref="C22">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2019-05-24T01:19:45Z</dcterms:modified>
</cp:coreProperties>
</file>