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套\2025-1-0861北京市昌平区西环路44号院6号楼6层4单元412\"/>
    </mc:Choice>
  </mc:AlternateContent>
  <bookViews>
    <workbookView xWindow="14076" yWindow="96" windowWidth="14652" windowHeight="13176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C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C10" i="63" s="1"/>
  <c r="H7" i="39"/>
  <c r="AB7" i="39" s="1"/>
  <c r="T47" i="39" s="1"/>
  <c r="G47" i="39" s="1"/>
  <c r="G51" i="39" s="1"/>
  <c r="H51" i="39" s="1"/>
  <c r="F7" i="39"/>
  <c r="S7" i="39" s="1"/>
  <c r="B7" i="64"/>
  <c r="E14" i="64" s="1"/>
  <c r="B5" i="64"/>
  <c r="C25" i="64" s="1"/>
  <c r="B10" i="64"/>
  <c r="D28" i="64" s="1"/>
  <c r="B9" i="64"/>
  <c r="D29" i="64" s="1"/>
  <c r="D14" i="64"/>
  <c r="E20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N6" i="43" s="1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9" i="44"/>
  <c r="H7" i="44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M10" i="43"/>
  <c r="M8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M12" i="43"/>
  <c r="H14" i="44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H13" i="44"/>
  <c r="M9" i="43"/>
  <c r="N3" i="43"/>
  <c r="F48" i="43" s="1"/>
  <c r="H15" i="44"/>
  <c r="M2" i="43"/>
  <c r="M7" i="43"/>
  <c r="N2" i="43"/>
  <c r="H12" i="44"/>
  <c r="F114" i="43"/>
  <c r="A12" i="43"/>
  <c r="F59" i="43"/>
  <c r="H62" i="43" s="1"/>
  <c r="F19" i="43"/>
  <c r="AA7" i="39"/>
  <c r="R47" i="39" s="1"/>
  <c r="E47" i="39" s="1"/>
  <c r="J7" i="39"/>
  <c r="AC7" i="39" s="1"/>
  <c r="F17" i="59"/>
  <c r="F12" i="59" s="1"/>
  <c r="H16" i="63"/>
  <c r="I3" i="63"/>
  <c r="H8" i="65"/>
  <c r="G6" i="65"/>
  <c r="H4" i="65"/>
  <c r="H7" i="65"/>
  <c r="H6" i="65"/>
  <c r="G8" i="65"/>
  <c r="G7" i="65"/>
  <c r="G4" i="65"/>
  <c r="G5" i="65"/>
  <c r="H5" i="65"/>
  <c r="M5" i="43" l="1"/>
  <c r="M3" i="43"/>
  <c r="M1" i="43"/>
  <c r="H8" i="44"/>
  <c r="N1" i="43"/>
  <c r="N9" i="43"/>
  <c r="N8" i="43"/>
  <c r="H5" i="44"/>
  <c r="N10" i="43"/>
  <c r="N7" i="43"/>
  <c r="N5" i="43"/>
  <c r="N12" i="43"/>
  <c r="N11" i="43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C11" i="63" s="1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F33" i="59"/>
  <c r="B17" i="9" s="1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3"/>
  <c r="I3" i="65"/>
  <c r="E4" i="65"/>
  <c r="D7" i="65"/>
  <c r="D4" i="65"/>
  <c r="E6" i="65"/>
  <c r="D8" i="65"/>
  <c r="E5" i="65"/>
  <c r="E8" i="65"/>
  <c r="D5" i="65"/>
  <c r="E7" i="65"/>
  <c r="D6" i="65"/>
  <c r="AC9" i="39" l="1"/>
  <c r="W9" i="39"/>
  <c r="H70" i="43"/>
  <c r="I51" i="39"/>
  <c r="J51" i="39" s="1"/>
  <c r="G52" i="39"/>
  <c r="H52" i="39" s="1"/>
  <c r="I52" i="39"/>
  <c r="J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F13" i="63"/>
  <c r="H12" i="63"/>
  <c r="E12" i="63"/>
  <c r="G13" i="63"/>
  <c r="B80" i="63"/>
  <c r="C21" i="63"/>
  <c r="E21" i="63" s="1"/>
  <c r="H13" i="63"/>
  <c r="G12" i="63"/>
  <c r="E13" i="63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D5" i="43"/>
  <c r="E8" i="67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C19" i="63"/>
  <c r="E19" i="63" s="1"/>
  <c r="C18" i="63"/>
  <c r="E20" i="43"/>
  <c r="G1" i="65"/>
  <c r="G2" i="65"/>
  <c r="G3" i="65"/>
  <c r="D22" i="43" l="1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D13" i="63"/>
  <c r="T50" i="67"/>
  <c r="D50" i="67"/>
  <c r="I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E18" i="63"/>
  <c r="B3" i="63"/>
  <c r="G12" i="9" l="1"/>
  <c r="G20" i="43"/>
  <c r="C20" i="43" s="1"/>
  <c r="B9" i="67"/>
  <c r="B8" i="67" s="1"/>
  <c r="B7" i="67" s="1"/>
  <c r="S10" i="67"/>
  <c r="T18" i="67"/>
  <c r="D18" i="67"/>
  <c r="C17" i="67"/>
  <c r="C116" i="43"/>
  <c r="D114" i="43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17" i="59" l="1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C39" i="43"/>
  <c r="B3" i="43" l="1"/>
  <c r="F6" i="59" s="1"/>
  <c r="E29" i="43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<sst xmlns="http://schemas.openxmlformats.org/spreadsheetml/2006/main" count="3959" uniqueCount="1802">
  <si>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</si>
  <si>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</si>
  <si>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</si>
  <si>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</si>
  <si>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</si>
  <si>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</si>
  <si>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</si>
  <si>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</si>
  <si>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</si>
  <si>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</si>
  <si>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</si>
  <si>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</si>
  <si>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</si>
  <si>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</si>
  <si>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</si>
  <si>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</si>
  <si>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</si>
  <si>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</si>
  <si>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</si>
  <si>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</si>
  <si>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</si>
  <si>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</si>
  <si>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</si>
  <si>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</si>
  <si>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</si>
  <si>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</si>
  <si>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</si>
  <si>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</si>
  <si>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</si>
  <si>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</si>
  <si>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</si>
  <si>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</si>
  <si>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</si>
  <si>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</si>
  <si>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</si>
  <si>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</si>
  <si>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</si>
  <si>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</si>
  <si>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</si>
  <si>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</si>
  <si>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</si>
  <si>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</si>
  <si>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</si>
  <si>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</si>
  <si>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</si>
  <si>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</si>
  <si>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</si>
  <si>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</si>
  <si>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</si>
  <si>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</si>
  <si>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</si>
  <si>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</si>
  <si>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</si>
  <si>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</si>
  <si>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</si>
  <si>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</si>
  <si>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</si>
  <si>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</si>
  <si>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</si>
  <si>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</si>
  <si>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</si>
  <si>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</si>
  <si>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</si>
  <si>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</si>
  <si>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</si>
  <si>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</si>
  <si>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</si>
  <si>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</si>
  <si>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</si>
  <si>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</si>
  <si>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</si>
  <si>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</si>
  <si>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</si>
  <si>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</si>
  <si>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</si>
  <si>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</si>
  <si>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</si>
  <si>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</si>
  <si>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</si>
  <si>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</si>
  <si>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</si>
  <si>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</si>
  <si>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</si>
  <si>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</si>
  <si>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</si>
  <si>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</si>
  <si>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</si>
  <si>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</si>
  <si>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</si>
  <si>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</si>
  <si>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</si>
  <si>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</si>
  <si>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</si>
  <si>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</si>
  <si>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</si>
  <si>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</si>
  <si>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</si>
  <si>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</si>
  <si>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</si>
  <si>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</si>
  <si>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</si>
  <si>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</si>
  <si>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</si>
  <si>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</si>
  <si>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</si>
  <si>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</si>
  <si>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</si>
  <si>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</si>
  <si>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</si>
  <si>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</si>
  <si>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</si>
  <si>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</si>
  <si>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</si>
  <si>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</si>
  <si>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</si>
  <si>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</si>
  <si>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</si>
  <si>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</si>
  <si>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</si>
  <si>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</si>
  <si>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</si>
  <si>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</si>
  <si>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</si>
  <si>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</si>
  <si>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</si>
  <si>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</si>
  <si>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</si>
  <si>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</si>
  <si>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</si>
  <si>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</si>
  <si>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</si>
  <si>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</si>
  <si>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</si>
  <si>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</si>
  <si>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</si>
  <si>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</si>
  <si>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</si>
  <si>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</si>
  <si>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</si>
  <si>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</si>
  <si>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</si>
  <si>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</si>
  <si>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</si>
  <si>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</si>
  <si>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</si>
  <si>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</si>
  <si>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</si>
  <si>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</si>
  <si>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</si>
  <si>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</si>
  <si>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</si>
  <si>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</si>
  <si>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</si>
  <si>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</si>
  <si>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</si>
  <si>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</si>
  <si>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</si>
  <si>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</si>
  <si>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</si>
  <si>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</si>
  <si>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</si>
  <si>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</si>
  <si>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</si>
  <si>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</si>
  <si>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</si>
  <si>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</si>
  <si>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</si>
  <si>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</si>
  <si>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</si>
  <si>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</si>
  <si>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</si>
  <si>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</si>
  <si>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</si>
  <si>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</si>
  <si>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</si>
  <si>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</si>
  <si>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</si>
  <si>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</si>
  <si>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</si>
  <si>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</si>
  <si>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</si>
  <si>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</si>
  <si>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</si>
  <si>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</si>
  <si>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</si>
  <si>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</si>
  <si>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</si>
  <si>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</si>
  <si>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</si>
  <si>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</si>
  <si>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</si>
  <si>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</si>
  <si>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</si>
  <si>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</si>
  <si>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</si>
  <si>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</si>
  <si>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</si>
  <si>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</si>
  <si>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</si>
  <si>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</si>
  <si>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</si>
  <si>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</si>
  <si>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</si>
  <si>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</si>
  <si>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</si>
  <si>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</si>
  <si>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</si>
  <si>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</si>
  <si>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</si>
  <si>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</si>
  <si>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</si>
  <si>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</si>
  <si>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</si>
  <si>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</si>
  <si>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</si>
  <si>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</si>
  <si>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</si>
  <si>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</si>
  <si>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</si>
  <si>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</si>
  <si>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</si>
  <si>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</si>
  <si>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</si>
  <si>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</si>
  <si>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</si>
  <si>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</si>
  <si>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</si>
  <si>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</si>
  <si>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</si>
  <si>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</si>
  <si>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</si>
  <si>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</si>
  <si>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</si>
  <si>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</si>
  <si>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</si>
  <si>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</si>
  <si>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</si>
  <si>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</si>
  <si>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</si>
  <si>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</si>
  <si>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</si>
  <si>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</si>
  <si>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</si>
  <si>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</si>
  <si>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</si>
  <si>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</si>
  <si>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</si>
  <si>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</si>
  <si>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</si>
  <si>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</si>
  <si>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</si>
  <si>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</si>
  <si>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</si>
  <si>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</si>
  <si>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</si>
  <si>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</si>
  <si>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</si>
  <si>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</si>
  <si>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</si>
  <si>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</si>
  <si>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</si>
  <si>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</si>
  <si>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</si>
  <si>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</si>
  <si>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</si>
  <si>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</si>
  <si>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</si>
  <si>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</si>
  <si>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</si>
  <si>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</si>
  <si>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</si>
  <si>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</si>
  <si>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</si>
  <si>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</si>
  <si>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</si>
  <si>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</si>
  <si>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</si>
  <si>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</si>
  <si>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</si>
  <si>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</si>
  <si>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</si>
  <si>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</si>
  <si>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</si>
  <si>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</si>
  <si>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</si>
  <si>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</si>
  <si>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</si>
  <si>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</si>
  <si>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</si>
  <si>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</si>
  <si>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</si>
  <si>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</si>
  <si>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</si>
  <si>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</si>
  <si>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</si>
  <si>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</si>
  <si>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</si>
  <si>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</si>
  <si>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</si>
  <si>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</si>
  <si>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</si>
  <si>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</si>
  <si>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</si>
  <si>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</si>
  <si>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</si>
  <si>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</si>
  <si>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</si>
  <si>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</si>
  <si>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</si>
  <si>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</si>
  <si>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</si>
  <si>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</si>
  <si>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</si>
  <si>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</si>
  <si>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</si>
  <si>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</si>
  <si>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</si>
  <si>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</si>
  <si>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</si>
  <si>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</si>
  <si>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</si>
  <si>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</si>
  <si>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</si>
  <si>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</si>
  <si>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</si>
  <si>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</si>
  <si>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</si>
  <si>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</si>
  <si>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</si>
  <si>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</si>
  <si>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</si>
  <si>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</si>
  <si>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</si>
  <si>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</si>
  <si>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</si>
  <si>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</si>
  <si>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</si>
  <si>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</si>
  <si>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</si>
  <si>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</si>
  <si>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</si>
  <si>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</si>
  <si>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</si>
  <si>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</si>
  <si>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</si>
  <si>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</si>
  <si>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</si>
  <si>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</si>
  <si>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</si>
  <si>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</si>
  <si>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</si>
  <si>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</si>
  <si>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</si>
  <si>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</si>
  <si>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</si>
  <si>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</si>
  <si>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</si>
  <si>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</si>
  <si>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</si>
  <si>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</si>
  <si>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</si>
  <si>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</si>
  <si>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</si>
  <si>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</si>
  <si>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</si>
  <si>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</si>
  <si>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</si>
  <si>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</si>
  <si>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</si>
  <si>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</si>
  <si>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</si>
  <si>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</si>
  <si>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</si>
  <si>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</si>
  <si>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</si>
  <si>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</si>
  <si>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</si>
  <si>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</si>
  <si>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</si>
  <si>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</si>
  <si>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</si>
  <si>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</si>
  <si>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</si>
  <si>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</si>
  <si>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</si>
  <si>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</si>
  <si>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</si>
  <si>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</si>
  <si>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</si>
  <si>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</si>
  <si>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</si>
  <si>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</si>
  <si>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</si>
  <si>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</si>
  <si>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</si>
  <si>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</si>
  <si>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</si>
  <si>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</si>
  <si>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</si>
  <si>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</si>
  <si>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</si>
  <si>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</si>
  <si>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</si>
  <si>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</si>
  <si>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</si>
  <si>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</si>
  <si>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</si>
  <si>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</si>
  <si>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</si>
  <si>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</si>
  <si>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</si>
  <si>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</si>
  <si>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</si>
  <si>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</si>
  <si>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</si>
  <si>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</si>
  <si>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</si>
  <si>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</si>
  <si>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</si>
  <si>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</si>
  <si>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</si>
  <si>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</si>
  <si>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</si>
  <si>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</si>
  <si>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</si>
  <si>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</si>
  <si>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</si>
  <si>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</si>
  <si>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</si>
  <si>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</si>
  <si>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</si>
  <si>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</si>
  <si>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</si>
  <si>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</si>
  <si>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</si>
  <si>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</si>
  <si>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</si>
  <si>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</si>
  <si>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</si>
  <si>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</si>
  <si>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</si>
  <si>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</si>
  <si>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</si>
  <si>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</si>
  <si>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</si>
  <si>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</si>
  <si>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</si>
  <si>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</si>
  <si>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</si>
  <si>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</si>
  <si>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</si>
  <si>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</si>
  <si>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</si>
  <si>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</si>
  <si>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</si>
  <si>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</si>
  <si>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</si>
  <si>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</si>
  <si>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</si>
  <si>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</si>
  <si>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</si>
  <si>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</si>
  <si>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</si>
  <si>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</si>
  <si>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</si>
  <si>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</si>
  <si>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</si>
  <si>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</si>
  <si>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</si>
  <si>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</si>
  <si>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</si>
  <si>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</si>
  <si>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</si>
  <si>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</si>
  <si>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</si>
  <si>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</si>
  <si>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</si>
  <si>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</si>
  <si>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</si>
  <si>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</si>
  <si>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</si>
  <si>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</si>
  <si>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</si>
  <si>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</si>
  <si>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</si>
  <si>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</si>
  <si>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</si>
  <si>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</si>
  <si>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</si>
  <si>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</si>
  <si>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</si>
  <si>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</si>
  <si>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</si>
  <si>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</si>
  <si>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</si>
  <si>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</si>
  <si>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</si>
  <si>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</si>
  <si>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</si>
  <si>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</si>
  <si>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</si>
  <si>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</si>
  <si>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</si>
  <si>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</si>
  <si>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</si>
  <si>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</si>
  <si>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</si>
  <si>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</si>
  <si>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</si>
  <si>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</si>
  <si>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</si>
  <si>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</si>
  <si>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</si>
  <si>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</si>
  <si>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</si>
  <si>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</si>
  <si>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</si>
  <si>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</si>
  <si>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</si>
  <si>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</si>
  <si>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</si>
  <si>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</si>
  <si>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</si>
  <si>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</si>
  <si>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</si>
  <si>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</si>
  <si>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</si>
  <si>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</si>
  <si>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</si>
  <si>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</si>
  <si>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</si>
  <si>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</si>
  <si>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</si>
  <si>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</si>
  <si>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</si>
  <si>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</si>
  <si>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</si>
  <si>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</si>
  <si>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</si>
  <si>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</si>
  <si>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</si>
  <si>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</si>
  <si>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</si>
  <si>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</si>
  <si>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</si>
  <si>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</si>
  <si>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</si>
  <si>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</si>
  <si>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</si>
  <si>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</si>
  <si>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</si>
  <si>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</si>
  <si>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</si>
  <si>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</si>
  <si>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</si>
  <si>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</si>
  <si>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</si>
  <si>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</si>
  <si>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</si>
  <si>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</si>
  <si>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</si>
  <si>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</si>
  <si>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</si>
  <si>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</si>
  <si>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</si>
  <si>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</si>
  <si>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</si>
  <si>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</si>
  <si>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</si>
  <si>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</si>
  <si>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</si>
  <si>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</si>
  <si>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</si>
  <si>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</si>
  <si>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</si>
  <si>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</si>
  <si>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</si>
  <si>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</si>
  <si>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</si>
  <si>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</si>
  <si>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</si>
  <si>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</si>
  <si>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</si>
  <si>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</si>
  <si>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</si>
  <si>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</si>
  <si>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</si>
  <si>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</si>
  <si>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</si>
  <si>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</si>
  <si>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</si>
  <si>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</si>
  <si>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</si>
  <si>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</si>
  <si>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</si>
  <si>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</si>
  <si>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</si>
  <si>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</si>
  <si>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</si>
  <si>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</si>
  <si>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</si>
  <si>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</si>
  <si>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</si>
  <si>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</si>
  <si>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</si>
  <si>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</si>
  <si>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</si>
  <si>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</si>
  <si>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</si>
  <si>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</si>
  <si>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</si>
  <si>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</si>
  <si>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</si>
  <si>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</si>
  <si>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</si>
  <si>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</si>
  <si>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</si>
  <si>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</si>
  <si>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</si>
  <si>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</si>
  <si>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</si>
  <si>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</si>
  <si>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</si>
  <si>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</si>
  <si>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</si>
  <si>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</si>
  <si>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</si>
  <si>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</si>
  <si>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</si>
  <si>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</si>
  <si>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</si>
  <si>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</si>
  <si>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</si>
  <si>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</si>
  <si>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</si>
  <si>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</si>
  <si>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</si>
  <si>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</si>
  <si>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</si>
  <si>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</si>
  <si>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</si>
  <si>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</si>
  <si>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</si>
  <si>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</si>
  <si>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</si>
  <si>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</si>
  <si>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</si>
  <si>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</si>
  <si>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</si>
  <si>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</si>
  <si>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</si>
  <si>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</si>
  <si>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</si>
  <si>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</si>
  <si>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</si>
  <si>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</si>
  <si>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</si>
  <si>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</si>
  <si>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</si>
  <si>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</si>
  <si>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</si>
  <si>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</si>
  <si>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</si>
  <si>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</si>
  <si>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</si>
  <si>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</si>
  <si>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</si>
  <si>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</si>
  <si>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</si>
  <si>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</si>
  <si>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</si>
  <si>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</si>
  <si>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</si>
  <si>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</si>
  <si>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</si>
  <si>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</si>
  <si>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</si>
  <si>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</si>
  <si>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</si>
  <si>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</si>
  <si>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</si>
  <si>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</si>
  <si>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</si>
  <si>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</si>
  <si>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</si>
  <si>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</si>
  <si>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</si>
  <si>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</si>
  <si>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</si>
  <si>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</si>
  <si>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</si>
  <si>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</si>
  <si>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</si>
  <si>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</si>
  <si>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</si>
  <si>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</si>
  <si>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</si>
  <si>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</si>
  <si>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</si>
  <si>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</si>
  <si>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</si>
  <si>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</si>
  <si>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</si>
  <si>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</si>
  <si>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</si>
  <si>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</si>
  <si>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</si>
  <si>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</si>
  <si>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</si>
  <si>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</si>
  <si>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</si>
  <si>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</si>
  <si>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</si>
  <si>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</si>
  <si>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</si>
  <si>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</si>
  <si>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</si>
  <si>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</si>
  <si>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</si>
  <si>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</si>
  <si>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</si>
  <si>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</si>
  <si>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</si>
  <si>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</si>
  <si>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</si>
  <si>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</si>
  <si>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</si>
  <si>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</si>
  <si>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</si>
  <si>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</si>
  <si>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</si>
  <si>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</si>
  <si>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</si>
  <si>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</si>
  <si>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</si>
  <si>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</si>
  <si>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</si>
  <si>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</si>
  <si>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</si>
  <si>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</si>
  <si>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</si>
  <si>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</si>
  <si>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</si>
  <si>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</si>
  <si>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</si>
  <si>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</si>
  <si>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</si>
  <si>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</si>
  <si>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</si>
  <si>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</si>
  <si>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</si>
  <si>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</si>
  <si>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</si>
  <si>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</si>
  <si>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</si>
  <si>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</si>
  <si>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</si>
  <si>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</si>
  <si>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</si>
  <si>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</si>
  <si>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</si>
  <si>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</si>
  <si>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</si>
  <si>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</si>
  <si>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</si>
  <si>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</si>
  <si>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</si>
  <si>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</si>
  <si>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</si>
  <si>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</si>
  <si>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</si>
  <si>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</si>
  <si>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</si>
  <si>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</si>
  <si>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</si>
  <si>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</si>
  <si>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</si>
  <si>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</si>
  <si>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</si>
  <si>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</si>
  <si>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</si>
  <si>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</si>
  <si>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</si>
  <si>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</si>
  <si>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</si>
  <si>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</si>
  <si>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</si>
  <si>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</si>
  <si>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</si>
  <si>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</si>
  <si>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</si>
  <si>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</si>
  <si>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</si>
  <si>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</si>
  <si>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</si>
  <si>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</si>
  <si>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</si>
  <si>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</si>
  <si>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</si>
  <si>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</si>
  <si>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</si>
  <si>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</si>
  <si>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</si>
  <si>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</si>
  <si>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</si>
  <si>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</si>
  <si>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</si>
  <si>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</si>
  <si>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</si>
  <si>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</si>
  <si>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</si>
  <si>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</si>
  <si>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</si>
  <si>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</si>
  <si>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</si>
  <si>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</si>
  <si>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</si>
  <si>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</si>
  <si>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</si>
  <si>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</si>
  <si>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</si>
  <si>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</si>
  <si>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</si>
  <si>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</si>
  <si>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</si>
  <si>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</si>
  <si>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</si>
  <si>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</si>
  <si>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</si>
  <si>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</si>
  <si>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</si>
  <si>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</si>
  <si>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</si>
  <si>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</si>
  <si>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</si>
  <si>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</si>
  <si>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</si>
  <si>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</si>
  <si>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</si>
  <si>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</si>
  <si>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</si>
  <si>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</si>
  <si>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</si>
  <si>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</si>
  <si>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</si>
  <si>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</si>
  <si>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</si>
  <si>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</si>
  <si>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</si>
  <si>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</si>
  <si>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</si>
  <si>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</si>
  <si>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</si>
  <si>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</si>
  <si>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</si>
  <si>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</si>
  <si>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</si>
  <si>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</si>
  <si>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</si>
  <si>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</si>
  <si>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</si>
  <si>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</si>
  <si>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</si>
  <si>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</si>
  <si>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</si>
  <si>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</si>
  <si>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</si>
  <si>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</si>
  <si>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</si>
  <si>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</si>
  <si>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</si>
  <si>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</si>
  <si>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</si>
  <si>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</si>
  <si>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</si>
  <si>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</si>
  <si>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</si>
  <si>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</si>
  <si>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</si>
  <si>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</si>
  <si>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</si>
  <si>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</si>
  <si>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</si>
  <si>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</si>
  <si>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</si>
  <si>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</si>
  <si>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</si>
  <si>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</si>
  <si>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</si>
  <si>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</si>
  <si>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</si>
  <si>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</si>
  <si>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</si>
  <si>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</si>
  <si>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</si>
  <si>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</si>
  <si>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</si>
  <si>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</si>
  <si>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</si>
  <si>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</si>
  <si>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</si>
  <si>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</si>
  <si>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</si>
  <si>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</si>
  <si>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</si>
  <si>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</si>
  <si>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</si>
  <si>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</si>
  <si>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</si>
  <si>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</si>
  <si>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</si>
  <si>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</si>
  <si>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</si>
  <si>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</si>
  <si>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</si>
  <si>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</si>
  <si>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</si>
  <si>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</si>
  <si>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</si>
  <si>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</si>
  <si>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</si>
  <si>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</si>
  <si>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</si>
  <si>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</si>
  <si>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</si>
  <si>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</si>
  <si>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</si>
  <si>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</si>
  <si>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</si>
  <si>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</si>
  <si>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</si>
  <si>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</si>
  <si>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</si>
  <si>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</si>
  <si>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</si>
  <si>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</si>
  <si>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</si>
  <si>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</si>
  <si>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</si>
  <si>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</si>
  <si>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</si>
  <si>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</si>
  <si>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</si>
  <si>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</si>
  <si>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</si>
  <si>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</si>
  <si>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</si>
  <si>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</si>
  <si>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</si>
  <si>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</si>
  <si>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</si>
  <si>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</si>
  <si>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</si>
  <si>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</si>
  <si>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</si>
  <si>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</si>
  <si>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</si>
  <si>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</si>
  <si>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</si>
  <si>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</si>
  <si>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</si>
  <si>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</si>
  <si>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</si>
  <si>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</si>
  <si>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</si>
  <si>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</si>
  <si>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</si>
  <si>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</si>
  <si>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</si>
  <si>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</si>
  <si>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</si>
  <si>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</si>
  <si>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</si>
  <si>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</si>
  <si>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</si>
  <si>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</si>
  <si>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</si>
  <si>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</si>
  <si>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</si>
  <si>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</si>
  <si>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</si>
  <si>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</si>
  <si>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</si>
  <si>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</si>
  <si>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</si>
  <si>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</si>
  <si>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</si>
  <si>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</si>
  <si>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</si>
  <si>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</si>
  <si>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</si>
  <si>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</si>
  <si>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</si>
  <si>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</si>
  <si>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</si>
  <si>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</si>
  <si>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</si>
  <si>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</si>
  <si>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</si>
  <si>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</si>
  <si>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</si>
  <si>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</si>
  <si>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</si>
  <si>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</si>
  <si>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</si>
  <si>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</si>
  <si>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</si>
  <si>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</si>
  <si>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</si>
  <si>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</si>
  <si>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</si>
  <si>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</si>
  <si>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</si>
  <si>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</si>
  <si>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</si>
  <si>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</si>
  <si>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</si>
  <si>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</si>
  <si>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</si>
  <si>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</si>
  <si>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</si>
  <si>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</si>
  <si>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</si>
  <si>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</si>
  <si>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</si>
  <si>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</si>
  <si>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</si>
  <si>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</si>
  <si>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</si>
  <si>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</si>
  <si>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</si>
  <si>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</si>
  <si>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</si>
  <si>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</si>
  <si>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</si>
  <si>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</si>
  <si>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</si>
  <si>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</si>
  <si>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</si>
  <si>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</si>
  <si>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</si>
  <si>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</si>
  <si>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</si>
  <si>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</si>
  <si>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</si>
  <si>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</si>
  <si>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</si>
  <si>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</si>
  <si>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</si>
  <si>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</si>
  <si>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</si>
  <si>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</si>
  <si>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</si>
  <si>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</si>
  <si>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</si>
  <si>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</si>
  <si>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</si>
  <si>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</si>
  <si>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</si>
  <si>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</si>
  <si>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</si>
  <si>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</si>
  <si>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</si>
  <si>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</si>
  <si>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</si>
  <si>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</si>
  <si>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</si>
  <si>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</si>
  <si>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</si>
  <si>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</si>
  <si>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</si>
  <si>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</si>
  <si>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</si>
  <si>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</si>
  <si>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</si>
  <si>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</si>
  <si>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</si>
  <si>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</si>
  <si>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</si>
  <si>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</si>
  <si>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</si>
  <si>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</si>
  <si>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</si>
  <si>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</si>
  <si>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</si>
  <si>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</si>
  <si>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</si>
  <si>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</si>
  <si>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</si>
  <si>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</si>
  <si>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</si>
  <si>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</si>
  <si>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</si>
  <si>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</si>
  <si>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</si>
  <si>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</si>
  <si>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</si>
  <si>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</si>
  <si>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</si>
  <si>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</si>
  <si>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</si>
  <si>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</si>
  <si>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</si>
  <si>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</si>
  <si>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</si>
  <si>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</si>
  <si>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</si>
  <si>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</si>
  <si>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</si>
  <si>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</si>
  <si>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</si>
  <si>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</si>
  <si>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</si>
  <si>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</si>
  <si>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</si>
  <si>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</si>
  <si>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</si>
  <si>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</si>
  <si>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</si>
  <si>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</si>
  <si>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</si>
  <si>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</si>
  <si>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</si>
  <si>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</si>
  <si>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</si>
  <si>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</si>
  <si>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</si>
  <si>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</si>
  <si>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</si>
  <si>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</si>
  <si>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</si>
  <si>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</si>
  <si>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</si>
  <si>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</si>
  <si>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</si>
  <si>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</si>
  <si>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</si>
  <si>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</si>
  <si>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</si>
  <si>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</si>
  <si>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</si>
  <si>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</si>
  <si>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</si>
  <si>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</si>
  <si>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</si>
  <si>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</si>
  <si>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</si>
  <si>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</si>
  <si>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</si>
  <si>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</si>
  <si>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</si>
  <si>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</si>
  <si>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</si>
  <si>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</si>
  <si>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</si>
  <si>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</si>
  <si>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</si>
  <si>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</si>
  <si>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</si>
  <si>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</si>
  <si>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</si>
  <si>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</si>
  <si>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</si>
  <si>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</si>
  <si>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</si>
  <si>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</si>
  <si>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</si>
  <si>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</si>
  <si>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</si>
  <si>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</si>
  <si>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</si>
  <si>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</si>
  <si>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</si>
  <si>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</si>
  <si>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</si>
  <si>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</si>
  <si>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</si>
  <si>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</si>
  <si>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</si>
  <si>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</si>
  <si>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</si>
  <si>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</si>
  <si>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</si>
  <si>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</si>
  <si>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</si>
  <si>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</si>
  <si>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</si>
  <si>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</si>
  <si>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</si>
  <si>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</si>
  <si>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</si>
  <si>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</si>
  <si>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</si>
  <si>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</si>
  <si>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</si>
  <si>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</si>
  <si>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</si>
  <si>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</si>
  <si>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</si>
  <si>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</si>
  <si>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</si>
  <si>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</si>
  <si>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</si>
  <si>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</si>
  <si>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</si>
  <si>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</si>
  <si>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</si>
  <si>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</si>
  <si>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</si>
  <si>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</si>
  <si>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</si>
  <si>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</si>
  <si>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</si>
  <si>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</si>
  <si>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</si>
  <si>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</si>
  <si>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</si>
  <si>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</si>
  <si>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</si>
  <si>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</si>
  <si>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</si>
  <si>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</si>
  <si>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</si>
  <si>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</si>
  <si>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</si>
  <si>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</si>
  <si>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</si>
  <si>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</si>
  <si>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</si>
  <si>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</si>
  <si>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</si>
  <si>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</si>
  <si>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</si>
  <si>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</si>
  <si>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</si>
  <si>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</si>
  <si>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</si>
  <si>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</si>
  <si>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</si>
  <si>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</si>
  <si>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</si>
  <si>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</si>
  <si>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</si>
  <si>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</si>
  <si>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</si>
  <si>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</si>
  <si>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</si>
  <si>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</si>
  <si>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</si>
  <si>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</si>
  <si>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</si>
  <si>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</si>
  <si>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</si>
  <si>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</si>
  <si>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</si>
  <si>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</si>
  <si>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</si>
  <si>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</si>
  <si>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</si>
  <si>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</si>
  <si>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</si>
  <si>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</si>
  <si>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</si>
  <si>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</si>
  <si>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</si>
  <si>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</si>
  <si>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</si>
  <si>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</si>
  <si>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</si>
  <si>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</si>
  <si>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</si>
  <si>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</si>
  <si>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</si>
  <si>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</si>
  <si>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</si>
  <si>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</si>
  <si>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</si>
  <si>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</si>
  <si>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</si>
  <si>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</si>
  <si>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</si>
  <si>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</si>
  <si>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</si>
  <si>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</si>
  <si>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</si>
  <si>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</si>
  <si>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</si>
  <si>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</si>
  <si>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</si>
  <si>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</si>
  <si>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</si>
  <si>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</si>
  <si>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</si>
  <si>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</si>
  <si>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</si>
  <si>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</si>
  <si>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</si>
  <si>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</si>
  <si>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</si>
  <si>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</si>
  <si>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</si>
  <si>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</si>
  <si>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</si>
  <si>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</si>
  <si>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</si>
  <si>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</si>
  <si>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</si>
  <si>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</si>
  <si>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</si>
  <si>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</si>
  <si>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</si>
  <si>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</si>
  <si>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</si>
  <si>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</si>
  <si>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</si>
  <si>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</si>
  <si>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</si>
  <si>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</si>
  <si>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</si>
  <si>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</si>
  <si>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</si>
  <si>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</si>
  <si>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</si>
  <si>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</si>
  <si>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</si>
  <si>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</si>
  <si>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</si>
  <si>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</si>
  <si>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</si>
  <si>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</si>
  <si>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</si>
  <si>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</si>
  <si>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</si>
  <si>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</si>
  <si>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</si>
  <si>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</si>
  <si>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</si>
  <si>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</si>
  <si>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</si>
  <si>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</si>
  <si>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</si>
  <si>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</si>
  <si>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</si>
  <si>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</si>
  <si>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</si>
  <si>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</si>
  <si>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</si>
  <si>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</si>
  <si>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</si>
  <si>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</si>
  <si>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</si>
  <si>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</si>
  <si>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</si>
  <si>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</si>
  <si>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</si>
  <si>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</si>
  <si>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</si>
  <si>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</si>
  <si>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</si>
  <si>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</si>
  <si>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</si>
  <si>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</si>
  <si>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</si>
  <si>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</si>
  <si>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</si>
  <si>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</si>
  <si>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</si>
  <si>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</si>
  <si>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</si>
  <si>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</si>
  <si>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</si>
  <si>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</si>
  <si>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</si>
  <si>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</si>
  <si>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</si>
  <si>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</si>
  <si>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</si>
  <si>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</si>
  <si>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</si>
  <si>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</si>
  <si>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</si>
  <si>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</si>
  <si>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</si>
  <si>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</si>
  <si>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</si>
  <si>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</si>
  <si>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</si>
  <si>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</si>
  <si>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</si>
  <si>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</si>
  <si>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</si>
  <si>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</si>
  <si>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</si>
  <si>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</si>
  <si>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</si>
  <si>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</si>
  <si>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</si>
  <si>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</si>
  <si>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</si>
  <si>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</si>
  <si>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</si>
  <si>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</si>
  <si>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</si>
  <si>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</si>
  <si>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</si>
  <si>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</si>
  <si>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</si>
  <si>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</si>
  <si>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</si>
  <si>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</si>
  <si>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</si>
  <si>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</si>
  <si>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</si>
  <si>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</si>
  <si>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</si>
  <si>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</si>
  <si>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</si>
  <si>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</si>
  <si>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</si>
  <si>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</si>
  <si>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</si>
  <si>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</si>
  <si>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</si>
  <si>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</si>
  <si>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</si>
  <si>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</si>
  <si>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</si>
  <si>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</si>
  <si>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</si>
  <si>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</si>
  <si>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</si>
  <si>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</si>
  <si>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</si>
  <si>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</si>
  <si>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</si>
  <si>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</si>
  <si>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</si>
  <si>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</si>
  <si>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</si>
  <si>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</si>
  <si>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</si>
  <si>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</si>
  <si>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</si>
  <si>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</si>
  <si>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</si>
  <si>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</si>
  <si>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</si>
  <si>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</si>
  <si>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</si>
  <si>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</si>
  <si>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</si>
  <si>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</si>
  <si>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</si>
  <si>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</si>
  <si>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</si>
  <si>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</si>
  <si>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</si>
  <si>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</si>
  <si>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</si>
  <si>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</si>
  <si>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</si>
  <si>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</si>
  <si>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</si>
  <si>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</si>
  <si>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</si>
  <si>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</si>
  <si>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</si>
  <si>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</si>
  <si>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</si>
  <si>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</si>
  <si>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</si>
  <si>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</si>
  <si>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</si>
  <si>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</si>
  <si>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</si>
  <si>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</si>
  <si>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</si>
  <si>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</si>
  <si>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</si>
  <si>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</si>
  <si>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</si>
  <si>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</si>
  <si>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</si>
  <si>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</si>
  <si>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</si>
  <si>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</si>
  <si>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</si>
  <si>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</si>
  <si>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</si>
  <si>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</si>
  <si>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</si>
  <si>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</si>
  <si>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</si>
  <si>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</si>
  <si>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</si>
  <si>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</si>
  <si>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</si>
  <si>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</si>
  <si>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</si>
  <si>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</si>
  <si>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</si>
  <si>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</si>
  <si>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</si>
  <si>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</si>
  <si>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</si>
  <si>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</si>
  <si>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</si>
  <si>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</si>
  <si>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</si>
  <si>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</si>
  <si>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</si>
  <si>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</si>
  <si>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</si>
  <si>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</si>
  <si>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</si>
  <si>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</si>
  <si>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</si>
  <si>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</si>
  <si>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</si>
  <si>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</si>
  <si>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</si>
  <si>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</si>
  <si>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</si>
  <si>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</si>
  <si>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</si>
  <si>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</si>
  <si>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</si>
  <si>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</si>
  <si>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</si>
  <si>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</si>
  <si>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</si>
  <si>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</si>
  <si>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</si>
  <si>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</si>
  <si>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</si>
  <si>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</si>
  <si>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</si>
  <si>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</si>
  <si>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</si>
  <si>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</si>
  <si>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</si>
  <si>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</si>
  <si>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</si>
  <si>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</si>
  <si>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</si>
  <si>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</si>
  <si>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</si>
  <si>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</si>
  <si>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</si>
  <si>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</si>
  <si>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</si>
  <si>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</si>
  <si>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</si>
  <si>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</si>
  <si>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</si>
  <si>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</si>
  <si>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</si>
  <si>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</si>
  <si>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</si>
  <si>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</si>
  <si>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</si>
  <si>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</si>
  <si>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</si>
  <si>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</si>
  <si>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</si>
  <si>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</si>
  <si>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</si>
  <si>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</si>
  <si>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</si>
  <si>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</si>
  <si>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</si>
  <si>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</si>
  <si>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</si>
  <si>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</si>
  <si>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</si>
  <si>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</si>
  <si>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</si>
  <si>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</si>
  <si>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</si>
  <si>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</si>
  <si>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</si>
  <si>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</si>
  <si>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</si>
  <si>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</si>
  <si>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</si>
  <si>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</si>
  <si>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</si>
  <si>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</si>
  <si>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</si>
  <si>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</si>
  <si>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</si>
  <si>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</si>
  <si>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</si>
  <si>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</si>
  <si>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</si>
  <si>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</si>
  <si>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</si>
  <si>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</si>
  <si>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</si>
  <si>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</si>
  <si>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</si>
  <si>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</si>
  <si>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</si>
  <si>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</si>
  <si>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</si>
  <si>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</si>
  <si>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</si>
  <si>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</si>
  <si>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</si>
  <si>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</si>
  <si>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</si>
  <si>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</si>
  <si>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</si>
  <si>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</si>
  <si>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</si>
  <si>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</si>
  <si>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</si>
  <si>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</si>
  <si>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</si>
  <si>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</si>
  <si>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</si>
  <si>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</si>
  <si>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</si>
  <si>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</si>
  <si>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</si>
  <si>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</si>
  <si>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</si>
  <si>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</si>
  <si>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</si>
  <si>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</si>
  <si>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</si>
  <si>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</si>
  <si>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</si>
  <si>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</si>
  <si>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</si>
  <si>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</si>
  <si>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</si>
  <si>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</si>
  <si>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</si>
  <si>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</si>
  <si>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</si>
  <si>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</si>
  <si>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</si>
  <si>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</si>
  <si>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</si>
  <si>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</si>
  <si>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</si>
  <si>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</si>
  <si>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</si>
  <si>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</si>
  <si>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</si>
  <si>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</si>
  <si>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</si>
  <si>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</si>
  <si>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</si>
  <si>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</si>
  <si>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</si>
  <si>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</si>
  <si>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</si>
  <si>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</si>
  <si>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</si>
  <si>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</si>
  <si>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</si>
  <si>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</si>
  <si>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</si>
  <si>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</si>
  <si>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</si>
  <si>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</si>
  <si>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</si>
  <si>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</si>
  <si>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</si>
  <si>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</si>
  <si>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</si>
  <si>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</si>
  <si>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</si>
  <si>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</si>
  <si>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</si>
  <si>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</si>
  <si>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</si>
  <si>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</si>
  <si>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</si>
  <si>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</si>
  <si>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</si>
  <si>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</si>
  <si>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</si>
  <si>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</si>
  <si>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</si>
  <si>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</si>
  <si>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</si>
  <si>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</si>
  <si>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</si>
  <si>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</si>
  <si>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</si>
  <si>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</si>
  <si>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</si>
  <si>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</si>
  <si>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</si>
  <si>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</si>
  <si>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</si>
  <si>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</si>
  <si>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</si>
  <si>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</si>
  <si>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</si>
  <si>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</si>
  <si>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</si>
  <si>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</si>
  <si>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</si>
  <si>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</si>
  <si>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</si>
  <si>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</si>
  <si>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</si>
  <si>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</si>
  <si>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</si>
  <si>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</si>
  <si>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</si>
  <si>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</si>
  <si>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</si>
  <si>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</si>
  <si>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</si>
  <si>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</si>
  <si>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</si>
  <si>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</si>
  <si>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</si>
  <si>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</si>
  <si>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</si>
  <si>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</si>
  <si>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</si>
  <si>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</si>
  <si>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</si>
  <si>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</si>
  <si>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</si>
  <si>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</si>
  <si>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</si>
  <si>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</si>
  <si>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</si>
  <si>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</si>
  <si>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</si>
  <si>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</si>
  <si>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</si>
  <si>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</si>
  <si>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</si>
  <si>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</si>
  <si>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</si>
  <si>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</si>
  <si>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</si>
  <si>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</si>
  <si>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</si>
  <si>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</si>
  <si>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</si>
  <si>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</si>
  <si>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</si>
  <si>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</si>
  <si>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</si>
  <si>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</si>
  <si>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</si>
  <si>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</si>
  <si>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</si>
  <si>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</si>
  <si>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</si>
  <si>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</si>
  <si>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</si>
  <si>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</si>
  <si>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</si>
  <si>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</si>
  <si>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</si>
  <si>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</si>
  <si>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</si>
  <si>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</si>
  <si>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</si>
  <si>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</si>
  <si>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</si>
  <si>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</si>
  <si>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</si>
  <si>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</si>
  <si>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</si>
  <si>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</si>
  <si>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</si>
  <si>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</si>
  <si>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</si>
  <si>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</si>
  <si>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</si>
  <si>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</si>
  <si>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</si>
  <si>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</si>
  <si>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</si>
  <si>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</si>
  <si>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</si>
  <si>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</si>
  <si>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</si>
  <si>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</si>
  <si>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</si>
  <si>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</si>
  <si>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</si>
  <si>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砖混</t>
  </si>
  <si>
    <t>1000米以外</t>
  </si>
  <si>
    <t>与级别开发程度一致</t>
  </si>
  <si>
    <t>剩余土地使用年限（设定）</t>
  </si>
  <si>
    <t>设定容积率</t>
  </si>
  <si>
    <t>较好</t>
  </si>
  <si>
    <t>好</t>
  </si>
  <si>
    <t>Ⅶ-昌1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</si>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</sst>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29</xdr:row>
      <xdr:rowOff>0</xdr:rowOff>
    </xdr:from>
    <xdr:to>
      <xdr:col>16</xdr:col>
      <xdr:colOff>14178</xdr:colOff>
      <xdr:row>37</xdr:row>
      <xdr:rowOff>18825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0" y="6705600"/>
          <a:ext cx="3719403" cy="18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5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5"/>
      <c r="B19" s="1805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5"/>
      <c r="B24" s="1805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5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5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5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5"/>
      <c r="B36" s="1805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74.98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七级</v>
      </c>
      <c r="H2" s="715" t="s">
        <v>1349</v>
      </c>
      <c r="I2" s="1311"/>
      <c r="J2" s="717"/>
      <c r="AE2" s="712"/>
      <c r="AF2" s="712"/>
    </row>
    <row r="3" spans="1:36" ht="15.6">
      <c r="A3" s="668" t="s">
        <v>911</v>
      </c>
      <c r="B3" s="1398" t="e">
        <f>C18</f>
        <v>#DIV/0!</v>
      </c>
      <c r="C3" s="713" t="s">
        <v>912</v>
      </c>
      <c r="D3" s="714" t="s">
        <v>252</v>
      </c>
      <c r="E3" s="718"/>
      <c r="F3" s="1459" t="s">
        <v>1217</v>
      </c>
      <c r="G3" s="238" t="e">
        <f>IF(F3="容积率",主表!B8,主表!B9)</f>
        <v>#DIV/0!</v>
      </c>
      <c r="H3" s="719" t="s">
        <v>925</v>
      </c>
      <c r="I3" s="26">
        <f>SUMPRODUCT((A89:A92=E2)*(B88:K88=G2)*(B89:K92))</f>
        <v>1</v>
      </c>
      <c r="J3" s="717"/>
      <c r="AE3" s="712"/>
      <c r="AF3" s="712"/>
    </row>
    <row r="4" spans="1:36" ht="15.6">
      <c r="A4" s="667" t="s">
        <v>1563</v>
      </c>
      <c r="B4" s="616" t="e">
        <f>C20</f>
        <v>#DIV/0!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 t="e">
        <f>C22</f>
        <v>#DIV/0!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285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0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42103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/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/>
      <c r="D16" s="1525" t="s">
        <v>1335</v>
      </c>
      <c r="E16" s="1482" t="s">
        <v>924</v>
      </c>
      <c r="F16" s="1483"/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 t="e">
        <f>ROUND(C7*C9*C10*C11*C15*C16,0)</f>
        <v>#DIV/0!</v>
      </c>
      <c r="D18" s="630">
        <f>H1</f>
        <v>74.98</v>
      </c>
      <c r="E18" s="631" t="e">
        <f>ROUND(C18*D18,0)</f>
        <v>#DIV/0!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 t="e">
        <f>ROUND(IF(G3&gt;=I3,C8*C9*C10*C15,C8*C9*C10*C15*G3),0)</f>
        <v>#DIV/0!</v>
      </c>
      <c r="D20" s="636">
        <f>H1</f>
        <v>74.98</v>
      </c>
      <c r="E20" s="637" t="e">
        <f>ROUND(C20*D20,0)</f>
        <v>#DIV/0!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54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5" t="s">
        <v>1422</v>
      </c>
      <c r="E2" s="1835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6"/>
      <c r="E3" s="1836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7"/>
      <c r="E5" s="1837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45" t="s">
        <v>1423</v>
      </c>
      <c r="E6" s="1835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七类</v>
      </c>
      <c r="C7" s="703"/>
      <c r="D7" s="1846"/>
      <c r="E7" s="1836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7"/>
      <c r="E8" s="1837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74.98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45" t="s">
        <v>1401</v>
      </c>
      <c r="E10" s="1835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8"/>
      <c r="E11" s="1838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0.86199999999999999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4.7500000000000001E-2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38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74.98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74.98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42103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七级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2015-4-1</v>
      </c>
      <c r="D56" s="1533">
        <f>EDATE(C56,-3)</f>
        <v>42005</v>
      </c>
      <c r="E56" s="1533">
        <f t="shared" ref="E56:O56" si="15">EDATE(D56,-3)</f>
        <v>41913</v>
      </c>
      <c r="F56" s="1533">
        <f t="shared" si="15"/>
        <v>41821</v>
      </c>
      <c r="G56" s="1533">
        <f t="shared" si="15"/>
        <v>41730</v>
      </c>
      <c r="H56" s="1533">
        <f t="shared" si="15"/>
        <v>41640</v>
      </c>
      <c r="I56" s="1533">
        <f t="shared" si="15"/>
        <v>41548</v>
      </c>
      <c r="J56" s="1533">
        <f t="shared" si="15"/>
        <v>41456</v>
      </c>
      <c r="K56" s="1533">
        <f t="shared" si="15"/>
        <v>41365</v>
      </c>
      <c r="L56" s="1533">
        <f t="shared" si="15"/>
        <v>41275</v>
      </c>
      <c r="M56" s="1533">
        <f t="shared" si="15"/>
        <v>41183</v>
      </c>
      <c r="N56" s="1533">
        <f t="shared" si="15"/>
        <v>41091</v>
      </c>
      <c r="O56" s="1533">
        <f t="shared" si="15"/>
        <v>41000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2015-2</v>
      </c>
      <c r="D58" s="1532" t="str">
        <f t="shared" ref="D58:O58" si="16">YEAR(D56)&amp;"-"&amp;ROUNDUP(MONTH(D56)/3,0)</f>
        <v>2015-1</v>
      </c>
      <c r="E58" s="1532" t="str">
        <f t="shared" si="16"/>
        <v>2014-4</v>
      </c>
      <c r="F58" s="1532" t="str">
        <f t="shared" si="16"/>
        <v>2014-3</v>
      </c>
      <c r="G58" s="1532" t="str">
        <f t="shared" si="16"/>
        <v>2014-2</v>
      </c>
      <c r="H58" s="1532" t="str">
        <f t="shared" si="16"/>
        <v>2014-1</v>
      </c>
      <c r="I58" s="1532" t="str">
        <f t="shared" si="16"/>
        <v>2013-4</v>
      </c>
      <c r="J58" s="1532" t="str">
        <f t="shared" si="16"/>
        <v>2013-3</v>
      </c>
      <c r="K58" s="1532" t="str">
        <f t="shared" si="16"/>
        <v>2013-2</v>
      </c>
      <c r="L58" s="1532" t="str">
        <f t="shared" si="16"/>
        <v>2013-1</v>
      </c>
      <c r="M58" s="1532" t="str">
        <f t="shared" si="16"/>
        <v>2012-4</v>
      </c>
      <c r="N58" s="1532" t="str">
        <f t="shared" si="16"/>
        <v>2012-3</v>
      </c>
      <c r="O58" s="1532" t="str">
        <f t="shared" si="16"/>
        <v>2012-2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42103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5.3499999999999999E-2</v>
      </c>
      <c r="H1" s="970" t="s">
        <v>1506</v>
      </c>
      <c r="I1" s="971">
        <f ca="1">SUMIF(F4:F8,E1,G4:G8)/100</f>
        <v>2.5000000000000001E-2</v>
      </c>
      <c r="J1" s="1138">
        <f>IF(C1&gt;C14,0,MATCH(C1,C$14:C$68,-1))+IF(SUMIF(C14:C68,C1,D14:D68)=0,14,13)</f>
        <v>27</v>
      </c>
      <c r="K1" s="1138">
        <f ca="1">MATCH(E1,C4:C8,1)+IF(SUMIF(C4:C8,E1,D4:D8)=0,3,2)</f>
        <v>5</v>
      </c>
      <c r="L1" s="1138">
        <f>IF(C1&gt;M14,0,MATCH(C1,M$14:M$52,-1))+IF(SUMIF(M14:M52,C1,N14:N52)=0,14,13)</f>
        <v>18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42103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5.3499999999999999E-2</v>
      </c>
      <c r="H2" s="970" t="s">
        <v>1506</v>
      </c>
      <c r="I2" s="971">
        <f ca="1">SUMIF(F4:F8,E2,G4:G8)/100</f>
        <v>2.5000000000000001E-2</v>
      </c>
      <c r="J2" s="1138">
        <f>IF(C2&gt;C14,0,MATCH(C2,C$14:C$68,-1))+IF(SUMIF(C14:C68,C2,D14:D68)=0,14,13)</f>
        <v>27</v>
      </c>
      <c r="K2" s="1138">
        <f ca="1">MATCH(E2,C4:C8,1)+IF(SUMIF(C4:C8,E2,D4:D8)=0,3,2)</f>
        <v>5</v>
      </c>
      <c r="L2" s="1138">
        <f>IF(C2&gt;M14,0,MATCH(C2,M$14:M$52,-1))+IF(SUMIF(M14:M52,C2,N14:N52)=0,14,13)</f>
        <v>18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5.7500000000000002E-2</v>
      </c>
      <c r="H3" s="1019" t="s">
        <v>1506</v>
      </c>
      <c r="I3" s="1020">
        <f ca="1">SUMIF(F4:F8,E3,H4:H8)/100</f>
        <v>3.7499999999999999E-2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5.35</v>
      </c>
      <c r="E4" s="1004">
        <f ca="1">INDIRECT("d"&amp;$J$2)</f>
        <v>5.35</v>
      </c>
      <c r="F4" s="1005">
        <v>0.5</v>
      </c>
      <c r="G4" s="1006">
        <f ca="1">INDIRECT("p"&amp;$L$1)</f>
        <v>2.2999999999999998</v>
      </c>
      <c r="H4" s="1006">
        <f ca="1">INDIRECT("p"&amp;$L$2)</f>
        <v>2.2999999999999998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5.35</v>
      </c>
      <c r="E5" s="978">
        <f ca="1">INDIRECT("e"&amp;$J$2)</f>
        <v>5.35</v>
      </c>
      <c r="F5" s="977">
        <v>1</v>
      </c>
      <c r="G5" s="1007">
        <f ca="1">INDIRECT("q"&amp;$L$1)</f>
        <v>2.5</v>
      </c>
      <c r="H5" s="1007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5.75</v>
      </c>
      <c r="E6" s="978">
        <f ca="1">INDIRECT("f"&amp;$J$2)</f>
        <v>5.75</v>
      </c>
      <c r="F6" s="977">
        <v>2</v>
      </c>
      <c r="G6" s="1007">
        <f ca="1">INDIRECT("r"&amp;$L$1)</f>
        <v>3.1</v>
      </c>
      <c r="H6" s="1007">
        <f ca="1">INDIRECT("r"&amp;$L$2)</f>
        <v>3.1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5.75</v>
      </c>
      <c r="E7" s="978">
        <f ca="1">INDIRECT("g"&amp;$J$2)</f>
        <v>5.75</v>
      </c>
      <c r="F7" s="977">
        <v>3</v>
      </c>
      <c r="G7" s="1007">
        <f ca="1">INDIRECT("s"&amp;$L$1)</f>
        <v>3.75</v>
      </c>
      <c r="H7" s="1007">
        <f ca="1">INDIRECT("s"&amp;$L$2)</f>
        <v>3.75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5.9</v>
      </c>
      <c r="E8" s="978">
        <f ca="1">INDIRECT("h"&amp;$J$2)</f>
        <v>5.9</v>
      </c>
      <c r="F8" s="977">
        <v>5</v>
      </c>
      <c r="G8" s="1007">
        <f ca="1">INDIRECT("t"&amp;$L$1)</f>
        <v>4.5</v>
      </c>
      <c r="H8" s="1007">
        <f ca="1">INDIRECT("t"&amp;$L$2)</f>
        <v>4.5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0" t="s">
        <v>1636</v>
      </c>
      <c r="O2" s="1890"/>
      <c r="P2" s="1890"/>
      <c r="Q2" s="1890"/>
      <c r="S2" s="1890" t="s">
        <v>1637</v>
      </c>
      <c r="T2" s="1890"/>
      <c r="U2" s="1890"/>
      <c r="V2" s="1890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5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54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74.98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42103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74.98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1351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1352</v>
      </c>
      <c r="B3" s="1785"/>
      <c r="C3" s="1786"/>
      <c r="D3" s="1787" t="s">
        <v>1353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89" t="s">
        <v>1354</v>
      </c>
      <c r="E4" s="1781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90" t="s">
        <v>1358</v>
      </c>
      <c r="B5" s="1775">
        <f ca="1">主表!F5</f>
        <v>6995</v>
      </c>
      <c r="C5" s="1791" t="s">
        <v>1359</v>
      </c>
      <c r="D5" s="1781" t="s">
        <v>1360</v>
      </c>
      <c r="E5" s="1782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1382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1383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1384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81" t="s">
        <v>1365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374</v>
      </c>
      <c r="C12" s="1299" t="str">
        <f ca="1">"前期开发期为"&amp;主表!B24&amp;"年，贷款利率为"&amp;TEXT(主表!G9,"0.00%")&amp;"，"&amp;主表!H9</f>
        <v>前期开发期为1年，贷款利率为5.35%，计息期为1年，复利计息</v>
      </c>
      <c r="D12" s="1781" t="s">
        <v>1367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房屋建设期为1年，贷款利率为5.35%，计息期为1年，复利计息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1368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7369</v>
      </c>
      <c r="C14" s="1299" t="s">
        <v>1370</v>
      </c>
      <c r="D14" s="1781" t="s">
        <v>1369</v>
      </c>
      <c r="E14" s="1782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5">
        <f ca="1">主表!F24</f>
        <v>7369</v>
      </c>
      <c r="C15" s="1776"/>
      <c r="D15" s="1777" t="s">
        <v>1372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1373</v>
      </c>
      <c r="B16" s="1775">
        <f ca="1">主表!F25</f>
        <v>55.252800000000001</v>
      </c>
      <c r="C16" s="1776"/>
      <c r="D16" s="1777" t="s">
        <v>1374</v>
      </c>
      <c r="E16" s="1778"/>
      <c r="F16" s="1778"/>
      <c r="G16" s="1779"/>
      <c r="H16" s="1301" t="str">
        <f ca="1">NUMBERSTRING(INT(B16*10000),2)&amp;"元整"</f>
        <v>伍拾伍万贰仟伍佰贰拾捌元整</v>
      </c>
      <c r="I16" s="1302"/>
      <c r="X16" s="221"/>
      <c r="AG16" s="189"/>
    </row>
    <row r="17" spans="1:33" ht="14.4">
      <c r="A17" s="1292" t="s">
        <v>1375</v>
      </c>
      <c r="B17" s="1780">
        <f>主表!F33</f>
        <v>0</v>
      </c>
      <c r="C17" s="1776"/>
      <c r="D17" s="1777" t="s">
        <v>1376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1377</v>
      </c>
      <c r="B18" s="1775">
        <f ca="1">主表!F35</f>
        <v>0</v>
      </c>
      <c r="C18" s="1776"/>
      <c r="D18" s="1777" t="s">
        <v>1378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1379</v>
      </c>
      <c r="B19" s="1770">
        <f ca="1">主表!F36</f>
        <v>0</v>
      </c>
      <c r="C19" s="1771"/>
      <c r="D19" s="1772" t="s">
        <v>1380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1" sqref="B11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50</v>
      </c>
    </row>
    <row r="3" spans="1:18" ht="15.75" customHeight="1">
      <c r="A3" s="1179" t="s">
        <v>1773</v>
      </c>
      <c r="B3" s="1565">
        <v>42103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30</v>
      </c>
    </row>
    <row r="4" spans="1:18" ht="15.75" customHeight="1">
      <c r="A4" s="1191" t="s">
        <v>1774</v>
      </c>
      <c r="B4" s="1565">
        <f>B3</f>
        <v>42103</v>
      </c>
      <c r="C4" s="1164"/>
      <c r="D4" s="1171" t="s">
        <v>1274</v>
      </c>
      <c r="E4" s="1172" t="s">
        <v>1567</v>
      </c>
      <c r="F4" s="1173">
        <f ca="1">F5+F8+F9+F10</f>
        <v>7369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 ca="1">IF(B4&lt;DATE(2002,12,10),F6,F6-F7)</f>
        <v>6995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 ca="1">IF(B4&lt;DATE(2002,12,10),'1993基准地价'!B3,IF(B4&gt;=DATE(2014,8,28),'2014基准地价'!B3,'2002基准地价'!B3))</f>
        <v>9327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74.98</v>
      </c>
      <c r="C7" s="1164"/>
      <c r="D7" s="1183" t="s">
        <v>1267</v>
      </c>
      <c r="E7" s="1179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2332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 ca="1"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374</v>
      </c>
      <c r="G9" s="1194">
        <f ca="1">存贷款利率!G2</f>
        <v>5.3499999999999999E-2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664</v>
      </c>
      <c r="C10" s="1164"/>
      <c r="D10" s="1198">
        <v>4</v>
      </c>
      <c r="E10" s="1199" t="s">
        <v>1227</v>
      </c>
      <c r="F10" s="1200">
        <f ca="1"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1800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/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38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 ca="1">IF(B4&lt;DATE(2002,12,10),'1993基准地价'!C23,IF(B4&gt;=DATE(2014,8,28),'2014基准地价'!G20,'2002基准地价'!E10))</f>
        <v>6.2E-2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 ca="1">IF(ISERROR(ROUND(POWER(1+B17,B13-B15)*(POWER(1+B17,B15)-1)/(POWER(1+B17,B13)-1),3)),0,ROUND(POWER(1+B17,B13-B15)*(POWER(1+B17,B15)-1)/(POWER(1+B17,B13)-1),3))</f>
        <v>0.91200000000000003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1793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5.3499999999999999E-2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1985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7369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55.252800000000001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0.41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K41" sqref="K41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74.98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699338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七级</v>
      </c>
      <c r="H2" s="811" t="s">
        <v>910</v>
      </c>
      <c r="I2" s="665" t="str">
        <f>主表!B11</f>
        <v>Ⅶ-昌1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9327</v>
      </c>
      <c r="C3" s="667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2332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8558</v>
      </c>
      <c r="D5" s="1540">
        <f>ROUND(C6+C16,0)</f>
        <v>7780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7780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7780</v>
      </c>
      <c r="N7" s="438">
        <f>SUMPRODUCT(('2014因素修正幅度'!B158:B205=I2)*('2014因素修正幅度'!C3:F3=E2)*('2014因素修正幅度'!C158:F205))</f>
        <v>0.125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921</v>
      </c>
      <c r="C12" s="371">
        <f>ROUND(C15*D15*E15*F15*G15*H15*I15*J15,4)</f>
        <v>1.1000000000000001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1801</v>
      </c>
      <c r="D14" s="795" t="s">
        <v>25</v>
      </c>
      <c r="E14" s="795" t="s">
        <v>25</v>
      </c>
      <c r="F14" s="848" t="s">
        <v>1794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1472</v>
      </c>
      <c r="C15" s="29">
        <f>IF(C14="有",1.1,1)</f>
        <v>1.1000000000000001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20" t="s">
        <v>926</v>
      </c>
      <c r="E16" s="1821"/>
      <c r="F16" s="1820" t="s">
        <v>924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1795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5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1.0472999999999999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42103</v>
      </c>
      <c r="I19" s="1507">
        <f>ROUND(SUMPRODUCT((地价!A5:A38=YEAR(H19)&amp;"-"&amp;ROUNDUP(MONTH(H19)/3,0))*(地价!B3:F3=E2)*(地价!B5:F38)),0)</f>
        <v>443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5.3499999999999999E-2</v>
      </c>
      <c r="F20" s="1465" t="s">
        <v>934</v>
      </c>
      <c r="G20" s="1469">
        <f ca="1">SUMIF(P18:S18,E2,P20:S20)</f>
        <v>6.2E-2</v>
      </c>
      <c r="H20" s="1470" t="s">
        <v>1796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6.7000000000000004E-2</v>
      </c>
      <c r="Q20" s="608">
        <f ca="1">ROUND($E$20*(1+Q19),3)</f>
        <v>6.4000000000000001E-2</v>
      </c>
      <c r="R20" s="608">
        <f ca="1">ROUND($E$20*(1+R19),3)</f>
        <v>6.2E-2</v>
      </c>
      <c r="S20" s="935">
        <f ca="1">ROUND($E$20*(1+S19),3)</f>
        <v>5.8999999999999997E-2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1.0406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699338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9327</v>
      </c>
      <c r="D29" s="607">
        <f>主表!B7</f>
        <v>74.98</v>
      </c>
      <c r="E29" s="397">
        <f ca="1">ROUND(C29*D29,0)</f>
        <v>699338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2332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1737</v>
      </c>
      <c r="B33" s="912" t="s">
        <v>280</v>
      </c>
      <c r="C33" s="27">
        <f ca="1">ROUND(D5*C19*C20*C24*F33,0)</f>
        <v>5935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1484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281</v>
      </c>
      <c r="C34" s="27">
        <f ca="1">ROUND(D5*C19*C20*C24*F34,0)</f>
        <v>3392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848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282</v>
      </c>
      <c r="C35" s="27">
        <f ca="1">ROUND(D5*C19*C20*C24*F35,0)</f>
        <v>2374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594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283</v>
      </c>
      <c r="C36" s="27">
        <f ca="1">ROUND(D5*C19*C20*C24*F36,0)</f>
        <v>2120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530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2120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530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6.2E-2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1.0406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8.7500000000000008E-3</v>
      </c>
      <c r="E70" s="253">
        <f>ROUND(SUM(D70:D78),4)</f>
        <v>4.0599999999999997E-2</v>
      </c>
      <c r="F70" s="937">
        <f>IF(E2="住宅/居住",SUMIF(L1:L12,G2,N1:N12),"——")</f>
        <v>0.125</v>
      </c>
      <c r="G70" s="491">
        <v>8.7500000000000008E-3</v>
      </c>
      <c r="H70" s="494">
        <f t="shared" ref="G70:H78" si="15">IFERROR($F$70*I70/2,"——")</f>
        <v>8.7500000000000008E-3</v>
      </c>
      <c r="I70" s="252">
        <v>0.14000000000000001</v>
      </c>
      <c r="J70" s="492">
        <f t="shared" ref="J70:J78" si="16">K70+$G70</f>
        <v>1.7500000000000002E-2</v>
      </c>
      <c r="K70" s="492">
        <f t="shared" ref="K70:K78" si="17">$L70+$G70</f>
        <v>8.7500000000000008E-3</v>
      </c>
      <c r="L70" s="492">
        <v>0</v>
      </c>
      <c r="M70" s="492">
        <f t="shared" ref="M70:N78" si="18">L70-$G70</f>
        <v>-8.7500000000000008E-3</v>
      </c>
      <c r="N70" s="492">
        <f t="shared" si="18"/>
        <v>-1.7500000000000002E-2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1.8749999999999999E-2</v>
      </c>
      <c r="H71" s="494">
        <f t="shared" si="15"/>
        <v>1.8749999999999999E-2</v>
      </c>
      <c r="I71" s="252">
        <v>0.3</v>
      </c>
      <c r="J71" s="492">
        <f t="shared" si="16"/>
        <v>3.7499999999999999E-2</v>
      </c>
      <c r="K71" s="492">
        <f t="shared" si="17"/>
        <v>1.8749999999999999E-2</v>
      </c>
      <c r="L71" s="492">
        <v>0</v>
      </c>
      <c r="M71" s="492">
        <f t="shared" si="18"/>
        <v>-1.8749999999999999E-2</v>
      </c>
      <c r="N71" s="492">
        <f t="shared" si="18"/>
        <v>-3.7499999999999999E-2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5.0000000000000001E-3</v>
      </c>
      <c r="E72" s="263"/>
      <c r="F72" s="938"/>
      <c r="G72" s="491">
        <v>5.0000000000000001E-3</v>
      </c>
      <c r="H72" s="494">
        <f t="shared" si="15"/>
        <v>5.0000000000000001E-3</v>
      </c>
      <c r="I72" s="252">
        <v>0.08</v>
      </c>
      <c r="J72" s="492">
        <f t="shared" si="16"/>
        <v>0.01</v>
      </c>
      <c r="K72" s="492">
        <f t="shared" si="17"/>
        <v>5.0000000000000001E-3</v>
      </c>
      <c r="L72" s="492">
        <v>0</v>
      </c>
      <c r="M72" s="492">
        <f t="shared" si="18"/>
        <v>-5.0000000000000001E-3</v>
      </c>
      <c r="N72" s="492">
        <f t="shared" si="18"/>
        <v>-0.01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2.5000000000000001E-3</v>
      </c>
      <c r="H73" s="494">
        <f t="shared" si="15"/>
        <v>2.5000000000000001E-3</v>
      </c>
      <c r="I73" s="252">
        <v>0.04</v>
      </c>
      <c r="J73" s="492">
        <f t="shared" si="16"/>
        <v>5.0000000000000001E-3</v>
      </c>
      <c r="K73" s="492">
        <f t="shared" si="17"/>
        <v>2.5000000000000001E-3</v>
      </c>
      <c r="L73" s="492">
        <v>0</v>
      </c>
      <c r="M73" s="492">
        <f t="shared" si="18"/>
        <v>-2.5000000000000001E-3</v>
      </c>
      <c r="N73" s="492">
        <f t="shared" si="18"/>
        <v>-5.0000000000000001E-3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5.0000000000000001E-3</v>
      </c>
      <c r="H74" s="494">
        <f t="shared" si="15"/>
        <v>5.0000000000000001E-3</v>
      </c>
      <c r="I74" s="252">
        <v>0.08</v>
      </c>
      <c r="J74" s="492">
        <f t="shared" si="16"/>
        <v>0.01</v>
      </c>
      <c r="K74" s="492">
        <f t="shared" si="17"/>
        <v>5.0000000000000001E-3</v>
      </c>
      <c r="L74" s="492">
        <v>0</v>
      </c>
      <c r="M74" s="492">
        <f t="shared" si="18"/>
        <v>-5.0000000000000001E-3</v>
      </c>
      <c r="N74" s="492">
        <f t="shared" si="18"/>
        <v>-0.01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1.4999999999999999E-2</v>
      </c>
      <c r="E75" s="263"/>
      <c r="F75" s="938"/>
      <c r="G75" s="491">
        <v>7.4999999999999997E-3</v>
      </c>
      <c r="H75" s="494">
        <f t="shared" si="15"/>
        <v>7.4999999999999997E-3</v>
      </c>
      <c r="I75" s="252">
        <v>0.12</v>
      </c>
      <c r="J75" s="492">
        <f t="shared" si="16"/>
        <v>1.4999999999999999E-2</v>
      </c>
      <c r="K75" s="492">
        <f t="shared" si="17"/>
        <v>7.4999999999999997E-3</v>
      </c>
      <c r="L75" s="492">
        <v>0</v>
      </c>
      <c r="M75" s="492">
        <f t="shared" si="18"/>
        <v>-7.4999999999999997E-3</v>
      </c>
      <c r="N75" s="492">
        <f t="shared" si="18"/>
        <v>-1.4999999999999999E-2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3.1250000000000002E-3</v>
      </c>
      <c r="H76" s="494">
        <f t="shared" si="15"/>
        <v>3.1250000000000002E-3</v>
      </c>
      <c r="I76" s="252">
        <v>0.05</v>
      </c>
      <c r="J76" s="492">
        <f t="shared" si="16"/>
        <v>6.2500000000000003E-3</v>
      </c>
      <c r="K76" s="492">
        <f t="shared" si="17"/>
        <v>3.1250000000000002E-3</v>
      </c>
      <c r="L76" s="492">
        <v>0</v>
      </c>
      <c r="M76" s="492">
        <f t="shared" si="18"/>
        <v>-3.1250000000000002E-3</v>
      </c>
      <c r="N76" s="492">
        <f t="shared" si="18"/>
        <v>-6.2500000000000003E-3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9.3749999999999997E-3</v>
      </c>
      <c r="E77" s="263"/>
      <c r="F77" s="938"/>
      <c r="G77" s="491">
        <v>9.3749999999999997E-3</v>
      </c>
      <c r="H77" s="494">
        <f t="shared" si="15"/>
        <v>9.3749999999999997E-3</v>
      </c>
      <c r="I77" s="252">
        <v>0.15</v>
      </c>
      <c r="J77" s="492">
        <f t="shared" si="16"/>
        <v>1.8749999999999999E-2</v>
      </c>
      <c r="K77" s="492">
        <f t="shared" si="17"/>
        <v>9.3749999999999997E-3</v>
      </c>
      <c r="L77" s="492">
        <v>0</v>
      </c>
      <c r="M77" s="492">
        <f t="shared" si="18"/>
        <v>-9.3749999999999997E-3</v>
      </c>
      <c r="N77" s="492">
        <f t="shared" si="18"/>
        <v>-1.8749999999999999E-2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1798</v>
      </c>
      <c r="D78" s="490">
        <f t="shared" si="14"/>
        <v>2.5000000000000001E-3</v>
      </c>
      <c r="E78" s="264"/>
      <c r="F78" s="938"/>
      <c r="G78" s="491">
        <v>2.5000000000000001E-3</v>
      </c>
      <c r="H78" s="494">
        <f t="shared" si="15"/>
        <v>2.5000000000000001E-3</v>
      </c>
      <c r="I78" s="260">
        <v>0.04</v>
      </c>
      <c r="J78" s="492">
        <f t="shared" si="16"/>
        <v>5.0000000000000001E-3</v>
      </c>
      <c r="K78" s="492">
        <f t="shared" si="17"/>
        <v>2.5000000000000001E-3</v>
      </c>
      <c r="L78" s="492">
        <v>0</v>
      </c>
      <c r="M78" s="492">
        <f t="shared" si="18"/>
        <v>-2.5000000000000001E-3</v>
      </c>
      <c r="N78" s="492">
        <f t="shared" si="18"/>
        <v>-5.0000000000000001E-3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1157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1158</v>
      </c>
      <c r="B92" s="1805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06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07"/>
      <c r="B109" s="1809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1173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7780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2025-11-17T09:29:48Z</dcterms:modified>
</cp:coreProperties>
</file>