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1北京市昌平区西环路44号院6号楼6层4单元412\"/>
    </mc:Choice>
  </mc:AlternateContent>
  <bookViews>
    <workbookView xWindow="0" yWindow="0" windowWidth="19752"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59" i="21" l="1"/>
  <c r="E59" i="21"/>
  <c r="I33" i="21"/>
  <c r="G33" i="21"/>
  <c r="E33" i="21"/>
  <c r="I47" i="21"/>
  <c r="G47" i="21"/>
  <c r="E47" i="21"/>
  <c r="I7" i="21"/>
  <c r="G7" i="21"/>
  <c r="E7" i="21"/>
  <c r="I6" i="21"/>
  <c r="G6" i="21"/>
  <c r="E6" i="21"/>
  <c r="I5" i="21"/>
  <c r="G5" i="21"/>
  <c r="E5" i="21"/>
  <c r="N20" i="1"/>
  <c r="F19" i="6"/>
  <c r="N59" i="21" l="1"/>
  <c r="M59" i="21"/>
  <c r="J59" i="21"/>
  <c r="G59" i="21"/>
  <c r="D90" i="21" l="1"/>
  <c r="D5" i="9" l="1"/>
  <c r="E90" i="21"/>
  <c r="I12" i="21" l="1"/>
  <c r="G12" i="21"/>
  <c r="C37" i="21" l="1"/>
  <c r="I37" i="21" l="1"/>
  <c r="G37" i="21"/>
  <c r="E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20" i="31"/>
  <c r="B8" i="76"/>
  <c r="M9" i="67"/>
  <c r="B7" i="76"/>
  <c r="E2" i="69"/>
  <c r="F7" i="67"/>
  <c r="E7" i="76"/>
  <c r="E9" i="76"/>
  <c r="M8" i="15"/>
  <c r="F6" i="73"/>
  <c r="M22" i="67"/>
  <c r="D34" i="9"/>
  <c r="B13" i="76"/>
  <c r="E11" i="76"/>
  <c r="E2" i="68"/>
  <c r="B10" i="76"/>
  <c r="M23" i="67"/>
  <c r="AO13" i="1"/>
  <c r="E12" i="76"/>
  <c r="E8" i="76"/>
  <c r="B12" i="76"/>
  <c r="F4" i="73"/>
  <c r="F7" i="73"/>
  <c r="C76" i="67"/>
  <c r="M8" i="67"/>
  <c r="B11" i="76"/>
  <c r="F3" i="73"/>
  <c r="E13" i="76"/>
  <c r="B9" i="76"/>
  <c r="F5" i="73"/>
  <c r="E10"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D3" i="73"/>
  <c r="F40" i="15"/>
  <c r="F43" i="15"/>
  <c r="M9" i="15"/>
  <c r="F9" i="67"/>
  <c r="F6" i="15"/>
  <c r="L47" i="67"/>
  <c r="M29" i="15"/>
  <c r="D7" i="73"/>
  <c r="D5" i="73"/>
  <c r="J15" i="67"/>
  <c r="F38" i="67"/>
  <c r="F37" i="15"/>
  <c r="L47" i="15"/>
  <c r="F26" i="67"/>
  <c r="F9" i="15"/>
  <c r="F42" i="67"/>
  <c r="M28" i="67"/>
  <c r="D4" i="73"/>
  <c r="F7" i="15"/>
  <c r="F38" i="15"/>
  <c r="M22" i="15"/>
  <c r="J15" i="15"/>
  <c r="F13" i="15"/>
  <c r="M24" i="15"/>
  <c r="F16" i="15"/>
  <c r="F40" i="67"/>
  <c r="L48" i="15"/>
  <c r="L48" i="67"/>
  <c r="M6" i="15"/>
  <c r="F13" i="67"/>
  <c r="M23" i="15"/>
  <c r="C76" i="15"/>
  <c r="M29" i="67"/>
  <c r="F43" i="67"/>
  <c r="F42" i="15"/>
  <c r="M24" i="67"/>
  <c r="C36" i="69"/>
  <c r="D6" i="73"/>
  <c r="M26" i="67"/>
  <c r="F36" i="15"/>
  <c r="M28" i="15"/>
  <c r="F16" i="67"/>
  <c r="F6" i="67"/>
  <c r="F8" i="67"/>
  <c r="D9" i="69"/>
  <c r="M6" i="67"/>
  <c r="F36" i="67"/>
  <c r="F37" i="67"/>
  <c r="F26" i="15"/>
  <c r="F8"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C16" i="67"/>
  <c r="F27" i="69"/>
  <c r="C16" i="15"/>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AY176" i="3" l="1"/>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15"/>
  <c r="C17" i="67"/>
  <c r="D10" i="69"/>
  <c r="C34"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C20" i="9"/>
  <c r="D2" i="35"/>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0" i="1"/>
  <c r="AO7" i="1"/>
  <c r="AO11"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s="1"/>
  <c r="C52" i="69" s="1"/>
  <c r="B2" i="69" l="1"/>
  <c r="C57" i="69"/>
  <c r="C56" i="69" s="1"/>
  <c r="D19" i="9"/>
  <c r="D102" i="9" l="1"/>
  <c r="D21" i="9"/>
  <c r="G19" i="9"/>
  <c r="D22" i="9"/>
  <c r="B3" i="69"/>
  <c r="D20" i="9" s="1"/>
  <c r="G20" i="9" l="1"/>
  <c r="C32" i="9" s="1"/>
  <c r="C35" i="9" s="1"/>
  <c r="C34" i="9" s="1"/>
  <c r="D103" i="9"/>
  <c r="G21" i="9"/>
  <c r="D14" i="74"/>
  <c r="B5" i="74" l="1"/>
  <c r="F14" i="74"/>
  <c r="E14" i="74"/>
  <c r="D5" i="74" l="1"/>
  <c r="B49" i="72" l="1"/>
  <c r="N58" i="9"/>
  <c r="P57" i="9"/>
  <c r="D52" i="9"/>
  <c r="D53" i="9"/>
  <c r="H4" i="52"/>
  <c r="C104" i="9"/>
  <c r="B21" i="72"/>
  <c r="C78" i="9"/>
  <c r="C73" i="9"/>
  <c r="B22" i="72"/>
  <c r="B32" i="72"/>
  <c r="E81" i="9"/>
  <c r="H119" i="9"/>
  <c r="H5" i="52"/>
  <c r="M48" i="9"/>
  <c r="B53" i="72"/>
  <c r="C6" i="74"/>
  <c r="D8" i="52"/>
  <c r="B20" i="72"/>
  <c r="D5" i="53"/>
  <c r="D6" i="53"/>
  <c r="C105" i="9"/>
  <c r="I4" i="52"/>
  <c r="B48" i="72"/>
  <c r="D54" i="9"/>
  <c r="E4" i="52"/>
  <c r="H108" i="9"/>
  <c r="D15" i="53"/>
  <c r="B31" i="72"/>
  <c r="N60" i="9"/>
  <c r="N59" i="9"/>
  <c r="N61" i="9"/>
  <c r="C97" i="9"/>
  <c r="D58" i="9"/>
  <c r="D56" i="9"/>
  <c r="M54" i="9"/>
  <c r="C81" i="9"/>
  <c r="C80" i="9"/>
  <c r="E80" i="9"/>
  <c r="F119" i="9"/>
  <c r="F5" i="52"/>
  <c r="D7" i="53"/>
  <c r="H102" i="9"/>
  <c r="C5" i="74"/>
  <c r="C93" i="9"/>
  <c r="C86" i="9"/>
  <c r="D4" i="52"/>
  <c r="B47" i="72"/>
  <c r="C68" i="9"/>
  <c r="D55" i="9"/>
  <c r="M53" i="9"/>
  <c r="N57" i="9"/>
  <c r="C72" i="9"/>
  <c r="C79" i="9"/>
  <c r="D14" i="53"/>
  <c r="D13" i="53"/>
  <c r="B30" i="72"/>
  <c r="C64" i="9"/>
  <c r="C63" i="9"/>
  <c r="C67" i="9"/>
  <c r="D59" i="9"/>
  <c r="M55" i="9"/>
  <c r="C96" i="9"/>
  <c r="E96" i="9"/>
  <c r="E97" i="9"/>
  <c r="E118" i="9"/>
  <c r="D118" i="9"/>
  <c r="D119" i="9"/>
  <c r="D5" i="52"/>
  <c r="F4" i="52"/>
  <c r="B51" i="72"/>
  <c r="F118" i="9"/>
  <c r="G118" i="9"/>
  <c r="G4" i="52"/>
  <c r="B52" i="72"/>
  <c r="H107" i="9"/>
  <c r="D122" i="9"/>
  <c r="D123" i="9"/>
  <c r="D9" i="5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A2" authorId="0" shapeId="0">
      <text>
        <r>
          <rPr>
            <b/>
            <sz val="9"/>
            <color indexed="81"/>
            <rFont val="宋体"/>
            <family val="3"/>
            <charset val="134"/>
          </rPr>
          <t>此项填写合同日期，无合同日期填写预售登记日期，均无则在备注中注明</t>
        </r>
      </text>
    </comment>
    <comment ref="BB2" authorId="0" shapeId="0">
      <text>
        <r>
          <rPr>
            <b/>
            <sz val="9"/>
            <color indexed="81"/>
            <rFont val="宋体"/>
            <family val="3"/>
            <charset val="134"/>
          </rPr>
          <t>在补充过程中发现合同遗漏的项目，不能正常补充的需注明。</t>
        </r>
      </text>
    </comment>
    <comment ref="BF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<sst xmlns="http://schemas.openxmlformats.org/spreadsheetml/2006/main" count="8291" uniqueCount="3712">
  <si>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</si>
  <si>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</si>
  <si>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</si>
  <si>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</si>
  <si>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</si>
  <si>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</si>
  <si>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</si>
  <si>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</si>
  <si>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</si>
  <si>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</si>
  <si>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</si>
  <si>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</si>
  <si>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</si>
  <si>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</si>
  <si>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</si>
  <si>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</si>
  <si>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</si>
  <si>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</si>
  <si>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</si>
  <si>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</si>
  <si>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</si>
  <si>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</si>
  <si>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</si>
  <si>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</si>
  <si>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</si>
  <si>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</si>
  <si>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</si>
  <si>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</si>
  <si>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</si>
  <si>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</si>
  <si>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</si>
  <si>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</si>
  <si>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</si>
  <si>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</si>
  <si>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</si>
  <si>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</si>
  <si>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</si>
  <si>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</si>
  <si>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</si>
  <si>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</si>
  <si>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</si>
  <si>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</si>
  <si>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</si>
  <si>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</si>
  <si>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</si>
  <si>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</si>
  <si>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</si>
  <si>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</si>
  <si>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</si>
  <si>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</si>
  <si>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</si>
  <si>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</si>
  <si>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</si>
  <si>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</si>
  <si>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</si>
  <si>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</si>
  <si>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</si>
  <si>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</si>
  <si>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</si>
  <si>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</si>
  <si>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</si>
  <si>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</si>
  <si>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</si>
  <si>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</si>
  <si>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</si>
  <si>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</si>
  <si>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</si>
  <si>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</si>
  <si>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</si>
  <si>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</si>
  <si>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</si>
  <si>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</si>
  <si>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</si>
  <si>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</si>
  <si>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</si>
  <si>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</si>
  <si>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</si>
  <si>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</si>
  <si>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</si>
  <si>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</si>
  <si>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</si>
  <si>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</si>
  <si>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</si>
  <si>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</si>
  <si>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</si>
  <si>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</si>
  <si>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</si>
  <si>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</si>
  <si>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</si>
  <si>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</si>
  <si>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</si>
  <si>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</si>
  <si>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</si>
  <si>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</si>
  <si>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</si>
  <si>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</si>
  <si>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</si>
  <si>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</si>
  <si>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</si>
  <si>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</si>
  <si>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</si>
  <si>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</si>
  <si>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</si>
  <si>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</si>
  <si>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</si>
  <si>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</si>
  <si>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</si>
  <si>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</si>
  <si>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</si>
  <si>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</si>
  <si>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</si>
  <si>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</si>
  <si>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</si>
  <si>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</si>
  <si>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</si>
  <si>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</si>
  <si>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</si>
  <si>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</si>
  <si>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</si>
  <si>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</si>
  <si>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</si>
  <si>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</si>
  <si>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</si>
  <si>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</si>
  <si>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</si>
  <si>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</si>
  <si>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</si>
  <si>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</si>
  <si>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</si>
  <si>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</si>
  <si>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</si>
  <si>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</si>
  <si>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</si>
  <si>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</si>
  <si>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</si>
  <si>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</si>
  <si>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</si>
  <si>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</si>
  <si>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</si>
  <si>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</si>
  <si>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</si>
  <si>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</si>
  <si>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</si>
  <si>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</si>
  <si>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</si>
  <si>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</si>
  <si>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</si>
  <si>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</si>
  <si>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</si>
  <si>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</si>
  <si>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</si>
  <si>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</si>
  <si>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</si>
  <si>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</si>
  <si>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</si>
  <si>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</si>
  <si>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</si>
  <si>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</si>
  <si>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</si>
  <si>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</si>
  <si>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</si>
  <si>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</si>
  <si>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</si>
  <si>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</si>
  <si>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</si>
  <si>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</si>
  <si>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</si>
  <si>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</si>
  <si>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</si>
  <si>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</si>
  <si>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</si>
  <si>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</si>
  <si>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</si>
  <si>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</si>
  <si>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</si>
  <si>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</si>
  <si>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</si>
  <si>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</si>
  <si>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</si>
  <si>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</si>
  <si>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</si>
  <si>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</si>
  <si>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</si>
  <si>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</si>
  <si>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</si>
  <si>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</si>
  <si>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</si>
  <si>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</si>
  <si>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</si>
  <si>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</si>
  <si>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</si>
  <si>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</si>
  <si>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</si>
  <si>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</si>
  <si>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</si>
  <si>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</si>
  <si>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</si>
  <si>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</si>
  <si>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</si>
  <si>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</si>
  <si>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</si>
  <si>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</si>
  <si>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</si>
  <si>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</si>
  <si>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</si>
  <si>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</si>
  <si>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</si>
  <si>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</si>
  <si>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</si>
  <si>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</si>
  <si>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</si>
  <si>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</si>
  <si>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</si>
  <si>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</si>
  <si>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</si>
  <si>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</si>
  <si>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</si>
  <si>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</si>
  <si>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</si>
  <si>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</si>
  <si>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</si>
  <si>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</si>
  <si>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</si>
  <si>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</si>
  <si>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</si>
  <si>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</si>
  <si>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</si>
  <si>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</si>
  <si>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</si>
  <si>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</si>
  <si>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</si>
  <si>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</si>
  <si>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</si>
  <si>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</si>
  <si>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</si>
  <si>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</si>
  <si>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</si>
  <si>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</si>
  <si>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</si>
  <si>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</si>
  <si>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</si>
  <si>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</si>
  <si>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</si>
  <si>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</si>
  <si>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</si>
  <si>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</si>
  <si>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</si>
  <si>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</si>
  <si>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</si>
  <si>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</si>
  <si>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</si>
  <si>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</si>
  <si>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</si>
  <si>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</si>
  <si>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</si>
  <si>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</si>
  <si>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</si>
  <si>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</si>
  <si>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</si>
  <si>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</si>
  <si>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</si>
  <si>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</si>
  <si>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</si>
  <si>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</si>
  <si>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</si>
  <si>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</si>
  <si>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</si>
  <si>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</si>
  <si>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</si>
  <si>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</si>
  <si>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</si>
  <si>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</si>
  <si>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</si>
  <si>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</si>
  <si>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</si>
  <si>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</si>
  <si>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</si>
  <si>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</si>
  <si>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</si>
  <si>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</si>
  <si>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</si>
  <si>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</si>
  <si>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</si>
  <si>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</si>
  <si>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</si>
  <si>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</si>
  <si>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</si>
  <si>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</si>
  <si>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</si>
  <si>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</si>
  <si>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</si>
  <si>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</si>
  <si>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</si>
  <si>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</si>
  <si>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</si>
  <si>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</si>
  <si>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</si>
  <si>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</si>
  <si>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</si>
  <si>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</si>
  <si>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</si>
  <si>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</si>
  <si>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</si>
  <si>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</si>
  <si>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</si>
  <si>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</si>
  <si>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</si>
  <si>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</si>
  <si>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</si>
  <si>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</si>
  <si>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</si>
  <si>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</si>
  <si>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</si>
  <si>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</si>
  <si>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</si>
  <si>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</si>
  <si>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</si>
  <si>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</si>
  <si>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</si>
  <si>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</si>
  <si>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</si>
  <si>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</si>
  <si>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</si>
  <si>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</si>
  <si>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</si>
  <si>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</si>
  <si>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</si>
  <si>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</si>
  <si>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</si>
  <si>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</si>
  <si>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</si>
  <si>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</si>
  <si>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</si>
  <si>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</si>
  <si>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</si>
  <si>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</si>
  <si>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</si>
  <si>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</si>
  <si>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</si>
  <si>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</si>
  <si>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</si>
  <si>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</si>
  <si>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</si>
  <si>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</si>
  <si>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</si>
  <si>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</si>
  <si>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</si>
  <si>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</si>
  <si>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</si>
  <si>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</si>
  <si>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</si>
  <si>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</si>
  <si>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</si>
  <si>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</si>
  <si>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</si>
  <si>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</si>
  <si>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</si>
  <si>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</si>
  <si>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</si>
  <si>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</si>
  <si>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</si>
  <si>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</si>
  <si>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</si>
  <si>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</si>
  <si>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</si>
  <si>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</si>
  <si>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</si>
  <si>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</si>
  <si>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</si>
  <si>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</si>
  <si>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</si>
  <si>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</si>
  <si>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</si>
  <si>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</si>
  <si>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</si>
  <si>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</si>
  <si>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</si>
  <si>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</si>
  <si>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</si>
  <si>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</si>
  <si>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</si>
  <si>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</si>
  <si>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</si>
  <si>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</si>
  <si>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</si>
  <si>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</si>
  <si>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</si>
  <si>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</si>
  <si>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</si>
  <si>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</si>
  <si>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</si>
  <si>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</si>
  <si>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</si>
  <si>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</si>
  <si>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</si>
  <si>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</si>
  <si>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</si>
  <si>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</si>
  <si>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</si>
  <si>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</si>
  <si>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</si>
  <si>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</si>
  <si>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</si>
  <si>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</si>
  <si>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</si>
  <si>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</si>
  <si>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</si>
  <si>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</si>
  <si>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</si>
  <si>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</si>
  <si>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</si>
  <si>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</si>
  <si>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</si>
  <si>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</si>
  <si>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</si>
  <si>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</si>
  <si>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</si>
  <si>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</si>
  <si>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</si>
  <si>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</si>
  <si>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</si>
  <si>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</si>
  <si>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</si>
  <si>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</si>
  <si>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</si>
  <si>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</si>
  <si>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</si>
  <si>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</si>
  <si>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</si>
  <si>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</si>
  <si>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</si>
  <si>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</si>
  <si>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</si>
  <si>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</si>
  <si>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</si>
  <si>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</si>
  <si>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</si>
  <si>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</si>
  <si>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</si>
  <si>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</si>
  <si>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</si>
  <si>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</si>
  <si>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</si>
  <si>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</si>
  <si>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</si>
  <si>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</si>
  <si>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</si>
  <si>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</si>
  <si>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</si>
  <si>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</si>
  <si>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</si>
  <si>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</si>
  <si>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</si>
  <si>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</si>
  <si>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</si>
  <si>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</si>
  <si>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</si>
  <si>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</si>
  <si>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</si>
  <si>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</si>
  <si>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</si>
  <si>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</si>
  <si>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</si>
  <si>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</si>
  <si>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</si>
  <si>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</si>
  <si>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</si>
  <si>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</si>
  <si>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</si>
  <si>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</si>
  <si>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</si>
  <si>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</si>
  <si>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</si>
  <si>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</si>
  <si>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</si>
  <si>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</si>
  <si>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</si>
  <si>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</si>
  <si>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</si>
  <si>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</si>
  <si>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</si>
  <si>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</si>
  <si>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</si>
  <si>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</si>
  <si>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</si>
  <si>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</si>
  <si>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</si>
  <si>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</si>
  <si>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</si>
  <si>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</si>
  <si>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</si>
  <si>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</si>
  <si>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</si>
  <si>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</si>
  <si>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</si>
  <si>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</si>
  <si>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</si>
  <si>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</si>
  <si>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</si>
  <si>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</si>
  <si>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</si>
  <si>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</si>
  <si>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</si>
  <si>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</si>
  <si>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</si>
  <si>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</si>
  <si>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</si>
  <si>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</si>
  <si>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</si>
  <si>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</si>
  <si>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</si>
  <si>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</si>
  <si>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</si>
  <si>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</si>
  <si>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</si>
  <si>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</si>
  <si>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</si>
  <si>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</si>
  <si>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</si>
  <si>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</si>
  <si>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</si>
  <si>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</si>
  <si>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</si>
  <si>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</si>
  <si>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</si>
  <si>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</si>
  <si>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</si>
  <si>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</si>
  <si>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</si>
  <si>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</si>
  <si>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</si>
  <si>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</si>
  <si>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</si>
  <si>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</si>
  <si>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</si>
  <si>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</si>
  <si>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</si>
  <si>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</si>
  <si>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</si>
  <si>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</si>
  <si>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</si>
  <si>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</si>
  <si>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</si>
  <si>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</si>
  <si>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</si>
  <si>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</si>
  <si>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</si>
  <si>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</si>
  <si>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</si>
  <si>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</si>
  <si>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</si>
  <si>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</si>
  <si>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</si>
  <si>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</si>
  <si>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</si>
  <si>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</si>
  <si>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</si>
  <si>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</si>
  <si>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</si>
  <si>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</si>
  <si>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</si>
  <si>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</si>
  <si>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</si>
  <si>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</si>
  <si>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</si>
  <si>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</si>
  <si>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</si>
  <si>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</si>
  <si>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</si>
  <si>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</si>
  <si>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</si>
  <si>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</si>
  <si>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</si>
  <si>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</si>
  <si>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</si>
  <si>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</si>
  <si>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</si>
  <si>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</si>
  <si>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</si>
  <si>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</si>
  <si>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</si>
  <si>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</si>
  <si>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</si>
  <si>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</si>
  <si>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</si>
  <si>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</si>
  <si>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</si>
  <si>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</si>
  <si>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</si>
  <si>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</si>
  <si>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</si>
  <si>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</si>
  <si>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</si>
  <si>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</si>
  <si>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</si>
  <si>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</si>
  <si>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</si>
  <si>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</si>
  <si>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</si>
  <si>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</si>
  <si>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</si>
  <si>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</si>
  <si>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</si>
  <si>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</si>
  <si>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</si>
  <si>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</si>
  <si>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</si>
  <si>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</si>
  <si>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</si>
  <si>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</si>
  <si>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</si>
  <si>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</si>
  <si>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</si>
  <si>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</si>
  <si>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</si>
  <si>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</si>
  <si>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</si>
  <si>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</si>
  <si>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</si>
  <si>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</si>
  <si>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</si>
  <si>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</si>
  <si>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</si>
  <si>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</si>
  <si>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</si>
  <si>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</si>
  <si>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</si>
  <si>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</si>
  <si>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</si>
  <si>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</si>
  <si>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</si>
  <si>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</si>
  <si>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</si>
  <si>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</si>
  <si>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</si>
  <si>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</si>
  <si>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</si>
  <si>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</si>
  <si>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</si>
  <si>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</si>
  <si>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</si>
  <si>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</si>
  <si>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</si>
  <si>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</si>
  <si>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</si>
  <si>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</si>
  <si>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</si>
  <si>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</si>
  <si>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</si>
  <si>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</si>
  <si>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</si>
  <si>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</si>
  <si>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</si>
  <si>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</si>
  <si>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</si>
  <si>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</si>
  <si>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</si>
  <si>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</si>
  <si>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</si>
  <si>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</si>
  <si>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</si>
  <si>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</si>
  <si>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</si>
  <si>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</si>
  <si>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</si>
  <si>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</si>
  <si>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</si>
  <si>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</si>
  <si>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</si>
  <si>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</si>
  <si>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</si>
  <si>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</si>
  <si>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</si>
  <si>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</si>
  <si>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</si>
  <si>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</si>
  <si>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</si>
  <si>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</si>
  <si>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</si>
  <si>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</si>
  <si>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</si>
  <si>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</si>
  <si>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</si>
  <si>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</si>
  <si>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</si>
  <si>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</si>
  <si>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</si>
  <si>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</si>
  <si>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</si>
  <si>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</si>
  <si>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</si>
  <si>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</si>
  <si>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</si>
  <si>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</si>
  <si>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</si>
  <si>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</si>
  <si>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</si>
  <si>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</si>
  <si>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</si>
  <si>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</si>
  <si>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</si>
  <si>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</si>
  <si>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</si>
  <si>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</si>
  <si>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</si>
  <si>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</si>
  <si>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</si>
  <si>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</si>
  <si>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</si>
  <si>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</si>
  <si>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</si>
  <si>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</si>
  <si>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</si>
  <si>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</si>
  <si>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</si>
  <si>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</si>
  <si>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</si>
  <si>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</si>
  <si>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</si>
  <si>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</si>
  <si>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</si>
  <si>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</si>
  <si>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</si>
  <si>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</si>
  <si>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</si>
  <si>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</si>
  <si>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</si>
  <si>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</si>
  <si>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</si>
  <si>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</si>
  <si>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</si>
  <si>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</si>
  <si>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</si>
  <si>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</si>
  <si>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</si>
  <si>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</si>
  <si>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</si>
  <si>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</si>
  <si>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</si>
  <si>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</si>
  <si>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</si>
  <si>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</si>
  <si>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</si>
  <si>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</si>
  <si>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</si>
  <si>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</si>
  <si>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</si>
  <si>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</si>
  <si>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</si>
  <si>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</si>
  <si>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</si>
  <si>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</si>
  <si>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</si>
  <si>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</si>
  <si>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</si>
  <si>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</si>
  <si>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</si>
  <si>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</si>
  <si>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</si>
  <si>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</si>
  <si>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</si>
  <si>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</si>
  <si>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</si>
  <si>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</si>
  <si>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</si>
  <si>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</si>
  <si>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</si>
  <si>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</si>
  <si>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</si>
  <si>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</si>
  <si>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</si>
  <si>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</si>
  <si>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</si>
  <si>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</si>
  <si>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</si>
  <si>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</si>
  <si>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</si>
  <si>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</si>
  <si>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</si>
  <si>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</si>
  <si>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</si>
  <si>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</si>
  <si>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</si>
  <si>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</si>
  <si>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</si>
  <si>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</si>
  <si>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</si>
  <si>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</si>
  <si>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</si>
  <si>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</si>
  <si>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</si>
  <si>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</si>
  <si>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</si>
  <si>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</si>
  <si>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</si>
  <si>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</si>
  <si>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</si>
  <si>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</si>
  <si>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</si>
  <si>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</si>
  <si>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</si>
  <si>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</si>
  <si>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</si>
  <si>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</si>
  <si>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</si>
  <si>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</si>
  <si>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</si>
  <si>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</si>
  <si>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</si>
  <si>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</si>
  <si>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</si>
  <si>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</si>
  <si>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</si>
  <si>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</si>
  <si>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</si>
  <si>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</si>
  <si>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</si>
  <si>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</si>
  <si>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</si>
  <si>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</si>
  <si>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</si>
  <si>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</si>
  <si>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</si>
  <si>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</si>
  <si>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</si>
  <si>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</si>
  <si>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</si>
  <si>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</si>
  <si>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</si>
  <si>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</si>
  <si>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</si>
  <si>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</si>
  <si>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</si>
  <si>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</si>
  <si>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</si>
  <si>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</si>
  <si>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</si>
  <si>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</si>
  <si>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</si>
  <si>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</si>
  <si>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</si>
  <si>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</si>
  <si>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</si>
  <si>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</si>
  <si>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</si>
  <si>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</si>
  <si>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</si>
  <si>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</si>
  <si>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</si>
  <si>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</si>
  <si>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</si>
  <si>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</si>
  <si>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</si>
  <si>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</si>
  <si>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</si>
  <si>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</si>
  <si>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</si>
  <si>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</si>
  <si>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</si>
  <si>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</si>
  <si>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</si>
  <si>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</si>
  <si>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</si>
  <si>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</si>
  <si>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</si>
  <si>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</si>
  <si>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</si>
  <si>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</si>
  <si>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</si>
  <si>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</si>
  <si>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</si>
  <si>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</si>
  <si>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</si>
  <si>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</si>
  <si>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</si>
  <si>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</si>
  <si>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</si>
  <si>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</si>
  <si>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</si>
  <si>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</si>
  <si>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</si>
  <si>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</si>
  <si>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</si>
  <si>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</si>
  <si>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</si>
  <si>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</si>
  <si>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</si>
  <si>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</si>
  <si>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</si>
  <si>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</si>
  <si>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</si>
  <si>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</si>
  <si>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</si>
  <si>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</si>
  <si>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</si>
  <si>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</si>
  <si>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</si>
  <si>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</si>
  <si>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</si>
  <si>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</si>
  <si>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</si>
  <si>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</si>
  <si>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</si>
  <si>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</si>
  <si>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</si>
  <si>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</si>
  <si>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</si>
  <si>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</si>
  <si>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</si>
  <si>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</si>
  <si>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</si>
  <si>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</si>
  <si>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</si>
  <si>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</si>
  <si>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</si>
  <si>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</si>
  <si>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</si>
  <si>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</si>
  <si>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</si>
  <si>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</si>
  <si>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</si>
  <si>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</si>
  <si>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</si>
  <si>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</si>
  <si>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</si>
  <si>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</si>
  <si>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</si>
  <si>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</si>
  <si>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</si>
  <si>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</si>
  <si>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</si>
  <si>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</si>
  <si>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</si>
  <si>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</si>
  <si>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</si>
  <si>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</si>
  <si>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</si>
  <si>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</si>
  <si>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</si>
  <si>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</si>
  <si>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</si>
  <si>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</si>
  <si>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</si>
  <si>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</si>
  <si>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</si>
  <si>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</si>
  <si>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</si>
  <si>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</si>
  <si>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</si>
  <si>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</si>
  <si>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</si>
  <si>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</si>
  <si>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</si>
  <si>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</si>
  <si>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</si>
  <si>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</si>
  <si>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</si>
  <si>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</si>
  <si>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</si>
  <si>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</si>
  <si>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</si>
  <si>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</si>
  <si>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</si>
  <si>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</si>
  <si>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</si>
  <si>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</si>
  <si>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</si>
  <si>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</si>
  <si>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</si>
  <si>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</si>
  <si>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</si>
  <si>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</si>
  <si>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</si>
  <si>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</si>
  <si>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</si>
  <si>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</si>
  <si>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</si>
  <si>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</si>
  <si>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</si>
  <si>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</si>
  <si>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</si>
  <si>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</si>
  <si>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</si>
  <si>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</si>
  <si>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</si>
  <si>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</si>
  <si>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</si>
  <si>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</si>
  <si>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</si>
  <si>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</si>
  <si>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</si>
  <si>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</si>
  <si>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</si>
  <si>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</si>
  <si>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</si>
  <si>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</si>
  <si>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</si>
  <si>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</si>
  <si>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</si>
  <si>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</si>
  <si>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</si>
  <si>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</si>
  <si>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</si>
  <si>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</si>
  <si>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</si>
  <si>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</si>
  <si>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</si>
  <si>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</si>
  <si>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</si>
  <si>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</si>
  <si>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</si>
  <si>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</si>
  <si>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</si>
  <si>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</si>
  <si>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</si>
  <si>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</si>
  <si>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</si>
  <si>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</si>
  <si>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</si>
  <si>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</si>
  <si>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</si>
  <si>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</si>
  <si>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</si>
  <si>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</si>
  <si>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</si>
  <si>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</si>
  <si>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</si>
  <si>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</si>
  <si>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</si>
  <si>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</si>
  <si>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</si>
  <si>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</si>
  <si>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</si>
  <si>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</si>
  <si>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</si>
  <si>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</si>
  <si>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</si>
  <si>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</si>
  <si>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</si>
  <si>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</si>
  <si>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</si>
  <si>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</si>
  <si>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</si>
  <si>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</si>
  <si>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</si>
  <si>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</si>
  <si>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</si>
  <si>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</si>
  <si>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</si>
  <si>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</si>
  <si>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</si>
  <si>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</si>
  <si>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</si>
  <si>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</si>
  <si>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</si>
  <si>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</si>
  <si>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</si>
  <si>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</si>
  <si>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</si>
  <si>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</si>
  <si>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</si>
  <si>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</si>
  <si>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</si>
  <si>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</si>
  <si>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</si>
  <si>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</si>
  <si>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</si>
  <si>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</si>
  <si>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</si>
  <si>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</si>
  <si>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</si>
  <si>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</si>
  <si>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</si>
  <si>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</si>
  <si>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</si>
  <si>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</si>
  <si>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</si>
  <si>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</si>
  <si>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</si>
  <si>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</si>
  <si>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</si>
  <si>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</si>
  <si>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</si>
  <si>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</si>
  <si>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</si>
  <si>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</si>
  <si>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</si>
  <si>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</si>
  <si>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</si>
  <si>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</si>
  <si>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</si>
  <si>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</si>
  <si>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</si>
  <si>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</si>
  <si>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</si>
  <si>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</si>
  <si>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</si>
  <si>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</si>
  <si>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</si>
  <si>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</si>
  <si>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</si>
  <si>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</si>
  <si>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</si>
  <si>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</si>
  <si>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</si>
  <si>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</si>
  <si>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</si>
  <si>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</si>
  <si>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</si>
  <si>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</si>
  <si>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</si>
  <si>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</si>
  <si>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</si>
  <si>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</si>
  <si>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</si>
  <si>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</si>
  <si>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</si>
  <si>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</si>
  <si>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</si>
  <si>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</si>
  <si>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</si>
  <si>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</si>
  <si>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</si>
  <si>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</si>
  <si>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</si>
  <si>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</si>
  <si>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</si>
  <si>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</si>
  <si>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</si>
  <si>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</si>
  <si>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</si>
  <si>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</si>
  <si>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</si>
  <si>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</si>
  <si>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</si>
  <si>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</si>
  <si>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</si>
  <si>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</si>
  <si>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</si>
  <si>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</si>
  <si>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</si>
  <si>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</si>
  <si>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</si>
  <si>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</si>
  <si>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</si>
  <si>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</si>
  <si>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</si>
  <si>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</si>
  <si>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</si>
  <si>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</si>
  <si>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</si>
  <si>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</si>
  <si>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</si>
  <si>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</si>
  <si>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</si>
  <si>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</si>
  <si>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</si>
  <si>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</si>
  <si>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</si>
  <si>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</si>
  <si>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</si>
  <si>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</si>
  <si>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</si>
  <si>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</si>
  <si>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</si>
  <si>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</si>
  <si>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</si>
  <si>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</si>
  <si>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</si>
  <si>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</si>
  <si>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</si>
  <si>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</si>
  <si>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</si>
  <si>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</si>
  <si>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</si>
  <si>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</si>
  <si>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</si>
  <si>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</si>
  <si>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</si>
  <si>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</si>
  <si>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</si>
  <si>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</si>
  <si>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</si>
  <si>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</si>
  <si>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</si>
  <si>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</si>
  <si>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</si>
  <si>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</si>
  <si>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</si>
  <si>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</si>
  <si>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</si>
  <si>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</si>
  <si>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</si>
  <si>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</si>
  <si>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</si>
  <si>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</si>
  <si>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</si>
  <si>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</si>
  <si>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</si>
  <si>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</si>
  <si>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</si>
  <si>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</si>
  <si>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</si>
  <si>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</si>
  <si>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</si>
  <si>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</si>
  <si>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</si>
  <si>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</si>
  <si>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</si>
  <si>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</si>
  <si>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</si>
  <si>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</si>
  <si>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</si>
  <si>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</si>
  <si>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</si>
  <si>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</si>
  <si>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</si>
  <si>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</si>
  <si>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</si>
  <si>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</si>
  <si>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</si>
  <si>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</si>
  <si>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</si>
  <si>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</si>
  <si>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</si>
  <si>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</si>
  <si>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</si>
  <si>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</si>
  <si>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</si>
  <si>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</si>
  <si>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</si>
  <si>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</si>
  <si>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</si>
  <si>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</si>
  <si>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</si>
  <si>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</si>
  <si>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</si>
  <si>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</si>
  <si>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</si>
  <si>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</si>
  <si>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</si>
  <si>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</si>
  <si>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</si>
  <si>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</si>
  <si>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</si>
  <si>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</si>
  <si>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</si>
  <si>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</si>
  <si>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</si>
  <si>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</si>
  <si>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</si>
  <si>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</si>
  <si>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</si>
  <si>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</si>
  <si>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</si>
  <si>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</si>
  <si>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</si>
  <si>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</si>
  <si>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</si>
  <si>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</si>
  <si>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</si>
  <si>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</si>
  <si>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</si>
  <si>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</si>
  <si>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</si>
  <si>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</si>
  <si>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</si>
  <si>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</si>
  <si>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</si>
  <si>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</si>
  <si>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</si>
  <si>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</si>
  <si>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</si>
  <si>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</si>
  <si>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</si>
  <si>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</si>
  <si>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</si>
  <si>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</si>
  <si>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</si>
  <si>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</si>
  <si>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</si>
  <si>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</si>
  <si>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</si>
  <si>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</si>
  <si>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</si>
  <si>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</si>
  <si>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</si>
  <si>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</si>
  <si>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</si>
  <si>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</si>
  <si>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</si>
  <si>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</si>
  <si>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</si>
  <si>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</si>
  <si>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</si>
  <si>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</si>
  <si>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</si>
  <si>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</si>
  <si>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</si>
  <si>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</si>
  <si>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</si>
  <si>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</si>
  <si>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</si>
  <si>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</si>
  <si>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</si>
  <si>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</si>
  <si>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</si>
  <si>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</si>
  <si>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</si>
  <si>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</si>
  <si>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</si>
  <si>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</si>
  <si>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</si>
  <si>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</si>
  <si>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</si>
  <si>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</si>
  <si>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</si>
  <si>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</si>
  <si>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</si>
  <si>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</si>
  <si>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</si>
  <si>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</si>
  <si>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</si>
  <si>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</si>
  <si>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</si>
  <si>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</si>
  <si>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</si>
  <si>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</si>
  <si>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</si>
  <si>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</si>
  <si>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</si>
  <si>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</si>
  <si>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</si>
  <si>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</si>
  <si>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</si>
  <si>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</si>
  <si>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</si>
  <si>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</si>
  <si>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</si>
  <si>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</si>
  <si>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</si>
  <si>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</si>
  <si>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</si>
  <si>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</si>
  <si>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</si>
  <si>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</si>
  <si>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</si>
  <si>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</si>
  <si>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</si>
  <si>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</si>
  <si>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</si>
  <si>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</si>
  <si>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</si>
  <si>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</si>
  <si>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</si>
  <si>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</si>
  <si>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</si>
  <si>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</si>
  <si>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</si>
  <si>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</si>
  <si>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</si>
  <si>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</si>
  <si>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</si>
  <si>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</si>
  <si>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</si>
  <si>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</si>
  <si>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</si>
  <si>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</si>
  <si>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</si>
  <si>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</si>
  <si>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</si>
  <si>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</si>
  <si>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</si>
  <si>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</si>
  <si>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</si>
  <si>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</si>
  <si>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</si>
  <si>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</si>
  <si>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</si>
  <si>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</si>
  <si>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</si>
  <si>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</si>
  <si>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</si>
  <si>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</si>
  <si>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</si>
  <si>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</si>
  <si>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</si>
  <si>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</si>
  <si>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</si>
  <si>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</si>
  <si>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</si>
  <si>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</si>
  <si>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</si>
  <si>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</si>
  <si>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</si>
  <si>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</si>
  <si>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</si>
  <si>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</si>
  <si>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</si>
  <si>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</si>
  <si>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</si>
  <si>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</si>
  <si>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</si>
  <si>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</si>
  <si>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</si>
  <si>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</si>
  <si>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</si>
  <si>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</si>
  <si>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</si>
  <si>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</si>
  <si>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</si>
  <si>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</si>
  <si>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</si>
  <si>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</si>
  <si>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</si>
  <si>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</si>
  <si>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</si>
  <si>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</si>
  <si>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</si>
  <si>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</si>
  <si>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</si>
  <si>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</si>
  <si>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</si>
  <si>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</si>
  <si>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</si>
  <si>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</si>
  <si>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</si>
  <si>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</si>
  <si>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</si>
  <si>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</si>
  <si>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</si>
  <si>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</si>
  <si>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</si>
  <si>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</si>
  <si>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</si>
  <si>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</si>
  <si>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</si>
  <si>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</si>
  <si>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</si>
  <si>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</si>
  <si>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</si>
  <si>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</si>
  <si>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</si>
  <si>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</si>
  <si>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</si>
  <si>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</si>
  <si>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</si>
  <si>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</si>
  <si>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</si>
  <si>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</si>
  <si>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</si>
  <si>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</si>
  <si>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</si>
  <si>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</si>
  <si>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</si>
  <si>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</si>
  <si>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</si>
  <si>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</si>
  <si>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</si>
  <si>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</si>
  <si>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</si>
  <si>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</si>
  <si>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</si>
  <si>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</si>
  <si>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</si>
  <si>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</si>
  <si>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</si>
  <si>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</si>
  <si>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</si>
  <si>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</si>
  <si>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</si>
  <si>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</si>
  <si>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</si>
  <si>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</si>
  <si>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</si>
  <si>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</si>
  <si>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</si>
  <si>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</si>
  <si>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</si>
  <si>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</si>
  <si>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</si>
  <si>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</si>
  <si>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</si>
  <si>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</si>
  <si>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</si>
  <si>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</si>
  <si>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</si>
  <si>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</si>
  <si>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</si>
  <si>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</si>
  <si>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</si>
  <si>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</si>
  <si>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</si>
  <si>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</si>
  <si>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</si>
  <si>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</si>
  <si>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</si>
  <si>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</si>
  <si>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</si>
  <si>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</si>
  <si>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</si>
  <si>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</si>
  <si>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</si>
  <si>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</si>
  <si>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</si>
  <si>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</si>
  <si>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</si>
  <si>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</si>
  <si>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</si>
  <si>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</si>
  <si>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</si>
  <si>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</si>
  <si>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</si>
  <si>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</si>
  <si>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</si>
  <si>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</si>
  <si>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</si>
  <si>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</si>
  <si>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</si>
  <si>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</si>
  <si>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</si>
  <si>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</si>
  <si>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</si>
  <si>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</si>
  <si>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</si>
  <si>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</si>
  <si>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</si>
  <si>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</si>
  <si>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</si>
  <si>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</si>
  <si>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</si>
  <si>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</si>
  <si>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</si>
  <si>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</si>
  <si>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</si>
  <si>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</si>
  <si>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</si>
  <si>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</si>
  <si>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</si>
  <si>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</si>
  <si>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</si>
  <si>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</si>
  <si>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</si>
  <si>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</si>
  <si>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</si>
  <si>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</si>
  <si>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</si>
  <si>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</si>
  <si>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</si>
  <si>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</si>
  <si>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</si>
  <si>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</si>
  <si>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</si>
  <si>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</si>
  <si>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</si>
  <si>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</si>
  <si>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</si>
  <si>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</si>
  <si>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</si>
  <si>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</si>
  <si>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</si>
  <si>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</si>
  <si>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</si>
  <si>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</si>
  <si>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</si>
  <si>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</si>
  <si>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</si>
  <si>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</si>
  <si>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</si>
  <si>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</si>
  <si>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</si>
  <si>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</si>
  <si>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</si>
  <si>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</si>
  <si>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</si>
  <si>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</si>
  <si>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</si>
  <si>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</si>
  <si>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</si>
  <si>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</si>
  <si>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</si>
  <si>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</si>
  <si>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</si>
  <si>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</si>
  <si>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</si>
  <si>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</si>
  <si>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</si>
  <si>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</si>
  <si>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</si>
  <si>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</si>
  <si>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</si>
  <si>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</si>
  <si>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</si>
  <si>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</si>
  <si>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</si>
  <si>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</si>
  <si>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</si>
  <si>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</si>
  <si>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</si>
  <si>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</si>
  <si>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</si>
  <si>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</si>
  <si>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</si>
  <si>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</si>
  <si>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</si>
  <si>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</si>
  <si>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</si>
  <si>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</si>
  <si>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</si>
  <si>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</si>
  <si>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</si>
  <si>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</si>
  <si>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</si>
  <si>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</si>
  <si>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</si>
  <si>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</si>
  <si>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</si>
  <si>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</si>
  <si>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</si>
  <si>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</si>
  <si>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</si>
  <si>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</si>
  <si>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</si>
  <si>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</si>
  <si>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</si>
  <si>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</si>
  <si>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</si>
  <si>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</si>
  <si>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</si>
  <si>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</si>
  <si>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</si>
  <si>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</si>
  <si>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</si>
  <si>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</si>
  <si>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</si>
  <si>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</si>
  <si>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</si>
  <si>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</si>
  <si>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</si>
  <si>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</si>
  <si>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</si>
  <si>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</si>
  <si>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</si>
  <si>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</si>
  <si>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</si>
  <si>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</si>
  <si>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</si>
  <si>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</si>
  <si>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</si>
  <si>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</si>
  <si>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</si>
  <si>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</si>
  <si>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</si>
  <si>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</si>
  <si>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</si>
  <si>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</si>
  <si>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</si>
  <si>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</si>
  <si>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</si>
  <si>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</si>
  <si>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</si>
  <si>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</si>
  <si>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</si>
  <si>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</si>
  <si>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</si>
  <si>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</si>
  <si>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</si>
  <si>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</si>
  <si>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</si>
  <si>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</si>
  <si>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</si>
  <si>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</si>
  <si>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</si>
  <si>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</si>
  <si>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</si>
  <si>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</si>
  <si>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</si>
  <si>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</si>
  <si>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</si>
  <si>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</si>
  <si>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</si>
  <si>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</si>
  <si>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</si>
  <si>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</si>
  <si>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</si>
  <si>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</si>
  <si>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</si>
  <si>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</si>
  <si>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</si>
  <si>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</si>
  <si>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</si>
  <si>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</si>
  <si>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</si>
  <si>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</si>
  <si>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</si>
  <si>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</si>
  <si>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</si>
  <si>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</si>
  <si>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</si>
  <si>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</si>
  <si>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</si>
  <si>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</si>
  <si>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</si>
  <si>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</si>
  <si>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</si>
  <si>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</si>
  <si>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</si>
  <si>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</si>
  <si>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</si>
  <si>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</si>
  <si>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</si>
  <si>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</si>
  <si>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</si>
  <si>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</si>
  <si>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</si>
  <si>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</si>
  <si>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</si>
  <si>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</si>
  <si>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</si>
  <si>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</si>
  <si>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</si>
  <si>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</si>
  <si>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</si>
  <si>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</si>
  <si>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</si>
  <si>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</si>
  <si>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</si>
  <si>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</si>
  <si>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</si>
  <si>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</si>
  <si>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</si>
  <si>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</si>
  <si>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</si>
  <si>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</si>
  <si>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</si>
  <si>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</si>
  <si>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</si>
  <si>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</si>
  <si>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</si>
  <si>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</si>
  <si>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</si>
  <si>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</si>
  <si>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</si>
  <si>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</si>
  <si>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</si>
  <si>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</si>
  <si>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</si>
  <si>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</si>
  <si>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</si>
  <si>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</si>
  <si>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</si>
  <si>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</si>
  <si>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</si>
  <si>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</si>
  <si>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</si>
  <si>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</si>
  <si>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</si>
  <si>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</si>
  <si>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</si>
  <si>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</si>
  <si>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</si>
  <si>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</si>
  <si>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</si>
  <si>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</si>
  <si>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</si>
  <si>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</si>
  <si>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</si>
  <si>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</si>
  <si>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</si>
  <si>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</si>
  <si>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</si>
  <si>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</si>
  <si>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</si>
  <si>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</si>
  <si>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</si>
  <si>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</si>
  <si>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</si>
  <si>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</si>
  <si>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</si>
  <si>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</si>
  <si>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</si>
  <si>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</si>
  <si>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</si>
  <si>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</si>
  <si>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</si>
  <si>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</si>
  <si>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</si>
  <si>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</si>
  <si>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</si>
  <si>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</si>
  <si>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</si>
  <si>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</si>
  <si>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</si>
  <si>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</si>
  <si>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</si>
  <si>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</si>
  <si>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</si>
  <si>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</si>
  <si>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</si>
  <si>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</si>
  <si>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</si>
  <si>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</si>
  <si>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</si>
  <si>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</si>
  <si>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</si>
  <si>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</si>
  <si>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</si>
  <si>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</si>
  <si>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</si>
  <si>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</si>
  <si>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</si>
  <si>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</si>
  <si>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</si>
  <si>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</si>
  <si>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</si>
  <si>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</si>
  <si>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</si>
  <si>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</si>
  <si>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</si>
  <si>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</si>
  <si>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</si>
  <si>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</si>
  <si>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</si>
  <si>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</si>
  <si>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</si>
  <si>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</si>
  <si>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</si>
  <si>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</si>
  <si>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</si>
  <si>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</si>
  <si>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</si>
  <si>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</si>
  <si>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</si>
  <si>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</si>
  <si>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</si>
  <si>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</si>
  <si>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</si>
  <si>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</si>
  <si>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</si>
  <si>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</si>
  <si>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</si>
  <si>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</si>
  <si>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</si>
  <si>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</si>
  <si>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</si>
  <si>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</si>
  <si>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</si>
  <si>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</si>
  <si>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</si>
  <si>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</si>
  <si>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</si>
  <si>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</si>
  <si>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</si>
  <si>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</si>
  <si>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</si>
  <si>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</si>
  <si>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</si>
  <si>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</si>
  <si>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</si>
  <si>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</si>
  <si>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</si>
  <si>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</si>
  <si>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</si>
  <si>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</si>
  <si>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</si>
  <si>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</si>
  <si>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</si>
  <si>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</si>
  <si>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</si>
  <si>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</si>
  <si>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</si>
  <si>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</si>
  <si>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</si>
  <si>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</si>
  <si>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</si>
  <si>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</si>
  <si>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</si>
  <si>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</si>
  <si>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</si>
  <si>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</si>
  <si>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</si>
  <si>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</si>
  <si>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</si>
  <si>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</si>
  <si>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</si>
  <si>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</si>
  <si>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</si>
  <si>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</si>
  <si>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</si>
  <si>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</si>
  <si>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</si>
  <si>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</si>
  <si>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</si>
  <si>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</si>
  <si>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</si>
  <si>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</si>
  <si>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</si>
  <si>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</si>
  <si>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</si>
  <si>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</si>
  <si>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</si>
  <si>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</si>
  <si>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</si>
  <si>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</si>
  <si>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</si>
  <si>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</si>
  <si>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</si>
  <si>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</si>
  <si>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</si>
  <si>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</si>
  <si>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</si>
  <si>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</si>
  <si>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</si>
  <si>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</si>
  <si>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</si>
  <si>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</si>
  <si>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</si>
  <si>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</si>
  <si>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</si>
  <si>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</si>
  <si>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</si>
  <si>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</si>
  <si>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</si>
  <si>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</si>
  <si>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</si>
  <si>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</si>
  <si>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</si>
  <si>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</si>
  <si>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</si>
  <si>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</si>
  <si>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</si>
  <si>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</si>
  <si>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</si>
  <si>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</si>
  <si>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</si>
  <si>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</si>
  <si>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</si>
  <si>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</si>
  <si>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</si>
  <si>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</si>
  <si>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</si>
  <si>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</si>
  <si>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</si>
  <si>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</si>
  <si>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</si>
  <si>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</si>
  <si>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</si>
  <si>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</si>
  <si>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</si>
  <si>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</si>
  <si>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</si>
  <si>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</si>
  <si>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</si>
  <si>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</si>
  <si>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</si>
  <si>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</si>
  <si>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</si>
  <si>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</si>
  <si>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</si>
  <si>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</si>
  <si>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</si>
  <si>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</si>
  <si>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</si>
  <si>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</si>
  <si>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</si>
  <si>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</si>
  <si>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</si>
  <si>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</si>
  <si>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</si>
  <si>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</si>
  <si>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</si>
  <si>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</si>
  <si>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</si>
  <si>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</si>
  <si>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</si>
  <si>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</si>
  <si>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</si>
  <si>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</si>
  <si>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</si>
  <si>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</si>
  <si>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</si>
  <si>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</si>
  <si>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</si>
  <si>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</si>
  <si>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</si>
  <si>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</si>
  <si>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</si>
  <si>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</si>
  <si>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</si>
  <si>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</si>
  <si>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</si>
  <si>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</si>
  <si>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</si>
  <si>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</si>
  <si>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</si>
  <si>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</si>
  <si>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</si>
  <si>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</si>
  <si>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</si>
  <si>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</si>
  <si>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</si>
  <si>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</si>
  <si>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</si>
  <si>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</si>
  <si>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</si>
  <si>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</si>
  <si>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</si>
  <si>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</si>
  <si>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</si>
  <si>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</si>
  <si>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</si>
  <si>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</si>
  <si>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</si>
  <si>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</si>
  <si>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</si>
  <si>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</si>
  <si>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</si>
  <si>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</si>
  <si>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</si>
  <si>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</si>
  <si>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</si>
  <si>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</si>
  <si>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</si>
  <si>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</si>
  <si>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</si>
  <si>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</si>
  <si>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</si>
  <si>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</si>
  <si>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</si>
  <si>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</si>
  <si>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</si>
  <si>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</si>
  <si>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</si>
  <si>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</si>
  <si>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</si>
  <si>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</si>
  <si>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</si>
  <si>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</si>
  <si>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</si>
  <si>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</si>
  <si>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</si>
  <si>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</si>
  <si>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</si>
  <si>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</si>
  <si>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</si>
  <si>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</si>
  <si>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</si>
  <si>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</si>
  <si>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</si>
  <si>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</si>
  <si>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</si>
  <si>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</si>
  <si>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</si>
  <si>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</si>
  <si>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</si>
  <si>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</si>
  <si>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</si>
  <si>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</si>
  <si>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</si>
  <si>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</si>
  <si>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</si>
  <si>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</si>
  <si>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</si>
  <si>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</si>
  <si>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</si>
  <si>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</si>
  <si>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</si>
  <si>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</si>
  <si>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</si>
  <si>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</si>
  <si>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</si>
  <si>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</si>
  <si>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</si>
  <si>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</si>
  <si>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</si>
  <si>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</si>
  <si>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</si>
  <si>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</si>
  <si>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</si>
  <si>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</si>
  <si>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</si>
  <si>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</si>
  <si>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</si>
  <si>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</si>
  <si>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</si>
  <si>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</si>
  <si>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</si>
  <si>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</si>
  <si>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</si>
  <si>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</si>
  <si>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</si>
  <si>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</si>
  <si>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</si>
  <si>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</si>
  <si>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</si>
  <si>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</si>
  <si>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</si>
  <si>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</si>
  <si>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</si>
  <si>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</si>
  <si>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</si>
  <si>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</si>
  <si>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</si>
  <si>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</si>
  <si>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</si>
  <si>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</si>
  <si>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</si>
  <si>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</si>
  <si>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</si>
  <si>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</si>
  <si>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</si>
  <si>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</si>
  <si>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</si>
  <si>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</si>
  <si>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</si>
  <si>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</si>
  <si>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</si>
  <si>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</si>
  <si>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</si>
  <si>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</si>
  <si>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</si>
  <si>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</si>
  <si>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</si>
  <si>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</si>
  <si>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</si>
  <si>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</si>
  <si>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</si>
  <si>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</si>
  <si>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</si>
  <si>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</si>
  <si>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</si>
  <si>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</si>
  <si>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</si>
  <si>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</si>
  <si>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</si>
  <si>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</si>
  <si>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</si>
  <si>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</si>
  <si>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</si>
  <si>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</si>
  <si>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</si>
  <si>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</si>
  <si>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</si>
  <si>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</si>
  <si>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</si>
  <si>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</si>
  <si>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</si>
  <si>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</si>
  <si>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</si>
  <si>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</si>
  <si>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</si>
  <si>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</si>
  <si>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</si>
  <si>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</si>
  <si>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</si>
  <si>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</si>
  <si>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</si>
  <si>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</si>
  <si>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</si>
  <si>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</si>
  <si>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</si>
  <si>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</si>
  <si>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</si>
  <si>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</si>
  <si>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</si>
  <si>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</si>
  <si>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</si>
  <si>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</si>
  <si>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</si>
  <si>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</si>
  <si>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</si>
  <si>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</si>
  <si>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</si>
  <si>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</si>
  <si>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</si>
  <si>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</si>
  <si>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</si>
  <si>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</si>
  <si>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</si>
  <si>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</si>
  <si>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</si>
  <si>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</si>
  <si>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</si>
  <si>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</si>
  <si>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</si>
  <si>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</si>
  <si>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</si>
  <si>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</si>
  <si>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</si>
  <si>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</si>
  <si>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</si>
  <si>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</si>
  <si>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</si>
  <si>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</si>
  <si>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</si>
  <si>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</si>
  <si>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</si>
  <si>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</si>
  <si>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</si>
  <si>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</si>
  <si>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</si>
  <si>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</si>
  <si>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</si>
  <si>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</si>
  <si>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</si>
  <si>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</si>
  <si>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</si>
  <si>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</si>
  <si>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</si>
  <si>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</si>
  <si>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</si>
  <si>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</si>
  <si>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</si>
  <si>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</si>
  <si>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</si>
  <si>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</si>
  <si>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</si>
  <si>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</si>
  <si>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</si>
  <si>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</si>
  <si>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</si>
  <si>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</si>
  <si>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</si>
  <si>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</si>
  <si>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</si>
  <si>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</si>
  <si>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</si>
  <si>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</si>
  <si>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</si>
  <si>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</si>
  <si>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</si>
  <si>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</si>
  <si>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</si>
  <si>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</si>
  <si>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</si>
  <si>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</si>
  <si>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</si>
  <si>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</si>
  <si>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</si>
  <si>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</si>
  <si>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</si>
  <si>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</si>
  <si>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</si>
  <si>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</si>
  <si>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</si>
  <si>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</si>
  <si>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</si>
  <si>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</si>
  <si>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</si>
  <si>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</si>
  <si>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</si>
  <si>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</si>
  <si>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</si>
  <si>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</si>
  <si>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</si>
  <si>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</si>
  <si>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</si>
  <si>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</si>
  <si>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</si>
  <si>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</si>
  <si>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</si>
  <si>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</si>
  <si>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</si>
  <si>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</si>
  <si>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</si>
  <si>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</si>
  <si>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</si>
  <si>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</si>
  <si>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</si>
  <si>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</si>
  <si>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</si>
  <si>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</si>
  <si>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</si>
  <si>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</si>
  <si>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</si>
  <si>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</si>
  <si>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</si>
  <si>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</si>
  <si>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</si>
  <si>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</si>
  <si>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</si>
  <si>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</si>
  <si>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</si>
  <si>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</si>
  <si>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</si>
  <si>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</si>
  <si>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</si>
  <si>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</si>
  <si>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</si>
  <si>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</si>
  <si>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</si>
  <si>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</si>
  <si>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</si>
  <si>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</si>
  <si>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</si>
  <si>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</si>
  <si>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</si>
  <si>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</si>
  <si>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</si>
  <si>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</si>
  <si>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</si>
  <si>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</si>
  <si>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</si>
  <si>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</si>
  <si>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</si>
  <si>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</si>
  <si>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</si>
  <si>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</si>
  <si>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</si>
  <si>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</si>
  <si>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</si>
  <si>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</si>
  <si>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</si>
  <si>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</si>
  <si>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</si>
  <si>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</si>
  <si>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</si>
  <si>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</si>
  <si>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</si>
  <si>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</si>
  <si>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</si>
  <si>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</si>
  <si>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</si>
  <si>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</si>
  <si>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</si>
  <si>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</si>
  <si>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</si>
  <si>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</si>
  <si>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</si>
  <si>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</si>
  <si>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</si>
  <si>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</si>
  <si>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</si>
  <si>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</si>
  <si>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</si>
  <si>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</si>
  <si>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</si>
  <si>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</si>
  <si>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</si>
  <si>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</si>
  <si>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</si>
  <si>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</si>
  <si>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</si>
  <si>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</si>
  <si>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</si>
  <si>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</si>
  <si>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</si>
  <si>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</si>
  <si>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</si>
  <si>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</si>
  <si>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</si>
  <si>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</si>
  <si>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</si>
  <si>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</si>
  <si>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</si>
  <si>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</si>
  <si>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</si>
  <si>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</si>
  <si>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</si>
  <si>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</si>
  <si>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</si>
  <si>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</si>
  <si>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</si>
  <si>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</si>
  <si>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</si>
  <si>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</si>
  <si>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</si>
  <si>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</si>
  <si>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</si>
  <si>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</si>
  <si>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</si>
  <si>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</si>
  <si>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</si>
  <si>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</si>
  <si>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</si>
  <si>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</si>
  <si>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</si>
  <si>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</si>
  <si>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</si>
  <si>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</si>
  <si>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</si>
  <si>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</si>
  <si>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</si>
  <si>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</si>
  <si>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</si>
  <si>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</si>
  <si>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</si>
  <si>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</si>
  <si>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</si>
  <si>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</si>
  <si>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</si>
  <si>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</si>
  <si>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</si>
  <si>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</si>
  <si>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</si>
  <si>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</si>
  <si>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</si>
  <si>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</si>
  <si>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</si>
  <si>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</si>
  <si>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</si>
  <si>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</si>
  <si>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</si>
  <si>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</si>
  <si>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</si>
  <si>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</si>
  <si>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</si>
  <si>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</si>
  <si>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</si>
  <si>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</si>
  <si>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</si>
  <si>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</si>
  <si>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</si>
  <si>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</si>
  <si>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</si>
  <si>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</si>
  <si>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</si>
  <si>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</si>
  <si>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</si>
  <si>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</si>
  <si>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</si>
  <si>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</si>
  <si>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</si>
  <si>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</si>
  <si>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</si>
  <si>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</si>
  <si>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</si>
  <si>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</si>
  <si>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</si>
  <si>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</si>
  <si>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</si>
  <si>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</si>
  <si>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</si>
  <si>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</si>
  <si>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</si>
  <si>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</si>
  <si>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</si>
  <si>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</si>
  <si>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</si>
  <si>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</si>
  <si>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</si>
  <si>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</si>
  <si>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</si>
  <si>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</si>
  <si>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</si>
  <si>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</si>
  <si>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</si>
  <si>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</si>
  <si>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</si>
  <si>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</si>
  <si>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</si>
  <si>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</si>
  <si>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</si>
  <si>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</si>
  <si>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</si>
  <si>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</si>
  <si>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</si>
  <si>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</si>
  <si>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</si>
  <si>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</si>
  <si>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</si>
  <si>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</si>
  <si>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</si>
  <si>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</si>
  <si>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</si>
  <si>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</si>
  <si>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</si>
  <si>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</si>
  <si>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</si>
  <si>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</si>
  <si>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</si>
  <si>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</si>
  <si>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</si>
  <si>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</si>
  <si>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</si>
  <si>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</si>
  <si>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</si>
  <si>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</si>
  <si>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</si>
  <si>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</si>
  <si>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</si>
  <si>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</si>
  <si>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</si>
  <si>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</si>
  <si>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</si>
  <si>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</si>
  <si>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</si>
  <si>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</si>
  <si>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</si>
  <si>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</si>
  <si>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</si>
  <si>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</si>
  <si>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</si>
  <si>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</si>
  <si>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</si>
  <si>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</si>
  <si>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</si>
  <si>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</si>
  <si>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</si>
  <si>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</si>
  <si>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</si>
  <si>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</si>
  <si>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</si>
  <si>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</si>
  <si>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</si>
  <si>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</si>
  <si>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</si>
  <si>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</si>
  <si>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</si>
  <si>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</si>
  <si>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</si>
  <si>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</si>
  <si>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</si>
  <si>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</si>
  <si>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</si>
  <si>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</si>
  <si>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</si>
  <si>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</si>
  <si>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</si>
  <si>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</si>
  <si>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</si>
  <si>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</si>
  <si>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</si>
  <si>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</si>
  <si>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</si>
  <si>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</si>
  <si>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</si>
  <si>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</si>
  <si>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</si>
  <si>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</si>
  <si>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</si>
  <si>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</si>
  <si>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</si>
  <si>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</si>
  <si>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</si>
  <si>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</si>
  <si>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</si>
  <si>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</si>
  <si>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</si>
  <si>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</si>
  <si>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</si>
  <si>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</si>
  <si>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</si>
  <si>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</si>
  <si>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</si>
  <si>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</si>
  <si>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</si>
  <si>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</si>
  <si>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</si>
  <si>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</si>
  <si>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</si>
  <si>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</si>
  <si>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</si>
  <si>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</si>
  <si>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</si>
  <si>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</si>
  <si>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</si>
  <si>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</si>
  <si>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</si>
  <si>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</si>
  <si>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</si>
  <si>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</si>
  <si>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</si>
  <si>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</si>
  <si>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</si>
  <si>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</si>
  <si>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</si>
  <si>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</si>
  <si>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</si>
  <si>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</si>
  <si>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</si>
  <si>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</si>
  <si>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</si>
  <si>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</si>
  <si>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</si>
  <si>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</si>
  <si>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</si>
  <si>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</si>
  <si>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</si>
  <si>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</si>
  <si>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</si>
  <si>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</si>
  <si>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</si>
  <si>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</si>
  <si>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</si>
  <si>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</si>
  <si>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</si>
  <si>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</si>
  <si>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</si>
  <si>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</si>
  <si>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</si>
  <si>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</si>
  <si>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</si>
  <si>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</si>
  <si>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</si>
  <si>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</si>
  <si>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</si>
  <si>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</si>
  <si>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</si>
  <si>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</si>
  <si>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</si>
  <si>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</si>
  <si>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</si>
  <si>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</si>
  <si>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</si>
  <si>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</si>
  <si>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</si>
  <si>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</si>
  <si>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</si>
  <si>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</si>
  <si>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</si>
  <si>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</si>
  <si>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</si>
  <si>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</si>
  <si>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</si>
  <si>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</si>
  <si>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</si>
  <si>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</si>
  <si>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</si>
  <si>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</si>
  <si>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</si>
  <si>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</si>
  <si>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</si>
  <si>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</si>
  <si>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</si>
  <si>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</si>
  <si>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</si>
  <si>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</si>
  <si>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</si>
  <si>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</si>
  <si>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</si>
  <si>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</si>
  <si>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</si>
  <si>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</si>
  <si>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</si>
  <si>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</si>
  <si>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</si>
  <si>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</si>
  <si>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</si>
  <si>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</si>
  <si>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</si>
  <si>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</si>
  <si>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</si>
  <si>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</si>
  <si>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</si>
  <si>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</si>
  <si>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</si>
  <si>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</si>
  <si>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</si>
  <si>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</si>
  <si>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</si>
  <si>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</si>
  <si>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</si>
  <si>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</si>
  <si>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</si>
  <si>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</si>
  <si>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</si>
  <si>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</si>
  <si>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</si>
  <si>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</si>
  <si>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</si>
  <si>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</si>
  <si>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</si>
  <si>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</si>
  <si>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</si>
  <si>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</si>
  <si>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</si>
  <si>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</si>
  <si>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</si>
  <si>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</si>
  <si>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</si>
  <si>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</si>
  <si>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</si>
  <si>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</si>
  <si>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</si>
  <si>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</si>
  <si>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</si>
  <si>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</si>
  <si>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</si>
  <si>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</si>
  <si>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</si>
  <si>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</si>
  <si>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</si>
  <si>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</si>
  <si>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</si>
  <si>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</si>
  <si>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</si>
  <si>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</si>
  <si>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</si>
  <si>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</si>
  <si>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</si>
  <si>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</si>
  <si>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</si>
  <si>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</si>
  <si>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</si>
  <si>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</si>
  <si>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</si>
  <si>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</si>
  <si>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</si>
  <si>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</si>
  <si>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</si>
  <si>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</si>
  <si>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</si>
  <si>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</si>
  <si>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</si>
  <si>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</si>
  <si>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</si>
  <si>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</si>
  <si>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</si>
  <si>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</si>
  <si>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</si>
  <si>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</si>
  <si>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</si>
  <si>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</si>
  <si>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</si>
  <si>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</si>
  <si>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</si>
  <si>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</si>
  <si>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</si>
  <si>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</si>
  <si>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</si>
  <si>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</si>
  <si>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</si>
  <si>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</si>
  <si>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</si>
  <si>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</si>
  <si>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</si>
  <si>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</si>
  <si>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</si>
  <si>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</si>
  <si>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</si>
  <si>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</si>
  <si>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</si>
  <si>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</si>
  <si>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</si>
  <si>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</si>
  <si>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</si>
  <si>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</si>
  <si>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</si>
  <si>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</si>
  <si>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</si>
  <si>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</si>
  <si>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</si>
  <si>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</si>
  <si>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</si>
  <si>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</si>
  <si>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</si>
  <si>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</si>
  <si>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</si>
  <si>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</si>
  <si>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</si>
  <si>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</si>
  <si>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</si>
  <si>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</si>
  <si>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</si>
  <si>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</si>
  <si>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</si>
  <si>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</si>
  <si>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</si>
  <si>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</si>
  <si>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</si>
  <si>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</si>
  <si>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</si>
  <si>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</si>
  <si>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</si>
  <si>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</si>
  <si>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</si>
  <si>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</si>
  <si>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</si>
  <si>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</si>
  <si>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</si>
  <si>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</si>
  <si>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</si>
  <si>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</si>
  <si>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</si>
  <si>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</si>
  <si>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</si>
  <si>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</si>
  <si>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</si>
  <si>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</si>
  <si>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</si>
  <si>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</si>
  <si>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</si>
  <si>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</si>
  <si>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</si>
  <si>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</si>
  <si>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</si>
  <si>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</si>
  <si>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</si>
  <si>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</si>
  <si>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</si>
  <si>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</si>
  <si>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</si>
  <si>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</si>
  <si>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</si>
  <si>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</si>
  <si>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</si>
  <si>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</si>
  <si>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</si>
  <si>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</si>
  <si>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</si>
  <si>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</si>
  <si>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</si>
  <si>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</si>
  <si>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</si>
  <si>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</si>
  <si>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</si>
  <si>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</si>
  <si>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</si>
  <si>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</si>
  <si>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</si>
  <si>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</si>
  <si>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</si>
  <si>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</si>
  <si>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</si>
  <si>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</si>
  <si>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</si>
  <si>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</si>
  <si>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</si>
  <si>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</si>
  <si>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</si>
  <si>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</si>
  <si>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</si>
  <si>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</si>
  <si>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</si>
  <si>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</si>
  <si>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</si>
  <si>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</si>
  <si>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</si>
  <si>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</si>
  <si>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</si>
  <si>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</si>
  <si>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</si>
  <si>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</si>
  <si>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</si>
  <si>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</si>
  <si>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</si>
  <si>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</si>
  <si>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</si>
  <si>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</si>
  <si>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</si>
  <si>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</si>
  <si>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</si>
  <si>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</si>
  <si>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</si>
  <si>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</si>
  <si>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</si>
  <si>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</si>
  <si>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</si>
  <si>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</si>
  <si>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</si>
  <si>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</si>
  <si>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</si>
  <si>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</si>
  <si>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</si>
  <si>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</si>
  <si>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</si>
  <si>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</si>
  <si>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</si>
  <si>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</si>
  <si>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</si>
  <si>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</si>
  <si>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</si>
  <si>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</si>
  <si>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</si>
  <si>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</si>
  <si>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</si>
  <si>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</si>
  <si>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</si>
  <si>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</si>
  <si>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</si>
  <si>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</si>
  <si>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</si>
  <si>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</si>
  <si>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</si>
  <si>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</si>
  <si>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</si>
  <si>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</si>
  <si>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</si>
  <si>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</si>
  <si>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</si>
  <si>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</si>
  <si>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</si>
  <si>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</si>
  <si>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</si>
  <si>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</si>
  <si>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</si>
  <si>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</si>
  <si>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</si>
  <si>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</si>
  <si>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</si>
  <si>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</si>
  <si>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</si>
  <si>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</si>
  <si>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</si>
  <si>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</si>
  <si>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</si>
  <si>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</si>
  <si>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</si>
  <si>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</si>
  <si>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</si>
  <si>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</si>
  <si>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</si>
  <si>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</si>
  <si>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</si>
  <si>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</si>
  <si>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</si>
  <si>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</si>
  <si>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</si>
  <si>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</si>
  <si>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</si>
  <si>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</si>
  <si>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</si>
  <si>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</si>
  <si>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</si>
  <si>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</si>
  <si>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</si>
  <si>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</si>
  <si>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</si>
  <si>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</si>
  <si>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</si>
  <si>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</si>
  <si>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</si>
  <si>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</si>
  <si>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</si>
  <si>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</si>
  <si>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</si>
  <si>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</si>
  <si>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</si>
  <si>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</si>
  <si>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</si>
  <si>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</si>
  <si>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</si>
  <si>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</si>
  <si>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</si>
  <si>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</si>
  <si>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</si>
  <si>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</si>
  <si>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</si>
  <si>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</si>
  <si>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</si>
  <si>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</si>
  <si>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</si>
  <si>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</si>
  <si>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</si>
  <si>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</si>
  <si>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</si>
  <si>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</si>
  <si>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</si>
  <si>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</si>
  <si>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</si>
  <si>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</si>
  <si>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</si>
  <si>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</si>
  <si>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</si>
  <si>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</si>
  <si>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</si>
  <si>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</si>
  <si>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</si>
  <si>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</si>
  <si>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</si>
  <si>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</si>
  <si>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</si>
  <si>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</si>
  <si>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</si>
  <si>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</si>
  <si>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</si>
  <si>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</si>
  <si>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</si>
  <si>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</si>
  <si>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</si>
  <si>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</si>
  <si>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</si>
  <si>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</si>
  <si>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</si>
  <si>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</si>
  <si>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</si>
  <si>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</si>
  <si>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</si>
  <si>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</si>
  <si>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</si>
  <si>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</si>
  <si>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</si>
  <si>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</si>
  <si>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</si>
  <si>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</si>
  <si>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</si>
  <si>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</si>
  <si>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</si>
  <si>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</si>
  <si>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</si>
  <si>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</si>
  <si>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</si>
  <si>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</si>
  <si>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</si>
  <si>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</si>
  <si>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</si>
  <si>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</si>
  <si>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</si>
  <si>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</si>
  <si>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</si>
  <si>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</si>
  <si>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</si>
  <si>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</si>
  <si>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</si>
  <si>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</si>
  <si>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</si>
  <si>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</si>
  <si>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</si>
  <si>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</si>
  <si>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</si>
  <si>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</si>
  <si>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</si>
  <si>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</si>
  <si>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</si>
  <si>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</si>
  <si>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</si>
  <si>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</si>
  <si>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</si>
  <si>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</si>
  <si>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</si>
  <si>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</si>
  <si>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</si>
  <si>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</si>
  <si>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</si>
  <si>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</si>
  <si>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</si>
  <si>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</si>
  <si>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</si>
  <si>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</si>
  <si>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</si>
  <si>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</si>
  <si>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</si>
  <si>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</si>
  <si>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</si>
  <si>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</si>
  <si>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</si>
  <si>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</si>
  <si>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</si>
  <si>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</si>
  <si>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</si>
  <si>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</si>
  <si>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</si>
  <si>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</si>
  <si>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</si>
  <si>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</si>
  <si>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</si>
  <si>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</si>
  <si>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</si>
  <si>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</si>
  <si>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</si>
  <si>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</si>
  <si>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</si>
  <si>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</si>
  <si>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</si>
  <si>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</si>
  <si>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</si>
  <si>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</si>
  <si>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</si>
  <si>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</si>
  <si>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</si>
  <si>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</si>
  <si>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</si>
  <si>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</si>
  <si>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</si>
  <si>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</si>
  <si>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</si>
  <si>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</si>
  <si>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</si>
  <si>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</si>
  <si>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</si>
  <si>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</si>
  <si>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</si>
  <si>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</si>
  <si>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</si>
  <si>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</si>
  <si>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</si>
  <si>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</si>
  <si>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</si>
  <si>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</si>
  <si>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</si>
  <si>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</si>
  <si>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</si>
  <si>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</si>
  <si>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</si>
  <si>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</si>
  <si>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</si>
  <si>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</si>
  <si>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</si>
  <si>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</si>
  <si>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</si>
  <si>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</si>
  <si>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</si>
  <si>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</si>
  <si>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</si>
  <si>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</si>
  <si>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</si>
  <si>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</si>
  <si>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</si>
  <si>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</si>
  <si>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</si>
  <si>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</si>
  <si>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</si>
  <si>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</si>
  <si>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</si>
  <si>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</si>
  <si>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</si>
  <si>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</si>
  <si>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</si>
  <si>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</si>
  <si>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</si>
  <si>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</si>
  <si>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</si>
  <si>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</si>
  <si>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</si>
  <si>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</si>
  <si>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</si>
  <si>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</si>
  <si>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</si>
  <si>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</si>
  <si>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</si>
  <si>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</si>
  <si>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</si>
  <si>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</si>
  <si>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</si>
  <si>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</si>
  <si>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</si>
  <si>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</si>
  <si>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</si>
  <si>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</si>
  <si>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</si>
  <si>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</si>
  <si>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</si>
  <si>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</si>
  <si>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</si>
  <si>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</si>
  <si>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</si>
  <si>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</si>
  <si>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</si>
  <si>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</si>
  <si>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</si>
  <si>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</si>
  <si>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</si>
  <si>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</si>
  <si>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</si>
  <si>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</si>
  <si>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</si>
  <si>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</si>
  <si>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</si>
  <si>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</si>
  <si>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</si>
  <si>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</si>
  <si>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</si>
  <si>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</si>
  <si>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</si>
  <si>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</si>
  <si>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</si>
  <si>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</si>
  <si>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</si>
  <si>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</si>
  <si>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</si>
  <si>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</si>
  <si>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</si>
  <si>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</si>
  <si>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</si>
  <si>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</si>
  <si>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</si>
  <si>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</si>
  <si>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</si>
  <si>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</si>
  <si>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</si>
  <si>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</si>
  <si>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</si>
  <si>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</si>
  <si>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</si>
  <si>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</si>
  <si>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</si>
  <si>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</si>
  <si>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</si>
  <si>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</si>
  <si>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</si>
  <si>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</si>
  <si>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</si>
  <si>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</si>
  <si>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</si>
  <si>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</si>
  <si>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</si>
  <si>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</si>
  <si>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</si>
  <si>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</si>
  <si>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</si>
  <si>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</si>
  <si>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</si>
  <si>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</si>
  <si>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</si>
  <si>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</si>
  <si>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</si>
  <si>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</si>
  <si>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</si>
  <si>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</si>
  <si>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</si>
  <si>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</si>
  <si>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</si>
  <si>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</si>
  <si>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</si>
  <si>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</si>
  <si>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</si>
  <si>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</si>
  <si>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</si>
  <si>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</si>
  <si>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</si>
  <si>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</si>
  <si>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</si>
  <si>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</si>
  <si>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</si>
  <si>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</si>
  <si>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</si>
  <si>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</si>
  <si>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</si>
  <si>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</si>
  <si>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</si>
  <si>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</si>
  <si>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</si>
  <si>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</si>
  <si>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</si>
  <si>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</si>
  <si>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</si>
  <si>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</si>
  <si>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</si>
  <si>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</si>
  <si>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</si>
  <si>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</si>
  <si>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</si>
  <si>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</si>
  <si>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</si>
  <si>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</si>
  <si>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</si>
  <si>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</si>
  <si>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</si>
  <si>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</si>
  <si>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</si>
  <si>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</si>
  <si>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</si>
  <si>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</si>
  <si>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</si>
  <si>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</si>
  <si>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</si>
  <si>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</si>
  <si>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</si>
  <si>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</si>
  <si>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</si>
  <si>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</si>
  <si>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</si>
  <si>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</si>
  <si>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</si>
  <si>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</si>
  <si>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</si>
  <si>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</si>
  <si>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</si>
  <si>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</si>
  <si>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</si>
  <si>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</si>
  <si>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</si>
  <si>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</si>
  <si>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</si>
  <si>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</si>
  <si>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</si>
  <si>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</si>
  <si>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</si>
  <si>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</si>
  <si>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</si>
  <si>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</si>
  <si>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</si>
  <si>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</si>
  <si>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</si>
  <si>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</si>
  <si>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</si>
  <si>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</si>
  <si>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</si>
  <si>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</si>
  <si>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</si>
  <si>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</si>
  <si>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</si>
  <si>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</si>
  <si>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</si>
  <si>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</si>
  <si>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</si>
  <si>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</si>
  <si>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</si>
  <si>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</si>
  <si>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</si>
  <si>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</si>
  <si>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</si>
  <si>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</si>
  <si>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</si>
  <si>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</si>
  <si>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</si>
  <si>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</si>
  <si>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</si>
  <si>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</si>
  <si>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</si>
  <si>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</si>
  <si>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</si>
  <si>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</si>
  <si>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</si>
  <si>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</si>
  <si>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</si>
  <si>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</si>
  <si>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</si>
  <si>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</si>
  <si>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</si>
  <si>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</si>
  <si>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</si>
  <si>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</si>
  <si>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</si>
  <si>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</si>
  <si>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</si>
  <si>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</si>
  <si>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</si>
  <si>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</si>
  <si>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</si>
  <si>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</si>
  <si>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</si>
  <si>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</si>
  <si>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</si>
  <si>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</si>
  <si>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</si>
  <si>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</si>
  <si>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</si>
  <si>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</si>
  <si>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</si>
  <si>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</si>
  <si>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</si>
  <si>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</si>
  <si>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</si>
  <si>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</si>
  <si>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</si>
  <si>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</si>
  <si>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</si>
  <si>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</si>
  <si>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</si>
  <si>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</si>
  <si>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</si>
  <si>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</si>
  <si>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</si>
  <si>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</si>
  <si>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</si>
  <si>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</si>
  <si>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</si>
  <si>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</si>
  <si>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</si>
  <si>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</si>
  <si>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</si>
  <si>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</si>
  <si>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</si>
  <si>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</si>
  <si>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</si>
  <si>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</si>
  <si>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</si>
  <si>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</si>
  <si>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</si>
  <si>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</si>
  <si>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</si>
  <si>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</si>
  <si>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</si>
  <si>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</si>
  <si>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</si>
  <si>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</si>
  <si>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</si>
  <si>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</si>
  <si>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</si>
  <si>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</si>
  <si>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</si>
  <si>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</si>
  <si>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</si>
  <si>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</si>
  <si>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</si>
  <si>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</si>
  <si>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</si>
  <si>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</si>
  <si>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</si>
  <si>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</si>
  <si>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</si>
  <si>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</si>
  <si>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</si>
  <si>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</si>
  <si>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</si>
  <si>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</si>
  <si>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</si>
  <si>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</si>
  <si>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</si>
  <si>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</si>
  <si>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</si>
  <si>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</si>
  <si>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</si>
  <si>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</si>
  <si>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</si>
  <si>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</si>
  <si>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</si>
  <si>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</si>
  <si>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</si>
  <si>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</si>
  <si>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</si>
  <si>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</si>
  <si>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</si>
  <si>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</si>
  <si>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</si>
  <si>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</si>
  <si>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</si>
  <si>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</si>
  <si>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</si>
  <si>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</si>
  <si>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</si>
  <si>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</si>
  <si>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</si>
  <si>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</si>
  <si>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</si>
  <si>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</si>
  <si>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</si>
  <si>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</si>
  <si>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</si>
  <si>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</si>
  <si>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</si>
  <si>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</si>
  <si>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</si>
  <si>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</si>
  <si>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</si>
  <si>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</si>
  <si>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</si>
  <si>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</si>
  <si>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</si>
  <si>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</si>
  <si>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</si>
  <si>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</si>
  <si>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</si>
  <si>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</si>
  <si>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</si>
  <si>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</si>
  <si>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昌平区西环路44号院6号楼6层4单元412</t>
    <phoneticPr fontId="3"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</si>
  <si>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</si>
  <si>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</si>
  <si>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</si>
  <si>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</si>
  <si>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</si>
  <si>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</si>
  <si>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</si>
  <si>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</si>
  <si>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</si>
  <si>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</si>
  <si>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</si>
  <si>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</si>
  <si>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</si>
  <si>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</si>
  <si>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</si>
  <si>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</si>
  <si>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</si>
  <si>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</si>
  <si>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</si>
  <si>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</si>
  <si>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</si>
  <si>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</si>
  <si>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</si>
  <si>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</si>
  <si>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</si>
  <si>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</si>
  <si>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</si>
  <si>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</si>
  <si>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</si>
  <si>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</si>
  <si>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</si>
  <si>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</si>
  <si>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</si>
  <si>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</si>
  <si>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</si>
  <si>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</si>
  <si>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</si>
  <si>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</si>
  <si>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</si>
  <si>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</si>
  <si>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</si>
  <si>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</si>
  <si>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</si>
  <si>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</si>
  <si>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</si>
  <si>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</si>
  <si>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</si>
  <si>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</si>
  <si>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</si>
  <si>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</si>
  <si>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</si>
  <si>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</si>
  <si>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</si>
  <si>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</si>
  <si>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</si>
  <si>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</si>
  <si>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</si>
  <si>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</si>
  <si>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</si>
  <si>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</si>
  <si>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</si>
  <si>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</si>
  <si>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</si>
  <si>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</si>
  <si>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</si>
  <si>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</si>
  <si>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</si>
  <si>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</si>
  <si>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</si>
  <si>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</si>
  <si>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</si>
  <si>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刘海东、甘素林</t>
    <phoneticPr fontId="3" type="noConversion"/>
  </si>
  <si>
    <t>110221198012185618、511025198501046002</t>
    <phoneticPr fontId="3" type="noConversion"/>
  </si>
  <si>
    <t>西环路44号院</t>
    <phoneticPr fontId="3" type="noConversion"/>
  </si>
  <si>
    <t>6号楼</t>
    <phoneticPr fontId="3" type="noConversion"/>
  </si>
  <si>
    <t>6层4单元</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</si>
  <si>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</si>
  <si>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</si>
  <si>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</si>
  <si>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91162015050077</t>
    <phoneticPr fontId="3" type="noConversion"/>
  </si>
  <si>
    <t>郑宇</t>
    <phoneticPr fontId="3" type="noConversion"/>
  </si>
  <si>
    <t>二手房</t>
    <phoneticPr fontId="3" type="noConversion"/>
  </si>
  <si>
    <t>可抵押商品住宅</t>
  </si>
  <si>
    <t>五</t>
    <phoneticPr fontId="3" type="noConversion"/>
  </si>
  <si>
    <t>X京房权证昌字第656668号、X京房权证昌字第656669号</t>
    <phoneticPr fontId="3" type="noConversion"/>
  </si>
  <si>
    <t>陈靓</t>
    <phoneticPr fontId="3" type="noConversion"/>
  </si>
  <si>
    <t>初审换正式</t>
    <phoneticPr fontId="3" type="noConversion"/>
  </si>
  <si>
    <t>协议</t>
    <phoneticPr fontId="3" type="noConversion"/>
  </si>
  <si>
    <t>C</t>
    <phoneticPr fontId="3" type="noConversion"/>
  </si>
  <si>
    <t>张苍芬</t>
    <phoneticPr fontId="3" type="noConversion"/>
  </si>
  <si>
    <t>陈靓</t>
    <phoneticPr fontId="3" type="noConversion"/>
  </si>
  <si>
    <t>陈靓</t>
  </si>
  <si>
    <t>北京住房公积金管理中心昌平管理部</t>
  </si>
  <si>
    <t>2014-21-P-06608-U</t>
    <phoneticPr fontId="3" type="noConversion"/>
  </si>
  <si>
    <t>谷金花</t>
    <phoneticPr fontId="3" type="noConversion"/>
  </si>
  <si>
    <t>110221196912171220</t>
    <phoneticPr fontId="3" type="noConversion"/>
  </si>
  <si>
    <t>昌平区</t>
    <phoneticPr fontId="3" type="noConversion"/>
  </si>
  <si>
    <t>昌平镇西环里小区</t>
    <phoneticPr fontId="3" type="noConversion"/>
  </si>
  <si>
    <t>21号楼</t>
    <phoneticPr fontId="3" type="noConversion"/>
  </si>
  <si>
    <t>2层3单元</t>
    <phoneticPr fontId="3" type="noConversion"/>
  </si>
  <si>
    <t>305</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</si>
  <si>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</si>
  <si>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</si>
  <si>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</si>
  <si>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91162014120770</t>
    <phoneticPr fontId="3" type="noConversion"/>
  </si>
  <si>
    <t>李艾宸</t>
    <phoneticPr fontId="3" type="noConversion"/>
  </si>
  <si>
    <t>二手房</t>
    <phoneticPr fontId="3" type="noConversion"/>
  </si>
  <si>
    <t>可抵押商品住宅</t>
    <phoneticPr fontId="3" type="noConversion"/>
  </si>
  <si>
    <t>一</t>
    <phoneticPr fontId="3" type="noConversion"/>
  </si>
  <si>
    <t>X京房权证昌字第639485号</t>
    <phoneticPr fontId="3" type="noConversion"/>
  </si>
  <si>
    <t>孙岳</t>
    <phoneticPr fontId="3" type="noConversion"/>
  </si>
  <si>
    <t>换正式</t>
    <phoneticPr fontId="3" type="noConversion"/>
  </si>
  <si>
    <t>协议</t>
    <phoneticPr fontId="3" type="noConversion"/>
  </si>
  <si>
    <t>C</t>
    <phoneticPr fontId="3" type="noConversion"/>
  </si>
  <si>
    <t>935798</t>
    <phoneticPr fontId="3" type="noConversion"/>
  </si>
  <si>
    <t>纪景江</t>
    <phoneticPr fontId="3" type="noConversion"/>
  </si>
  <si>
    <t>正常</t>
    <phoneticPr fontId="3" type="noConversion"/>
  </si>
  <si>
    <t>中介</t>
    <phoneticPr fontId="3" type="noConversion"/>
  </si>
  <si>
    <t>不含任何税费</t>
    <phoneticPr fontId="3" type="noConversion"/>
  </si>
  <si>
    <t>孙岳</t>
  </si>
  <si>
    <t>2014-21-P-06637-U</t>
    <phoneticPr fontId="3" type="noConversion"/>
  </si>
  <si>
    <t>王然</t>
    <phoneticPr fontId="3" type="noConversion"/>
  </si>
  <si>
    <t>110221198607175910</t>
    <phoneticPr fontId="3" type="noConversion"/>
  </si>
  <si>
    <t>18501909080</t>
    <phoneticPr fontId="3" type="noConversion"/>
  </si>
  <si>
    <t>昌平镇西环里35号院水泥厂宿舍楼</t>
    <phoneticPr fontId="3" type="noConversion"/>
  </si>
  <si>
    <t>新3号楼</t>
    <phoneticPr fontId="3" type="noConversion"/>
  </si>
  <si>
    <t>6层1单元</t>
    <phoneticPr fontId="3" type="noConversion"/>
  </si>
  <si>
    <t>王然</t>
    <phoneticPr fontId="3" type="noConversion"/>
  </si>
  <si>
    <t>二室一厅一卫一厨</t>
    <phoneticPr fontId="3" type="noConversion"/>
  </si>
  <si>
    <t>91162014120567</t>
    <phoneticPr fontId="3" type="noConversion"/>
  </si>
  <si>
    <t>李艾宸</t>
    <phoneticPr fontId="3" type="noConversion"/>
  </si>
  <si>
    <t>一</t>
    <phoneticPr fontId="3" type="noConversion"/>
  </si>
  <si>
    <t>X京房权证昌字第637707号</t>
    <phoneticPr fontId="3" type="noConversion"/>
  </si>
  <si>
    <t>孙岳</t>
    <phoneticPr fontId="3" type="noConversion"/>
  </si>
  <si>
    <t>买卖合同</t>
    <phoneticPr fontId="3" type="noConversion"/>
  </si>
  <si>
    <t>936088</t>
    <phoneticPr fontId="3" type="noConversion"/>
  </si>
  <si>
    <t>孟秀娟</t>
    <phoneticPr fontId="3" type="noConversion"/>
  </si>
  <si>
    <t>正常</t>
    <phoneticPr fontId="3" type="noConversion"/>
  </si>
  <si>
    <t>中介</t>
    <phoneticPr fontId="3" type="noConversion"/>
  </si>
  <si>
    <t>不含任何税费</t>
    <phoneticPr fontId="3" type="noConversion"/>
  </si>
  <si>
    <t>2014-21-P-06646-U</t>
    <phoneticPr fontId="3" type="noConversion"/>
  </si>
  <si>
    <t>杨荣朴、邹金晶</t>
    <phoneticPr fontId="3" type="noConversion"/>
  </si>
  <si>
    <t>142729198703221716、430624198707070062</t>
    <phoneticPr fontId="3" type="noConversion"/>
  </si>
  <si>
    <t>13126557618</t>
    <phoneticPr fontId="3" type="noConversion"/>
  </si>
  <si>
    <t>1号楼</t>
    <phoneticPr fontId="3" type="noConversion"/>
  </si>
  <si>
    <t>2层3单元</t>
    <phoneticPr fontId="3" type="noConversion"/>
  </si>
  <si>
    <t>复式、平层√、跃层、错层</t>
  </si>
  <si>
    <t>北京住房公积金管理中心昌平管理部</t>
    <phoneticPr fontId="3" type="noConversion"/>
  </si>
  <si>
    <t>91162014120586</t>
    <phoneticPr fontId="3" type="noConversion"/>
  </si>
  <si>
    <t>X京房权证昌字第639826号、X京房权证昌字第639827号</t>
    <phoneticPr fontId="3" type="noConversion"/>
  </si>
  <si>
    <t>换正式</t>
    <phoneticPr fontId="3" type="noConversion"/>
  </si>
  <si>
    <t>C</t>
    <phoneticPr fontId="3" type="noConversion"/>
  </si>
  <si>
    <t>937073</t>
    <phoneticPr fontId="3" type="noConversion"/>
  </si>
  <si>
    <t>文华、文亚娟、张洋</t>
    <phoneticPr fontId="3" type="noConversion"/>
  </si>
  <si>
    <t>偏低</t>
    <phoneticPr fontId="3" type="noConversion"/>
  </si>
  <si>
    <t>2015-21-P-00285-U</t>
    <phoneticPr fontId="3" type="noConversion"/>
  </si>
  <si>
    <t>文怡昊</t>
    <phoneticPr fontId="3" type="noConversion"/>
  </si>
  <si>
    <t>11010819850507221X</t>
    <phoneticPr fontId="3" type="noConversion"/>
  </si>
  <si>
    <t>昌平区</t>
    <phoneticPr fontId="3" type="noConversion"/>
  </si>
  <si>
    <t>昌平镇西环里小区</t>
    <phoneticPr fontId="3" type="noConversion"/>
  </si>
  <si>
    <t>昌平镇西环里小区</t>
    <phoneticPr fontId="19" type="noConversion"/>
  </si>
  <si>
    <t>26号楼</t>
    <phoneticPr fontId="3" type="noConversion"/>
  </si>
  <si>
    <t>3层4单元</t>
    <phoneticPr fontId="3" type="noConversion"/>
  </si>
  <si>
    <t>409</t>
    <phoneticPr fontId="3" type="noConversion"/>
  </si>
  <si>
    <t>一室一厅一卫一厨（现为:二室一厅一卫一厨)</t>
    <phoneticPr fontId="3" type="noConversion"/>
  </si>
  <si>
    <t>复式、平层√、跃层、错层</t>
    <phoneticPr fontId="3" type="noConversion"/>
  </si>
  <si>
    <t>北京住房公积金管理中心昌平管理部</t>
    <phoneticPr fontId="3" type="noConversion"/>
  </si>
  <si>
    <t>91162015010370</t>
    <phoneticPr fontId="3" type="noConversion"/>
  </si>
  <si>
    <t>郑宇</t>
    <phoneticPr fontId="3" type="noConversion"/>
  </si>
  <si>
    <t>二手房</t>
    <phoneticPr fontId="3" type="noConversion"/>
  </si>
  <si>
    <t>二</t>
  </si>
  <si>
    <t>X京房权证昌字第645219号</t>
    <phoneticPr fontId="3" type="noConversion"/>
  </si>
  <si>
    <t>陈靓</t>
    <phoneticPr fontId="3" type="noConversion"/>
  </si>
  <si>
    <t>初审换正式</t>
    <phoneticPr fontId="3" type="noConversion"/>
  </si>
  <si>
    <t>协议</t>
    <phoneticPr fontId="3" type="noConversion"/>
  </si>
  <si>
    <t>C</t>
    <phoneticPr fontId="3" type="noConversion"/>
  </si>
  <si>
    <t>955928</t>
    <phoneticPr fontId="3" type="noConversion"/>
  </si>
  <si>
    <t>王春苗、赵志强</t>
    <phoneticPr fontId="3" type="noConversion"/>
  </si>
  <si>
    <t>正常</t>
    <phoneticPr fontId="3" type="noConversion"/>
  </si>
  <si>
    <t>中介</t>
    <phoneticPr fontId="3" type="noConversion"/>
  </si>
  <si>
    <t>不含任何税费</t>
    <phoneticPr fontId="3" type="noConversion"/>
  </si>
  <si>
    <t>2015-21-P-00294-U</t>
    <phoneticPr fontId="3" type="noConversion"/>
  </si>
  <si>
    <t>杜春雨</t>
    <phoneticPr fontId="3" type="noConversion"/>
  </si>
  <si>
    <t>110221197904253810</t>
    <phoneticPr fontId="3" type="noConversion"/>
  </si>
  <si>
    <t>13910556601</t>
    <phoneticPr fontId="3" type="noConversion"/>
  </si>
  <si>
    <t>45号楼</t>
    <phoneticPr fontId="3" type="noConversion"/>
  </si>
  <si>
    <t>2层4单元</t>
    <phoneticPr fontId="3" type="noConversion"/>
  </si>
  <si>
    <t>4</t>
    <phoneticPr fontId="3" type="noConversion"/>
  </si>
  <si>
    <t>复式、平层√、跃层、错层</t>
    <phoneticPr fontId="3" type="noConversion"/>
  </si>
  <si>
    <t>91162015010263</t>
    <phoneticPr fontId="3" type="noConversion"/>
  </si>
  <si>
    <t>可抵押商品住宅</t>
    <phoneticPr fontId="3" type="noConversion"/>
  </si>
  <si>
    <t>X京房权证昌字第642892号</t>
    <phoneticPr fontId="3" type="noConversion"/>
  </si>
  <si>
    <t>协议</t>
    <phoneticPr fontId="3" type="noConversion"/>
  </si>
  <si>
    <t>959754</t>
    <phoneticPr fontId="3" type="noConversion"/>
  </si>
  <si>
    <t>张新民</t>
    <phoneticPr fontId="3" type="noConversion"/>
  </si>
  <si>
    <t>2015-21-P-00843-U-1</t>
    <phoneticPr fontId="3" type="noConversion"/>
  </si>
  <si>
    <t>郭涛、杨小菊</t>
    <phoneticPr fontId="3" type="noConversion"/>
  </si>
  <si>
    <t>110226198610131611、110226198805010529</t>
    <phoneticPr fontId="3" type="noConversion"/>
  </si>
  <si>
    <t>13810969110</t>
    <phoneticPr fontId="3" type="noConversion"/>
  </si>
  <si>
    <t>28号楼</t>
    <phoneticPr fontId="3" type="noConversion"/>
  </si>
  <si>
    <t>1层3单元</t>
    <phoneticPr fontId="3" type="noConversion"/>
  </si>
  <si>
    <t>3</t>
    <phoneticPr fontId="3" type="noConversion"/>
  </si>
  <si>
    <t>91162015030245</t>
    <phoneticPr fontId="3" type="noConversion"/>
  </si>
  <si>
    <t>郑宇</t>
    <phoneticPr fontId="3" type="noConversion"/>
  </si>
  <si>
    <t>三</t>
    <phoneticPr fontId="3" type="noConversion"/>
  </si>
  <si>
    <t>X京房权证昌字第649728号、X京房权证昌字第649729号</t>
    <phoneticPr fontId="3" type="noConversion"/>
  </si>
  <si>
    <t>陈靓</t>
    <phoneticPr fontId="3" type="noConversion"/>
  </si>
  <si>
    <t>初审换正式</t>
    <phoneticPr fontId="3" type="noConversion"/>
  </si>
  <si>
    <t>换网签</t>
    <phoneticPr fontId="3" type="noConversion"/>
  </si>
  <si>
    <t>977286</t>
    <phoneticPr fontId="3" type="noConversion"/>
  </si>
  <si>
    <t>杨光荣</t>
    <phoneticPr fontId="3" type="noConversion"/>
  </si>
  <si>
    <t>偏高</t>
    <phoneticPr fontId="3" type="noConversion"/>
  </si>
  <si>
    <t>2015-21-P-00897-U</t>
    <phoneticPr fontId="3" type="noConversion"/>
  </si>
  <si>
    <t>李慧青、赵娟</t>
    <phoneticPr fontId="3" type="noConversion"/>
  </si>
  <si>
    <t>110229198404161333、411326198609264449</t>
    <phoneticPr fontId="3" type="noConversion"/>
  </si>
  <si>
    <t>15210931352</t>
    <phoneticPr fontId="3" type="noConversion"/>
  </si>
  <si>
    <t>昌平镇西环路南头东侧</t>
    <phoneticPr fontId="3" type="noConversion"/>
  </si>
  <si>
    <t>4层2单元</t>
    <phoneticPr fontId="3" type="noConversion"/>
  </si>
  <si>
    <t>10</t>
    <phoneticPr fontId="3" type="noConversion"/>
  </si>
  <si>
    <t>李慧青、赵娟</t>
    <phoneticPr fontId="3" type="noConversion"/>
  </si>
  <si>
    <t>91162015020366</t>
    <phoneticPr fontId="3" type="noConversion"/>
  </si>
  <si>
    <t>三</t>
    <phoneticPr fontId="3" type="noConversion"/>
  </si>
  <si>
    <t>X京房权证昌字第646692号、X京房权证昌字第646693号</t>
    <phoneticPr fontId="3" type="noConversion"/>
  </si>
  <si>
    <t>972338</t>
    <phoneticPr fontId="3" type="noConversion"/>
  </si>
  <si>
    <t>包金伶</t>
    <phoneticPr fontId="3" type="noConversion"/>
  </si>
  <si>
    <t>2015-21-P-01039-U</t>
    <phoneticPr fontId="3" type="noConversion"/>
  </si>
  <si>
    <t>李建超、李岳茹</t>
    <phoneticPr fontId="3" type="noConversion"/>
  </si>
  <si>
    <t>110221198505024433、110221198711257027</t>
    <phoneticPr fontId="3" type="noConversion"/>
  </si>
  <si>
    <t>7号楼</t>
    <phoneticPr fontId="3" type="noConversion"/>
  </si>
  <si>
    <t>3层1单元</t>
    <phoneticPr fontId="3" type="noConversion"/>
  </si>
  <si>
    <t>马苏莉</t>
    <phoneticPr fontId="3" type="noConversion"/>
  </si>
  <si>
    <t>3</t>
    <phoneticPr fontId="3" type="noConversion"/>
  </si>
  <si>
    <t>91162015030161</t>
    <phoneticPr fontId="3" type="noConversion"/>
  </si>
  <si>
    <t>X京房权证昌字第648404号、X京房权证昌字第648405号</t>
    <phoneticPr fontId="3" type="noConversion"/>
  </si>
  <si>
    <t>胡晓</t>
    <phoneticPr fontId="3" type="noConversion"/>
  </si>
  <si>
    <t>胡晓</t>
    <phoneticPr fontId="3" type="noConversion"/>
  </si>
  <si>
    <t>胡晓</t>
  </si>
  <si>
    <t>2015-21-P-01186-U</t>
    <phoneticPr fontId="3" type="noConversion"/>
  </si>
  <si>
    <t>赵建国、李辉</t>
    <phoneticPr fontId="3" type="noConversion"/>
  </si>
  <si>
    <t>370982198102146099、110221198311040048</t>
    <phoneticPr fontId="3" type="noConversion"/>
  </si>
  <si>
    <t>15712808955</t>
    <phoneticPr fontId="3" type="noConversion"/>
  </si>
  <si>
    <t>昌平镇西环路6号院</t>
    <phoneticPr fontId="3" type="noConversion"/>
  </si>
  <si>
    <t>南楼</t>
    <phoneticPr fontId="3" type="noConversion"/>
  </si>
  <si>
    <t>6层2单元</t>
    <phoneticPr fontId="3" type="noConversion"/>
  </si>
  <si>
    <t>602</t>
    <phoneticPr fontId="3" type="noConversion"/>
  </si>
  <si>
    <t>三室一厅一卫一厨</t>
    <phoneticPr fontId="3" type="noConversion"/>
  </si>
  <si>
    <t>91162015030247</t>
    <phoneticPr fontId="3" type="noConversion"/>
  </si>
  <si>
    <t>X京房权证昌字第650069号、X京房权证昌字第650070号</t>
    <phoneticPr fontId="3" type="noConversion"/>
  </si>
  <si>
    <t>初审换正式</t>
    <phoneticPr fontId="3" type="noConversion"/>
  </si>
  <si>
    <t>977530</t>
    <phoneticPr fontId="3" type="noConversion"/>
  </si>
  <si>
    <t>郝志洋</t>
    <phoneticPr fontId="3" type="noConversion"/>
  </si>
  <si>
    <t>2015-21-P-01555-U</t>
    <phoneticPr fontId="3" type="noConversion"/>
  </si>
  <si>
    <t>邬亮琴、黄官俊</t>
    <phoneticPr fontId="3" type="noConversion"/>
  </si>
  <si>
    <t>142232198802111580、411527198309304039</t>
    <phoneticPr fontId="3" type="noConversion"/>
  </si>
  <si>
    <t>15110283639</t>
    <phoneticPr fontId="3" type="noConversion"/>
  </si>
  <si>
    <t>11号楼</t>
    <phoneticPr fontId="3" type="noConversion"/>
  </si>
  <si>
    <t>4层2单元</t>
    <phoneticPr fontId="3" type="noConversion"/>
  </si>
  <si>
    <t>91162015040105</t>
    <phoneticPr fontId="19" type="noConversion"/>
  </si>
  <si>
    <t>四</t>
    <phoneticPr fontId="3" type="noConversion"/>
  </si>
  <si>
    <t>X京房权证昌字第652726号、X京房权证昌字第652727号</t>
    <phoneticPr fontId="19" type="noConversion"/>
  </si>
  <si>
    <t>刘玉卿</t>
    <phoneticPr fontId="3" type="noConversion"/>
  </si>
  <si>
    <t>2015-21-P-01766-U</t>
    <phoneticPr fontId="3" type="noConversion"/>
  </si>
  <si>
    <t>李艳艳</t>
    <phoneticPr fontId="3" type="noConversion"/>
  </si>
  <si>
    <t>370921198506281227</t>
    <phoneticPr fontId="3" type="noConversion"/>
  </si>
  <si>
    <t>昌平镇西环里</t>
    <phoneticPr fontId="3" type="noConversion"/>
  </si>
  <si>
    <t>26号楼</t>
    <phoneticPr fontId="3" type="noConversion"/>
  </si>
  <si>
    <t>6层2单元</t>
    <phoneticPr fontId="3" type="noConversion"/>
  </si>
  <si>
    <t>91162015040199</t>
    <phoneticPr fontId="3" type="noConversion"/>
  </si>
  <si>
    <t>X京房权证昌字第653151号</t>
    <phoneticPr fontId="3" type="noConversion"/>
  </si>
  <si>
    <t>郭尧</t>
    <phoneticPr fontId="3" type="noConversion"/>
  </si>
  <si>
    <t>2015-21-P-01769-U</t>
    <phoneticPr fontId="3" type="noConversion"/>
  </si>
  <si>
    <t>2/6</t>
    <phoneticPr fontId="24" type="noConversion"/>
  </si>
  <si>
    <t>1/6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</si>
</sst>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411]General"/>
    <numFmt numFmtId="198"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right"/>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alignment horizontal="left"/>
      <protection locked="0"/>
    </xf>
    <xf numFmtId="31" fontId="19" fillId="0" borderId="1" xfId="0" applyNumberFormat="1" applyFont="1" applyFill="1" applyBorder="1" applyAlignment="1"/>
    <xf numFmtId="0" fontId="19" fillId="0" borderId="1" xfId="0" applyFont="1" applyFill="1" applyBorder="1" applyAlignment="1">
      <alignment horizontal="center"/>
    </xf>
    <xf numFmtId="0" fontId="19" fillId="0" borderId="1" xfId="0" applyNumberFormat="1" applyFont="1" applyFill="1" applyBorder="1" applyAlignment="1"/>
    <xf numFmtId="183" fontId="19" fillId="0" borderId="1" xfId="0" applyNumberFormat="1" applyFont="1" applyFill="1" applyBorder="1" applyAlignment="1">
      <alignment vertical="center"/>
    </xf>
    <xf numFmtId="183" fontId="19" fillId="0" borderId="1" xfId="0" applyNumberFormat="1" applyFont="1" applyFill="1" applyBorder="1" applyAlignment="1"/>
    <xf numFmtId="0" fontId="19" fillId="0" borderId="1" xfId="0"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lignment vertical="center"/>
    </xf>
    <xf numFmtId="0" fontId="19" fillId="0" borderId="0" xfId="0" applyFont="1" applyFill="1" applyBorder="1" applyAlignment="1"/>
    <xf numFmtId="0" fontId="19" fillId="0" borderId="1" xfId="0" applyFont="1" applyFill="1" applyBorder="1" applyAlignment="1">
      <alignment horizontal="left"/>
    </xf>
    <xf numFmtId="49" fontId="19" fillId="0" borderId="1" xfId="0" applyNumberFormat="1" applyFont="1" applyFill="1" applyBorder="1" applyAlignment="1">
      <alignment horizontal="right"/>
    </xf>
    <xf numFmtId="58" fontId="19" fillId="0" borderId="1" xfId="0" applyNumberFormat="1" applyFont="1" applyFill="1" applyBorder="1" applyAlignment="1"/>
    <xf numFmtId="197" fontId="19" fillId="0" borderId="1" xfId="0" applyNumberFormat="1" applyFont="1" applyFill="1" applyBorder="1" applyAlignment="1"/>
    <xf numFmtId="0" fontId="19" fillId="0" borderId="1" xfId="0" applyFont="1" applyFill="1" applyBorder="1" applyAlignment="1">
      <alignment horizontal="left" vertical="center"/>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49" fontId="19" fillId="0" borderId="1" xfId="0" applyNumberFormat="1" applyFont="1" applyFill="1" applyBorder="1" applyAlignment="1">
      <alignment horizontal="center" vertical="center"/>
    </xf>
    <xf numFmtId="0" fontId="19" fillId="0" borderId="1" xfId="0" quotePrefix="1" applyFont="1" applyFill="1" applyBorder="1" applyAlignment="1">
      <alignment vertical="center"/>
    </xf>
    <xf numFmtId="0" fontId="19" fillId="0" borderId="1" xfId="0"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49" fontId="19" fillId="0" borderId="1" xfId="0" applyNumberFormat="1" applyFont="1" applyFill="1" applyBorder="1" applyAlignment="1" applyProtection="1"/>
    <xf numFmtId="31"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49" fontId="19" fillId="0" borderId="1" xfId="0" applyNumberFormat="1" applyFont="1" applyFill="1" applyBorder="1" applyAlignment="1">
      <alignment horizontal="left"/>
    </xf>
    <xf numFmtId="1" fontId="19" fillId="0" borderId="1" xfId="0" applyNumberFormat="1" applyFont="1" applyFill="1" applyBorder="1" applyAlignment="1">
      <alignment horizontal="right"/>
    </xf>
    <xf numFmtId="0" fontId="19" fillId="0" borderId="1" xfId="0" applyFont="1" applyFill="1" applyBorder="1" applyAlignment="1" applyProtection="1"/>
    <xf numFmtId="31" fontId="19" fillId="0" borderId="1" xfId="0" applyNumberFormat="1" applyFont="1" applyFill="1" applyBorder="1" applyAlignment="1" applyProtection="1"/>
    <xf numFmtId="0" fontId="19" fillId="0" borderId="1" xfId="0" applyFont="1" applyFill="1" applyBorder="1" applyAlignment="1" applyProtection="1">
      <alignment horizontal="center"/>
      <protection locked="0"/>
    </xf>
    <xf numFmtId="49"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58" fontId="19" fillId="0" borderId="1" xfId="0" applyNumberFormat="1" applyFont="1" applyFill="1" applyBorder="1" applyAlignment="1" applyProtection="1">
      <protection locked="0"/>
    </xf>
    <xf numFmtId="0" fontId="19" fillId="0" borderId="1" xfId="0" applyFont="1" applyFill="1" applyBorder="1" applyAlignment="1" applyProtection="1">
      <alignment horizontal="right" vertical="center"/>
      <protection locked="0"/>
    </xf>
    <xf numFmtId="198"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right"/>
      <protection locked="0"/>
    </xf>
    <xf numFmtId="0" fontId="19" fillId="0" borderId="1" xfId="0" applyFont="1" applyFill="1" applyBorder="1" applyAlignment="1">
      <alignment wrapText="1"/>
    </xf>
    <xf numFmtId="0" fontId="19" fillId="0" borderId="1" xfId="0" applyNumberFormat="1" applyFont="1" applyFill="1" applyBorder="1" applyAlignment="1">
      <alignment vertical="center"/>
    </xf>
    <xf numFmtId="0" fontId="19" fillId="0" borderId="1" xfId="0" quotePrefix="1" applyFont="1" applyFill="1" applyBorder="1" applyAlignment="1"/>
    <xf numFmtId="179" fontId="19" fillId="0" borderId="1" xfId="0" applyNumberFormat="1" applyFont="1" applyFill="1" applyBorder="1" applyAlignment="1">
      <alignment horizontal="right"/>
    </xf>
    <xf numFmtId="0" fontId="129" fillId="0" borderId="1" xfId="0" applyFont="1" applyFill="1" applyBorder="1" applyAlignment="1"/>
    <xf numFmtId="49" fontId="129" fillId="0" borderId="1" xfId="0" applyNumberFormat="1" applyFont="1" applyFill="1" applyBorder="1" applyAlignment="1"/>
    <xf numFmtId="0" fontId="129" fillId="0" borderId="1" xfId="0" applyFont="1" applyFill="1" applyBorder="1" applyAlignment="1">
      <alignment horizontal="right"/>
    </xf>
    <xf numFmtId="2" fontId="129" fillId="0" borderId="1" xfId="0" applyNumberFormat="1" applyFont="1" applyFill="1" applyBorder="1" applyAlignment="1">
      <alignment horizontal="right"/>
    </xf>
    <xf numFmtId="196" fontId="129" fillId="0" borderId="1" xfId="0" applyNumberFormat="1" applyFont="1" applyFill="1" applyBorder="1" applyAlignment="1">
      <alignment horizontal="right"/>
    </xf>
    <xf numFmtId="9" fontId="129" fillId="0" borderId="1" xfId="0" applyNumberFormat="1" applyFont="1" applyFill="1" applyBorder="1" applyAlignment="1">
      <alignment horizontal="right"/>
    </xf>
    <xf numFmtId="2" fontId="129" fillId="0" borderId="1" xfId="0" applyNumberFormat="1" applyFont="1" applyFill="1" applyBorder="1" applyAlignment="1" applyProtection="1">
      <alignment horizontal="right"/>
    </xf>
    <xf numFmtId="0" fontId="129" fillId="0" borderId="1" xfId="0" applyFont="1" applyFill="1" applyBorder="1" applyAlignment="1" applyProtection="1">
      <alignment horizontal="left"/>
      <protection locked="0"/>
    </xf>
    <xf numFmtId="31" fontId="129" fillId="0" borderId="1" xfId="0" applyNumberFormat="1" applyFont="1" applyFill="1" applyBorder="1" applyAlignment="1"/>
    <xf numFmtId="0" fontId="129" fillId="0" borderId="1" xfId="0" applyFont="1" applyFill="1" applyBorder="1" applyAlignment="1">
      <alignment horizontal="center"/>
    </xf>
    <xf numFmtId="0" fontId="129" fillId="0" borderId="1" xfId="0" applyNumberFormat="1" applyFont="1" applyFill="1" applyBorder="1" applyAlignment="1"/>
    <xf numFmtId="183" fontId="129" fillId="0" borderId="1" xfId="0" applyNumberFormat="1" applyFont="1" applyFill="1" applyBorder="1" applyAlignment="1">
      <alignment vertical="center"/>
    </xf>
    <xf numFmtId="183" fontId="129" fillId="0" borderId="1" xfId="0" applyNumberFormat="1" applyFont="1" applyFill="1" applyBorder="1" applyAlignment="1"/>
    <xf numFmtId="0" fontId="129" fillId="0" borderId="1" xfId="0" applyFont="1" applyFill="1" applyBorder="1" applyAlignment="1" applyProtection="1">
      <protection locked="0"/>
    </xf>
    <xf numFmtId="0" fontId="272" fillId="0" borderId="0" xfId="0" applyFont="1" applyFill="1" applyBorder="1" applyAlignment="1"/>
    <xf numFmtId="0" fontId="129" fillId="0" borderId="0" xfId="0" applyFont="1" applyFill="1" applyBorder="1" applyAlignment="1">
      <alignment vertical="center"/>
    </xf>
    <xf numFmtId="0" fontId="129" fillId="0" borderId="0" xfId="0" applyFont="1" applyFill="1" applyBorder="1" applyAlignment="1"/>
    <xf numFmtId="0" fontId="19" fillId="25" borderId="1" xfId="0" applyFont="1" applyFill="1" applyBorder="1" applyAlignment="1"/>
    <xf numFmtId="0" fontId="19" fillId="25" borderId="1" xfId="0" applyFont="1" applyFill="1" applyBorder="1" applyAlignment="1">
      <alignment vertical="center"/>
    </xf>
    <xf numFmtId="49" fontId="19" fillId="25" borderId="1" xfId="0" applyNumberFormat="1" applyFont="1" applyFill="1" applyBorder="1" applyAlignment="1">
      <alignment vertical="center"/>
    </xf>
    <xf numFmtId="0" fontId="19" fillId="25" borderId="1" xfId="0" applyFont="1" applyFill="1" applyBorder="1" applyAlignment="1">
      <alignment horizontal="right" vertical="center"/>
    </xf>
    <xf numFmtId="1" fontId="19" fillId="25" borderId="1" xfId="0" applyNumberFormat="1" applyFont="1" applyFill="1" applyBorder="1" applyAlignment="1">
      <alignment horizontal="right" vertical="center"/>
    </xf>
    <xf numFmtId="2" fontId="19" fillId="25" borderId="1" xfId="0" applyNumberFormat="1" applyFont="1" applyFill="1" applyBorder="1" applyAlignment="1">
      <alignment horizontal="right" vertical="center"/>
    </xf>
    <xf numFmtId="196" fontId="19" fillId="25" borderId="1" xfId="0" applyNumberFormat="1" applyFont="1" applyFill="1" applyBorder="1" applyAlignment="1">
      <alignment horizontal="right" vertical="center"/>
    </xf>
    <xf numFmtId="9" fontId="19" fillId="25" borderId="1" xfId="0" applyNumberFormat="1" applyFont="1" applyFill="1" applyBorder="1" applyAlignment="1">
      <alignment horizontal="right" vertical="center"/>
    </xf>
    <xf numFmtId="2" fontId="19" fillId="25" borderId="1" xfId="0" applyNumberFormat="1" applyFont="1" applyFill="1" applyBorder="1" applyAlignment="1" applyProtection="1">
      <alignment horizontal="right" vertical="center"/>
    </xf>
    <xf numFmtId="0" fontId="19" fillId="25" borderId="1" xfId="0" applyFont="1" applyFill="1" applyBorder="1" applyAlignment="1" applyProtection="1">
      <alignment horizontal="right" vertical="center"/>
      <protection locked="0"/>
    </xf>
    <xf numFmtId="0" fontId="19" fillId="25" borderId="1" xfId="0" applyFont="1" applyFill="1" applyBorder="1" applyAlignment="1">
      <alignment horizontal="right"/>
    </xf>
    <xf numFmtId="177" fontId="19" fillId="25" borderId="1" xfId="0" quotePrefix="1" applyNumberFormat="1" applyFont="1" applyFill="1" applyBorder="1" applyAlignment="1" applyProtection="1">
      <alignment vertical="center"/>
    </xf>
    <xf numFmtId="0" fontId="19" fillId="25" borderId="1" xfId="0" applyFont="1" applyFill="1" applyBorder="1" applyAlignment="1" applyProtection="1">
      <alignment vertical="center"/>
      <protection locked="0"/>
    </xf>
    <xf numFmtId="0" fontId="19" fillId="25" borderId="1" xfId="0" applyFont="1" applyFill="1" applyBorder="1" applyAlignment="1" applyProtection="1">
      <alignment vertical="center"/>
    </xf>
    <xf numFmtId="183" fontId="19" fillId="25" borderId="1" xfId="0" applyNumberFormat="1" applyFont="1" applyFill="1" applyBorder="1" applyAlignment="1"/>
    <xf numFmtId="31" fontId="19" fillId="25" borderId="1" xfId="0" applyNumberFormat="1" applyFont="1" applyFill="1" applyBorder="1" applyAlignment="1" applyProtection="1"/>
    <xf numFmtId="198" fontId="19" fillId="25" borderId="1" xfId="0" applyNumberFormat="1" applyFont="1" applyFill="1" applyBorder="1" applyAlignment="1" applyProtection="1">
      <alignment horizontal="center" vertical="center"/>
    </xf>
    <xf numFmtId="49" fontId="19" fillId="25" borderId="1" xfId="0" applyNumberFormat="1" applyFont="1" applyFill="1" applyBorder="1" applyAlignment="1" applyProtection="1">
      <alignment vertical="center"/>
      <protection locked="0"/>
    </xf>
    <xf numFmtId="31" fontId="19" fillId="25" borderId="1" xfId="0" applyNumberFormat="1" applyFont="1" applyFill="1" applyBorder="1" applyAlignment="1" applyProtection="1">
      <alignment vertical="center"/>
      <protection locked="0"/>
    </xf>
    <xf numFmtId="183" fontId="19" fillId="25" borderId="1" xfId="0" applyNumberFormat="1" applyFont="1" applyFill="1" applyBorder="1" applyAlignment="1" applyProtection="1">
      <alignment vertical="center"/>
      <protection locked="0"/>
    </xf>
    <xf numFmtId="0" fontId="271" fillId="25" borderId="0" xfId="0" applyFont="1" applyFill="1" applyBorder="1" applyAlignment="1"/>
    <xf numFmtId="0" fontId="19" fillId="25" borderId="0" xfId="0" applyFont="1" applyFill="1" applyBorder="1" applyAlignment="1"/>
    <xf numFmtId="0" fontId="19" fillId="25" borderId="0" xfId="0" applyFont="1" applyFill="1" applyBorder="1" applyAlignment="1" applyProtection="1">
      <alignment vertical="center"/>
      <protection locked="0"/>
    </xf>
    <xf numFmtId="49" fontId="19" fillId="25" borderId="1" xfId="0" applyNumberFormat="1" applyFont="1" applyFill="1" applyBorder="1" applyAlignment="1"/>
    <xf numFmtId="49" fontId="19" fillId="25" borderId="1" xfId="0" applyNumberFormat="1" applyFont="1" applyFill="1" applyBorder="1" applyAlignment="1">
      <alignment horizontal="left"/>
    </xf>
    <xf numFmtId="1"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6" fontId="19" fillId="25" borderId="1" xfId="0" applyNumberFormat="1"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0" fontId="19" fillId="25" borderId="1" xfId="0" applyFont="1" applyFill="1" applyBorder="1" applyAlignment="1" applyProtection="1">
      <alignment horizontal="right"/>
      <protection locked="0"/>
    </xf>
    <xf numFmtId="0" fontId="19" fillId="25" borderId="1" xfId="0" applyFont="1" applyFill="1" applyBorder="1" applyAlignment="1">
      <alignment horizontal="left" vertical="center"/>
    </xf>
    <xf numFmtId="49" fontId="19" fillId="25" borderId="1" xfId="0" applyNumberFormat="1" applyFont="1" applyFill="1" applyBorder="1" applyAlignment="1" applyProtection="1"/>
    <xf numFmtId="0" fontId="19" fillId="25" borderId="1" xfId="0" applyFont="1" applyFill="1" applyBorder="1" applyAlignment="1" applyProtection="1">
      <protection locked="0"/>
    </xf>
    <xf numFmtId="0" fontId="19" fillId="25" borderId="1" xfId="0" applyFont="1" applyFill="1" applyBorder="1" applyAlignment="1" applyProtection="1"/>
    <xf numFmtId="0" fontId="19" fillId="25" borderId="1" xfId="0" applyFont="1" applyFill="1" applyBorder="1" applyAlignment="1" applyProtection="1">
      <alignment horizontal="center"/>
      <protection locked="0"/>
    </xf>
    <xf numFmtId="4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58" fontId="19" fillId="25" borderId="1" xfId="0" applyNumberFormat="1" applyFont="1" applyFill="1" applyBorder="1" applyAlignment="1" applyProtection="1">
      <protection locked="0"/>
    </xf>
    <xf numFmtId="0" fontId="19" fillId="25" borderId="0" xfId="0" applyFont="1" applyFill="1" applyBorder="1" applyAlignment="1" applyProtection="1">
      <protection locked="0"/>
    </xf>
    <xf numFmtId="0" fontId="19" fillId="25" borderId="1" xfId="0" applyFont="1" applyFill="1" applyBorder="1" applyAlignment="1">
      <alignment wrapText="1"/>
    </xf>
    <xf numFmtId="31" fontId="19" fillId="25" borderId="1" xfId="0" applyNumberFormat="1" applyFont="1" applyFill="1" applyBorder="1" applyAlignment="1"/>
    <xf numFmtId="0" fontId="19" fillId="25" borderId="1" xfId="0" applyNumberFormat="1" applyFont="1" applyFill="1" applyBorder="1" applyAlignment="1">
      <alignment vertical="center"/>
    </xf>
    <xf numFmtId="183" fontId="19" fillId="25" borderId="1" xfId="0" applyNumberFormat="1" applyFont="1" applyFill="1" applyBorder="1" applyAlignment="1">
      <alignment vertical="center"/>
    </xf>
    <xf numFmtId="31" fontId="19" fillId="25" borderId="1" xfId="0" applyNumberFormat="1" applyFont="1" applyFill="1" applyBorder="1" applyAlignment="1">
      <alignment vertical="center"/>
    </xf>
    <xf numFmtId="0" fontId="19" fillId="25" borderId="0" xfId="0" applyFont="1" applyFill="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160020</xdr:rowOff>
    </xdr:from>
    <xdr:to>
      <xdr:col>14</xdr:col>
      <xdr:colOff>334479</xdr:colOff>
      <xdr:row>36</xdr:row>
      <xdr:rowOff>125460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49140"/>
          <a:ext cx="9836619"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5199;&#29615;&#36335;44&#21495;&#3849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9327</v>
          </cell>
          <cell r="D29">
            <v>74.98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2015年4月9日</v>
      </c>
    </row>
    <row r="13" spans="1:2" s="1203" customFormat="1">
      <c r="A13" s="1201" t="s">
        <v>529</v>
      </c>
      <c r="B13" s="1202" t="str">
        <f>'预评函-1'!A18</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4"/>
      <c r="B54" s="1554" t="s">
        <v>385</v>
      </c>
      <c r="C54" s="1551" t="s">
        <v>583</v>
      </c>
    </row>
    <row r="55" spans="1:4">
      <c r="A55" s="3654"/>
      <c r="B55" s="1554" t="s">
        <v>386</v>
      </c>
      <c r="C55" s="1551" t="s">
        <v>584</v>
      </c>
    </row>
    <row r="56" spans="1:4">
      <c r="A56" s="3654"/>
      <c r="B56" s="1554" t="s">
        <v>387</v>
      </c>
      <c r="C56" s="1551" t="s">
        <v>588</v>
      </c>
    </row>
    <row r="57" spans="1:4">
      <c r="A57" s="365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55" t="s">
        <v>2580</v>
      </c>
      <c r="J2" s="3655"/>
      <c r="K2" s="3655"/>
      <c r="L2" s="3655"/>
      <c r="M2" s="3655"/>
      <c r="N2" s="3655"/>
      <c r="O2" s="3655"/>
      <c r="P2" s="3655"/>
      <c r="Q2" s="3655"/>
      <c r="R2" s="3655"/>
    </row>
    <row r="3" spans="1:18">
      <c r="A3" s="3020" t="s">
        <v>2501</v>
      </c>
      <c r="B3" s="3021">
        <f>项目基本情况!D3</f>
        <v>42103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0.46479999999999999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21.71</v>
      </c>
      <c r="D6" s="3025">
        <f>IF(ISERROR(ROUND(POWER(1+E6,A6-C6)*(POWER(1+E6,C6)-1)/(POWER(1+E6,A6)-1),3)),0,ROUND(POWER(1+E6,A6-C6)*(POWER(1+E6,C6)-1)/(POWER(1+E6,A6)-1),4))</f>
        <v>0.66710000000000003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41.72</v>
      </c>
      <c r="D7" s="3025">
        <f>IF(ISERROR(ROUND(POWER(1+E7,A7-C7)*(POWER(1+E7,C7)-1)/(POWER(1+E7,A7)-1),3)),0,ROUND(POWER(1+E7,A7-C7)*(POWER(1+E7,C7)-1)/(POWER(1+E7,A7)-1),4))</f>
        <v>0.86060000000000003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64" t="str">
        <f>IF(B10="北京市","北京市",C10)&amp;F10&amp;IF(结果表!G1="在建","出让国有建设用地使用权及在建建筑物",IF(结果表!G1="土地","出让国有建设用地使用权",))&amp;B9&amp;"预评估"</f>
        <v>北京市房地产市场价值预评估</v>
      </c>
      <c r="C1" s="3665"/>
      <c r="D1" s="3665"/>
      <c r="E1" s="3665"/>
      <c r="F1" s="3665"/>
      <c r="G1" s="3665"/>
      <c r="H1" s="3665"/>
      <c r="I1" s="366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67"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68"/>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74"/>
      <c r="C16" s="3675"/>
      <c r="D16" s="3676"/>
      <c r="E16" s="2413" t="s">
        <v>2193</v>
      </c>
      <c r="F16" s="3677"/>
      <c r="G16" s="3678"/>
      <c r="H16" s="3678"/>
      <c r="I16" s="3679"/>
      <c r="J16" s="2439"/>
      <c r="K16" s="2617"/>
      <c r="L16" s="2451"/>
      <c r="M16" s="2451"/>
      <c r="N16" s="2509"/>
      <c r="O16" s="2451"/>
      <c r="P16" s="2509"/>
      <c r="Q16" s="2439"/>
      <c r="R16" s="2439"/>
    </row>
    <row r="17" spans="1:28">
      <c r="A17" s="313" t="s">
        <v>2194</v>
      </c>
      <c r="B17" s="302" t="s">
        <v>2195</v>
      </c>
      <c r="C17" s="8">
        <f>'数据-汇总表'!E3</f>
        <v>74.98</v>
      </c>
      <c r="D17" s="2322" t="s">
        <v>2196</v>
      </c>
      <c r="E17" s="3680" t="s">
        <v>2197</v>
      </c>
      <c r="F17" s="3681"/>
      <c r="G17" s="3681"/>
      <c r="H17" s="3681"/>
      <c r="I17" s="368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83" t="s">
        <v>2201</v>
      </c>
      <c r="F18" s="3684"/>
      <c r="G18" s="3684"/>
      <c r="H18" s="3684"/>
      <c r="I18" s="368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70" t="s">
        <v>2205</v>
      </c>
      <c r="C20" s="3671"/>
      <c r="D20" s="3672" t="s">
        <v>2206</v>
      </c>
      <c r="E20" s="3673"/>
      <c r="F20" s="2647" t="s">
        <v>1056</v>
      </c>
      <c r="G20" s="2664"/>
      <c r="H20" s="2664"/>
      <c r="I20" s="2664"/>
      <c r="J20" s="2439"/>
      <c r="K20" s="366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6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6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5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5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5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58"/>
      <c r="B30" s="302" t="s">
        <v>2217</v>
      </c>
      <c r="C30" s="3659"/>
      <c r="D30" s="3660"/>
      <c r="E30" s="2664"/>
      <c r="F30" s="2664"/>
      <c r="G30" s="2664"/>
      <c r="H30" s="2664"/>
      <c r="I30" s="2664"/>
      <c r="J30" s="2439"/>
      <c r="K30" s="2616"/>
      <c r="L30" s="2613"/>
      <c r="M30" s="2613"/>
      <c r="N30" s="2439"/>
      <c r="O30" s="2450"/>
      <c r="P30" s="2439"/>
      <c r="Q30" s="2439"/>
      <c r="R30" s="2439"/>
      <c r="S30" s="2439"/>
      <c r="T30" s="2439"/>
      <c r="U30" s="2439"/>
      <c r="V30" s="2439"/>
    </row>
    <row r="31" spans="1:28">
      <c r="A31" s="366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6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6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56" t="s">
        <v>2227</v>
      </c>
      <c r="T34" s="2428" t="str">
        <f>NUMBERSTRING(7-K34,1)&amp;"通"</f>
        <v>七通</v>
      </c>
      <c r="U34" s="2439"/>
      <c r="V34" s="2439"/>
    </row>
    <row r="35" spans="1:30">
      <c r="A35" s="2429"/>
      <c r="B35" s="3663" t="s">
        <v>2228</v>
      </c>
      <c r="C35" s="3663"/>
      <c r="D35" s="3663"/>
      <c r="E35" s="366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74.98</v>
      </c>
      <c r="H5" s="13">
        <f t="shared" ref="H5:AT5" si="0">SUM(H13:H656)</f>
        <v>74.98</v>
      </c>
      <c r="I5" s="13">
        <f t="shared" si="0"/>
        <v>74.98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74.98</v>
      </c>
      <c r="BA5" s="15">
        <f t="shared" si="1"/>
        <v>74.98</v>
      </c>
      <c r="BB5" s="15">
        <f t="shared" si="1"/>
        <v>74.98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74.98</v>
      </c>
      <c r="H13" s="17">
        <f>SUMIF(I$12:AB$12,"总值",I13:AB13)</f>
        <v>74.98</v>
      </c>
      <c r="I13" s="1626">
        <v>74.98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74.98</v>
      </c>
      <c r="BA13" s="13">
        <f>SUM(BB13:BK13)</f>
        <v>74.98</v>
      </c>
      <c r="BB13" s="13">
        <f>IF($D13="是",I13-J13,0)</f>
        <v>74.98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5" t="s">
        <v>1131</v>
      </c>
      <c r="B2" s="3695"/>
      <c r="C2" s="3695"/>
      <c r="D2" s="796" t="s">
        <v>1107</v>
      </c>
      <c r="E2" s="1639" t="s">
        <v>1108</v>
      </c>
      <c r="F2" s="2659"/>
      <c r="G2" s="2650"/>
      <c r="H2" s="2651"/>
      <c r="I2" s="2325" t="s">
        <v>1132</v>
      </c>
      <c r="J2" s="2659"/>
      <c r="K2" s="2659"/>
      <c r="L2" s="2659"/>
      <c r="M2" s="2659"/>
      <c r="N2" s="2661"/>
      <c r="O2" s="2659"/>
      <c r="P2" s="2659"/>
    </row>
    <row r="3" spans="1:16" ht="15" thickBot="1">
      <c r="A3" s="3696" t="s">
        <v>1105</v>
      </c>
      <c r="B3" s="3696"/>
      <c r="C3" s="3696"/>
      <c r="D3" s="43">
        <f>'数据-基础表'!AY6</f>
        <v>0</v>
      </c>
      <c r="E3" s="43">
        <f>'数据-基础表'!AZ5</f>
        <v>74.98</v>
      </c>
      <c r="F3" s="2659"/>
      <c r="G3" s="1145"/>
      <c r="H3" s="1026" t="s">
        <v>1106</v>
      </c>
      <c r="I3" s="855" t="e">
        <f>ROUND('数据-基础表'!B3/'数据-基础表'!A3,2)</f>
        <v>#DIV/0!</v>
      </c>
      <c r="J3" s="2659"/>
      <c r="K3" s="2659"/>
      <c r="L3" s="2659"/>
      <c r="M3" s="2659"/>
      <c r="N3" s="2661"/>
      <c r="O3" s="2659"/>
      <c r="P3" s="2659"/>
    </row>
    <row r="4" spans="1:16" ht="14.4">
      <c r="A4" s="3697"/>
      <c r="B4" s="3698"/>
      <c r="C4" s="369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00" t="s">
        <v>1110</v>
      </c>
      <c r="C5" s="3700"/>
      <c r="D5" s="45">
        <f>ROUND($D$3*E5/$E$3,2)</f>
        <v>0</v>
      </c>
      <c r="E5" s="46">
        <f>SUMIF('数据-基础表'!$11:$11,"住宅",'数据-基础表'!$5:$5)</f>
        <v>74.98</v>
      </c>
      <c r="F5" s="2659"/>
      <c r="G5" s="1145"/>
      <c r="H5" s="1026" t="s">
        <v>1106</v>
      </c>
      <c r="I5" s="855" t="e">
        <f>ROUND(E31/D31,2)</f>
        <v>#DIV/0!</v>
      </c>
      <c r="J5" s="2659"/>
      <c r="K5" s="2659"/>
      <c r="L5" s="2659"/>
      <c r="M5" s="2659"/>
      <c r="N5" s="2659"/>
      <c r="O5" s="2659"/>
      <c r="P5" s="2659"/>
    </row>
    <row r="6" spans="1:16" ht="15" thickBot="1">
      <c r="A6" s="1644"/>
      <c r="B6" s="3700" t="s">
        <v>1111</v>
      </c>
      <c r="C6" s="370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92"/>
      <c r="B7" s="3693"/>
      <c r="C7" s="369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74.98</v>
      </c>
      <c r="F16" s="2659"/>
      <c r="G16" s="2660"/>
      <c r="H16" s="1648" t="s">
        <v>1135</v>
      </c>
      <c r="I16" s="1649"/>
      <c r="J16" s="1139"/>
      <c r="K16" s="3689" t="s">
        <v>1135</v>
      </c>
      <c r="L16" s="3690"/>
      <c r="M16" s="3690"/>
      <c r="N16" s="3690"/>
      <c r="O16" s="3690"/>
      <c r="P16" s="3691"/>
    </row>
    <row r="17" spans="1:19" ht="14.4">
      <c r="A17" s="1650" t="s">
        <v>1136</v>
      </c>
      <c r="B17" s="1651" t="s">
        <v>1137</v>
      </c>
      <c r="C17" s="1652" t="s">
        <v>1138</v>
      </c>
      <c r="D17" s="1653" t="s">
        <v>1126</v>
      </c>
      <c r="E17" s="1654" t="s">
        <v>1127</v>
      </c>
      <c r="F17" s="1655"/>
      <c r="G17" s="1656"/>
      <c r="H17" s="1657" t="s">
        <v>1139</v>
      </c>
      <c r="I17" s="1658" t="s">
        <v>1124</v>
      </c>
      <c r="J17" s="1139"/>
      <c r="K17" s="3686" t="s">
        <v>1140</v>
      </c>
      <c r="L17" s="3687"/>
      <c r="M17" s="3688"/>
      <c r="N17" s="3686" t="s">
        <v>1141</v>
      </c>
      <c r="O17" s="3687"/>
      <c r="P17" s="368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74.98</v>
      </c>
      <c r="F19" s="2795">
        <f>'数据-基础表'!I13</f>
        <v>74.98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74.98</v>
      </c>
      <c r="F27" s="1140">
        <f>IF(SUM(F19:F26)=E8,SUM(F19:F26),"地上面积有误")</f>
        <v>74.98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74.98</v>
      </c>
      <c r="F31" s="677">
        <f>F27+F30</f>
        <v>74.98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74.98</v>
      </c>
      <c r="L6" s="733">
        <v>1850</v>
      </c>
      <c r="M6" s="67">
        <f t="shared" ref="M6:M14" si="0">ROUND(K6*L6/10000,0)</f>
        <v>14</v>
      </c>
      <c r="N6" s="3455">
        <v>0.7</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5.0000000000000001E-3</v>
      </c>
      <c r="AL6" s="79">
        <v>1E-3</v>
      </c>
      <c r="AM6" s="80">
        <v>0.01</v>
      </c>
      <c r="AN6" s="1715"/>
      <c r="AO6" s="52" t="e">
        <f ca="1">SUMIF(INDIRECT("'"&amp;AN6&amp;"'"&amp;"!A:A"),"总价",INDIRECT("'"&amp;AN6&amp;"'"&amp;"!B:B"))</f>
        <v>#REF!</v>
      </c>
      <c r="AP6" s="1716">
        <f>IF(C6="住宅",K6*L6,0)</f>
        <v>138713</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74.98</v>
      </c>
      <c r="L16" s="93">
        <f>ROUND(M16*10000/SUM(K6:K14),0)</f>
        <v>1867</v>
      </c>
      <c r="M16" s="93">
        <f>SUM(M6:M14)</f>
        <v>14</v>
      </c>
      <c r="N16" s="94">
        <f>ROUND(SUMPRODUCT(M6:M14,N6:N14)/M16,3)</f>
        <v>0.7</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1-(2015-1997)/50</f>
        <v>0.64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0.08</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2.5000000000000001E-2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5.3499999999999999E-2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01" t="s">
        <v>2285</v>
      </c>
      <c r="B1" s="3702"/>
      <c r="C1" s="3702"/>
      <c r="D1" s="3702"/>
      <c r="E1" s="3702"/>
      <c r="F1" s="3702"/>
      <c r="G1" s="370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42103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149</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74.98</v>
      </c>
      <c r="C14" s="2518"/>
      <c r="D14" s="2518">
        <f ca="1">结果表!G19</f>
        <v>149</v>
      </c>
      <c r="E14" s="2518">
        <f ca="1">ROUND(D14*10000/B14,0)</f>
        <v>19872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7" t="str">
        <f>项目基本情况!S2</f>
        <v>北京市房地产</v>
      </c>
      <c r="B2" s="3738"/>
      <c r="C2" s="3738"/>
      <c r="D2" s="3738"/>
      <c r="E2" s="3738"/>
      <c r="F2" s="3738"/>
      <c r="G2" s="3738"/>
      <c r="H2" s="3738"/>
      <c r="I2" s="3739"/>
    </row>
    <row r="3" spans="1:12" ht="13.2">
      <c r="A3" s="3741" t="s">
        <v>1264</v>
      </c>
      <c r="B3" s="3742"/>
      <c r="C3" s="3742"/>
      <c r="D3" s="3742"/>
      <c r="E3" s="3742"/>
      <c r="F3" s="3742"/>
      <c r="G3" s="3742"/>
      <c r="H3" s="3742"/>
      <c r="I3" s="3742"/>
    </row>
    <row r="4" spans="1:12" ht="14.4">
      <c r="A4" s="1754" t="s">
        <v>1265</v>
      </c>
      <c r="B4" s="1755" t="s">
        <v>1266</v>
      </c>
      <c r="C4" s="1756" t="s">
        <v>3410</v>
      </c>
      <c r="D4" s="1756" t="s">
        <v>3411</v>
      </c>
      <c r="E4" s="3743" t="s">
        <v>1267</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7" t="s">
        <v>1268</v>
      </c>
      <c r="B5" s="3704">
        <v>25</v>
      </c>
      <c r="C5" s="3720">
        <v>8</v>
      </c>
      <c r="D5" s="3740">
        <f>10-C5</f>
        <v>2</v>
      </c>
      <c r="E5" s="131" t="s">
        <v>1269</v>
      </c>
      <c r="F5" s="1757"/>
      <c r="G5" s="1757"/>
      <c r="H5" s="1757"/>
      <c r="I5" s="1373"/>
    </row>
    <row r="6" spans="1:12" ht="13.2">
      <c r="A6" s="3717"/>
      <c r="B6" s="3704"/>
      <c r="C6" s="3721"/>
      <c r="D6" s="3740"/>
      <c r="E6" s="131" t="s">
        <v>1270</v>
      </c>
      <c r="F6" s="1757"/>
      <c r="G6" s="1757"/>
      <c r="H6" s="1757"/>
      <c r="I6" s="1373"/>
    </row>
    <row r="7" spans="1:12" ht="13.2">
      <c r="A7" s="3717"/>
      <c r="B7" s="3704"/>
      <c r="C7" s="3722"/>
      <c r="D7" s="3740"/>
      <c r="E7" s="131" t="s">
        <v>1271</v>
      </c>
      <c r="F7" s="1757"/>
      <c r="G7" s="1757"/>
      <c r="H7" s="1757"/>
      <c r="I7" s="1373"/>
    </row>
    <row r="8" spans="1:12" ht="13.2">
      <c r="A8" s="3717" t="s">
        <v>1272</v>
      </c>
      <c r="B8" s="3704">
        <v>15</v>
      </c>
      <c r="C8" s="3720"/>
      <c r="D8" s="3740"/>
      <c r="E8" s="131" t="s">
        <v>1273</v>
      </c>
      <c r="F8" s="1757"/>
      <c r="G8" s="1757"/>
      <c r="H8" s="1757"/>
      <c r="I8" s="1373"/>
    </row>
    <row r="9" spans="1:12" ht="13.2">
      <c r="A9" s="3717"/>
      <c r="B9" s="3704"/>
      <c r="C9" s="3722"/>
      <c r="D9" s="3740"/>
      <c r="E9" s="131" t="s">
        <v>1274</v>
      </c>
      <c r="F9" s="1757"/>
      <c r="G9" s="1757"/>
      <c r="H9" s="1757"/>
      <c r="I9" s="1373"/>
    </row>
    <row r="10" spans="1:12" ht="13.2">
      <c r="A10" s="3717" t="s">
        <v>1275</v>
      </c>
      <c r="B10" s="3704">
        <v>15</v>
      </c>
      <c r="C10" s="3720"/>
      <c r="D10" s="3740"/>
      <c r="E10" s="131" t="s">
        <v>1276</v>
      </c>
      <c r="F10" s="1757"/>
      <c r="G10" s="1757"/>
      <c r="H10" s="1757"/>
      <c r="I10" s="1373"/>
    </row>
    <row r="11" spans="1:12" ht="13.2">
      <c r="A11" s="3717"/>
      <c r="B11" s="3704"/>
      <c r="C11" s="3722"/>
      <c r="D11" s="3740"/>
      <c r="E11" s="131" t="s">
        <v>1277</v>
      </c>
      <c r="F11" s="1757"/>
      <c r="G11" s="1757"/>
      <c r="H11" s="1757"/>
      <c r="I11" s="1373"/>
    </row>
    <row r="12" spans="1:12" ht="13.2">
      <c r="A12" s="3717" t="s">
        <v>1278</v>
      </c>
      <c r="B12" s="3704">
        <v>15</v>
      </c>
      <c r="C12" s="3720"/>
      <c r="D12" s="3740"/>
      <c r="E12" s="131" t="s">
        <v>1279</v>
      </c>
      <c r="F12" s="1757"/>
      <c r="G12" s="1757"/>
      <c r="H12" s="1757"/>
      <c r="I12" s="1373"/>
    </row>
    <row r="13" spans="1:12" ht="13.2">
      <c r="A13" s="3717"/>
      <c r="B13" s="3704"/>
      <c r="C13" s="3722"/>
      <c r="D13" s="3740"/>
      <c r="E13" s="131" t="s">
        <v>1280</v>
      </c>
      <c r="F13" s="1757"/>
      <c r="G13" s="1757"/>
      <c r="H13" s="1757"/>
      <c r="I13" s="1373"/>
    </row>
    <row r="14" spans="1:12" ht="13.2">
      <c r="A14" s="3717" t="s">
        <v>1281</v>
      </c>
      <c r="B14" s="3704">
        <v>30</v>
      </c>
      <c r="C14" s="3720"/>
      <c r="D14" s="3740"/>
      <c r="E14" s="131" t="s">
        <v>1282</v>
      </c>
      <c r="F14" s="1757"/>
      <c r="G14" s="1757"/>
      <c r="H14" s="1757"/>
      <c r="I14" s="1373"/>
    </row>
    <row r="15" spans="1:12" ht="13.2">
      <c r="A15" s="3717"/>
      <c r="B15" s="3704"/>
      <c r="C15" s="3721"/>
      <c r="D15" s="3740"/>
      <c r="E15" s="131" t="s">
        <v>1283</v>
      </c>
      <c r="F15" s="1757"/>
      <c r="G15" s="1757"/>
      <c r="H15" s="1757"/>
      <c r="I15" s="1373"/>
    </row>
    <row r="16" spans="1:12" ht="13.2">
      <c r="A16" s="3717"/>
      <c r="B16" s="3704"/>
      <c r="C16" s="3722"/>
      <c r="D16" s="374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27" t="s">
        <v>2130</v>
      </c>
      <c r="F18" s="3728"/>
      <c r="G18" s="3728"/>
      <c r="H18" s="3728"/>
      <c r="I18" s="3728"/>
      <c r="K18" s="302" t="s">
        <v>1289</v>
      </c>
      <c r="L18" s="302">
        <f>IF(C1="",'数据-汇总表'!E3,SUMIF(项目类型,C1,'数据-汇总表'!E17:E26)+SUMIF(项目类型,C1,'数据-汇总表'!I17:I26))</f>
        <v>74.98</v>
      </c>
      <c r="M18" s="302">
        <f>IF(C1="",'数据-汇总表'!E3,SUMIF(项目类型,C1,'数据-汇总表'!E17:E26))</f>
        <v>74.98</v>
      </c>
    </row>
    <row r="19" spans="1:36" ht="14.4">
      <c r="A19" s="1761" t="s">
        <v>1290</v>
      </c>
      <c r="B19" s="1762" t="s">
        <v>1291</v>
      </c>
      <c r="C19" s="134">
        <f ca="1">SUMIF(INDIRECT("'"&amp;C4&amp;"'"&amp;"!A:A"),结果表!B19,INDIRECT("'"&amp;C4&amp;"'"&amp;"!B:B"))</f>
        <v>158.64269999999999</v>
      </c>
      <c r="D19" s="135">
        <f ca="1">SUMIF(INDIRECT("'"&amp;D4&amp;"'"&amp;"!A:A"),结果表!B19,INDIRECT("'"&amp;D4&amp;"'"&amp;"!B:B"))</f>
        <v>111.23520000000001</v>
      </c>
      <c r="E19" s="1761" t="s">
        <v>1292</v>
      </c>
      <c r="F19" s="1762" t="s">
        <v>1291</v>
      </c>
      <c r="G19" s="136">
        <f ca="1">ROUND(C19*$C$18+D19*$D$18,0)</f>
        <v>149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21158</v>
      </c>
      <c r="D20" s="138">
        <f ca="1">SUMIF(INDIRECT("'"&amp;D4&amp;"'"&amp;"!A:A"),结果表!B20,INDIRECT("'"&amp;D4&amp;"'"&amp;"!B:B"))</f>
        <v>14835</v>
      </c>
      <c r="E20" s="1764"/>
      <c r="F20" s="1026" t="s">
        <v>1295</v>
      </c>
      <c r="G20" s="139">
        <f ca="1">ROUND(C20*$C$18+D20*$D$18,0)</f>
        <v>19893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0.42619152930007753</v>
      </c>
      <c r="E22" s="129"/>
      <c r="F22" s="129"/>
      <c r="G22" s="129"/>
      <c r="H22" s="129"/>
      <c r="I22" s="129"/>
    </row>
    <row r="23" spans="1:36" ht="13.8" thickBot="1">
      <c r="A23" s="1747"/>
      <c r="B23" s="1747"/>
      <c r="C23" s="1747"/>
      <c r="D23" s="1747"/>
      <c r="E23" s="129"/>
      <c r="F23" s="129"/>
      <c r="G23" s="129"/>
      <c r="H23" s="129"/>
      <c r="I23" s="129"/>
    </row>
    <row r="24" spans="1:36" ht="14.4">
      <c r="A24" s="3711" t="s">
        <v>1299</v>
      </c>
      <c r="B24" s="1762" t="s">
        <v>1291</v>
      </c>
      <c r="C24" s="136">
        <f>IF(B30=0,0,D30)</f>
        <v>0</v>
      </c>
      <c r="D24" s="1769"/>
      <c r="E24" s="129"/>
      <c r="F24" s="129"/>
      <c r="G24" s="129"/>
      <c r="H24" s="129"/>
      <c r="I24" s="129"/>
    </row>
    <row r="25" spans="1:36" ht="14.4">
      <c r="A25" s="371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19893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1" t="s">
        <v>1312</v>
      </c>
      <c r="B36" s="1787" t="s">
        <v>1313</v>
      </c>
      <c r="C36" s="145"/>
      <c r="D36" s="1788"/>
      <c r="E36" s="1789"/>
      <c r="F36" s="1790"/>
      <c r="G36" s="129"/>
      <c r="H36" s="129"/>
      <c r="I36" s="129"/>
    </row>
    <row r="37" spans="1:15" ht="15" thickBot="1">
      <c r="A37" s="3732"/>
      <c r="B37" s="1674" t="s">
        <v>1314</v>
      </c>
      <c r="C37" s="147"/>
      <c r="D37" s="1139"/>
      <c r="E37" s="1139"/>
      <c r="F37" s="1790"/>
      <c r="G37" s="129"/>
      <c r="H37" s="129"/>
      <c r="I37" s="129"/>
    </row>
    <row r="38" spans="1:15" ht="15" thickBot="1">
      <c r="A38" s="373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8" t="s">
        <v>1326</v>
      </c>
      <c r="B45" s="3709"/>
      <c r="C45" s="3710"/>
      <c r="D45" s="155" t="e">
        <f ca="1">ROUND(H101*F45,0)</f>
        <v>#REF!</v>
      </c>
      <c r="E45" s="156" t="s">
        <v>1327</v>
      </c>
      <c r="F45" s="157">
        <v>1</v>
      </c>
      <c r="G45" s="158" t="s">
        <v>1328</v>
      </c>
      <c r="H45" s="129"/>
      <c r="I45" s="129"/>
      <c r="J45" s="3786" t="s">
        <v>1329</v>
      </c>
      <c r="K45" s="3786"/>
      <c r="L45" s="3786"/>
      <c r="M45" s="3786"/>
      <c r="N45" s="3786"/>
      <c r="O45" s="3786"/>
    </row>
    <row r="46" spans="1:15" ht="14.25" customHeight="1">
      <c r="A46" s="3705" t="s">
        <v>1330</v>
      </c>
      <c r="B46" s="3706"/>
      <c r="C46" s="3706"/>
      <c r="D46" s="3706"/>
      <c r="E46" s="3706"/>
      <c r="F46" s="3706"/>
      <c r="G46" s="3707"/>
      <c r="H46" s="1806"/>
      <c r="I46" s="159"/>
      <c r="J46" s="2523">
        <v>1</v>
      </c>
      <c r="K46" s="3767" t="s">
        <v>1331</v>
      </c>
      <c r="L46" s="3767"/>
      <c r="M46" s="3787"/>
      <c r="N46" s="3787"/>
      <c r="O46" s="3787"/>
    </row>
    <row r="47" spans="1:15" ht="12" customHeight="1">
      <c r="A47" s="160" t="s">
        <v>1332</v>
      </c>
      <c r="B47" s="161"/>
      <c r="C47" s="162"/>
      <c r="D47" s="1087" t="s">
        <v>1333</v>
      </c>
      <c r="E47" s="302" t="s">
        <v>1334</v>
      </c>
      <c r="F47" s="163" t="s">
        <v>1335</v>
      </c>
      <c r="G47" s="2546" t="s">
        <v>1336</v>
      </c>
      <c r="H47" s="2547"/>
      <c r="I47" s="159"/>
      <c r="J47" s="2523">
        <v>2</v>
      </c>
      <c r="K47" s="3767" t="s">
        <v>1337</v>
      </c>
      <c r="L47" s="3767"/>
      <c r="M47" s="3788">
        <f>'数据-取费表'!B2</f>
        <v>42103</v>
      </c>
      <c r="N47" s="3788"/>
      <c r="O47" s="3788"/>
    </row>
    <row r="48" spans="1:15" ht="26.4">
      <c r="A48" s="3736" t="s">
        <v>1338</v>
      </c>
      <c r="B48" s="3719"/>
      <c r="C48" s="371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67" t="s">
        <v>1340</v>
      </c>
      <c r="L48" s="3767"/>
      <c r="M48" s="3789" t="e">
        <f ca="1">H101</f>
        <v>#REF!</v>
      </c>
      <c r="N48" s="3789"/>
      <c r="O48" s="3789"/>
    </row>
    <row r="49" spans="1:35" ht="25.5" customHeight="1">
      <c r="A49" s="2333" t="s">
        <v>1341</v>
      </c>
      <c r="B49" s="3703" t="s">
        <v>1342</v>
      </c>
      <c r="C49" s="3703"/>
      <c r="D49" s="1590">
        <v>0</v>
      </c>
      <c r="E49" s="324" t="s">
        <v>1343</v>
      </c>
      <c r="F49" s="2424" t="s">
        <v>28</v>
      </c>
      <c r="G49" s="3773"/>
      <c r="H49" s="2310" t="s">
        <v>2133</v>
      </c>
      <c r="I49" s="2311"/>
      <c r="J49" s="2523">
        <v>4</v>
      </c>
      <c r="K49" s="3767" t="str">
        <f>IF(项目基本情况!E8="房地产抵押价值","房地产抵押价值","抵押担保权已注销时的房地产抵押价值")</f>
        <v>抵押担保权已注销时的房地产抵押价值</v>
      </c>
      <c r="L49" s="3767"/>
      <c r="M49" s="3789" t="str">
        <f>IF(项目基本情况!E8="房地产抵押价值",H107,H109)</f>
        <v>——</v>
      </c>
      <c r="N49" s="3789"/>
      <c r="O49" s="3789"/>
    </row>
    <row r="50" spans="1:35" ht="25.5" customHeight="1">
      <c r="A50" s="2551"/>
      <c r="B50" s="3703" t="s">
        <v>1344</v>
      </c>
      <c r="C50" s="3703"/>
      <c r="D50" s="2552"/>
      <c r="E50" s="332"/>
      <c r="F50" s="2424"/>
      <c r="G50" s="3774"/>
      <c r="H50" s="2312" t="s">
        <v>2134</v>
      </c>
      <c r="I50" s="2311"/>
      <c r="J50" s="3786" t="s">
        <v>1345</v>
      </c>
      <c r="K50" s="3786"/>
      <c r="L50" s="3786"/>
      <c r="M50" s="3786"/>
      <c r="N50" s="3786"/>
      <c r="O50" s="3786"/>
    </row>
    <row r="51" spans="1:35" ht="20.399999999999999" customHeight="1">
      <c r="A51" s="2553"/>
      <c r="B51" s="3703" t="s">
        <v>1346</v>
      </c>
      <c r="C51" s="3703"/>
      <c r="D51" s="1087"/>
      <c r="E51" s="327"/>
      <c r="F51" s="2424"/>
      <c r="G51" s="3775"/>
      <c r="H51" s="2312" t="s">
        <v>2135</v>
      </c>
      <c r="I51" s="2311"/>
      <c r="J51" s="2524" t="s">
        <v>1347</v>
      </c>
      <c r="K51" s="3767" t="s">
        <v>1348</v>
      </c>
      <c r="L51" s="3767"/>
      <c r="M51" s="2524" t="s">
        <v>1349</v>
      </c>
      <c r="N51" s="2524" t="s">
        <v>1350</v>
      </c>
      <c r="O51" s="2524" t="s">
        <v>1351</v>
      </c>
    </row>
    <row r="52" spans="1:35" ht="24" customHeight="1">
      <c r="A52" s="2335" t="s">
        <v>1352</v>
      </c>
      <c r="B52" s="3703" t="s">
        <v>1353</v>
      </c>
      <c r="C52" s="3703"/>
      <c r="D52" s="1087" t="e">
        <f ca="1">ROUND(D45*'数据-取费表'!B41/(1+'数据-取费表'!C42),0)</f>
        <v>#REF!</v>
      </c>
      <c r="E52" s="2334" t="s">
        <v>1354</v>
      </c>
      <c r="F52" s="2554">
        <f>'数据-取费表'!B41</f>
        <v>5.6000000000000001E-2</v>
      </c>
      <c r="G52" s="2555"/>
      <c r="H52" s="2544"/>
      <c r="I52" s="1807"/>
      <c r="J52" s="2523">
        <v>1</v>
      </c>
      <c r="K52" s="3768" t="s">
        <v>1355</v>
      </c>
      <c r="L52" s="3768"/>
      <c r="M52" s="2525" t="b">
        <f>D48</f>
        <v>0</v>
      </c>
      <c r="N52" s="2523" t="str">
        <f>E48</f>
        <v>销售额×税（费）率</v>
      </c>
      <c r="O52" s="2526">
        <f>F48</f>
        <v>5.6000000000000001E-2</v>
      </c>
    </row>
    <row r="53" spans="1:35" ht="12" customHeight="1">
      <c r="A53" s="2335" t="s">
        <v>1356</v>
      </c>
      <c r="B53" s="3729" t="s">
        <v>2290</v>
      </c>
      <c r="C53" s="3730"/>
      <c r="D53" s="1087" t="e">
        <f ca="1">ROUND(D45*'数据-取费表'!B41/(1+'数据-取费表'!C42),0)</f>
        <v>#REF!</v>
      </c>
      <c r="E53" s="2334" t="s">
        <v>1354</v>
      </c>
      <c r="F53" s="2554">
        <f>'数据-取费表'!B41</f>
        <v>5.6000000000000001E-2</v>
      </c>
      <c r="G53" s="2555"/>
      <c r="H53" s="2544"/>
      <c r="I53" s="1807"/>
      <c r="J53" s="2523">
        <v>2</v>
      </c>
      <c r="K53" s="3768" t="s">
        <v>1357</v>
      </c>
      <c r="L53" s="3768"/>
      <c r="M53" s="2525" t="e">
        <f t="shared" ref="M53:O54" ca="1" si="0">D55</f>
        <v>#REF!</v>
      </c>
      <c r="N53" s="2523" t="str">
        <f t="shared" si="0"/>
        <v>销售额×税（费）率</v>
      </c>
      <c r="O53" s="2526" t="str">
        <f t="shared" si="0"/>
        <v>免征</v>
      </c>
    </row>
    <row r="54" spans="1:35" ht="12" customHeight="1">
      <c r="A54" s="2335" t="s">
        <v>1358</v>
      </c>
      <c r="B54" s="3729" t="s">
        <v>2291</v>
      </c>
      <c r="C54" s="3730"/>
      <c r="D54" s="1087" t="e">
        <f ca="1">C68</f>
        <v>#REF!</v>
      </c>
      <c r="E54" s="327" t="s">
        <v>1359</v>
      </c>
      <c r="F54" s="2554">
        <f>'数据-取费表'!B41</f>
        <v>5.6000000000000001E-2</v>
      </c>
      <c r="G54" s="2555"/>
      <c r="H54" s="2556"/>
      <c r="I54" s="1807"/>
      <c r="J54" s="2523">
        <v>3</v>
      </c>
      <c r="K54" s="3768" t="s">
        <v>1360</v>
      </c>
      <c r="L54" s="3768"/>
      <c r="M54" s="2525" t="e">
        <f t="shared" ca="1" si="0"/>
        <v>#REF!</v>
      </c>
      <c r="N54" s="2523" t="str">
        <f t="shared" si="0"/>
        <v>增值额×税（费）率</v>
      </c>
      <c r="O54" s="2527" t="str">
        <f t="shared" si="0"/>
        <v>免征</v>
      </c>
    </row>
    <row r="55" spans="1:35" ht="24" customHeight="1">
      <c r="A55" s="3718" t="s">
        <v>1361</v>
      </c>
      <c r="B55" s="3719"/>
      <c r="C55" s="3719"/>
      <c r="D55" s="2324" t="e">
        <f ca="1">IF(H55="个人住宅",0,ROUND(D45*I55,0))</f>
        <v>#REF!</v>
      </c>
      <c r="E55" s="2334" t="s">
        <v>1362</v>
      </c>
      <c r="F55" s="2554" t="str">
        <f>IF(H55="正常",I55,"免征")</f>
        <v>免征</v>
      </c>
      <c r="G55" s="2555"/>
      <c r="H55" s="2550"/>
      <c r="I55" s="165">
        <f>'数据-取费表'!B49</f>
        <v>5.0000000000000001E-4</v>
      </c>
      <c r="J55" s="2523">
        <f>IF(H59="非个人房产","",4)</f>
        <v>4</v>
      </c>
      <c r="K55" s="3768" t="str">
        <f>IF(H59="非个人房产","——","个人所得税")</f>
        <v>个人所得税</v>
      </c>
      <c r="L55" s="3768"/>
      <c r="M55" s="2528" t="e">
        <f ca="1">D59</f>
        <v>#REF!</v>
      </c>
      <c r="N55" s="2040" t="str">
        <f>E59</f>
        <v>差额计税</v>
      </c>
      <c r="O55" s="2529">
        <f>F59</f>
        <v>0.01</v>
      </c>
    </row>
    <row r="56" spans="1:35" ht="25.2">
      <c r="A56" s="3718" t="s">
        <v>1363</v>
      </c>
      <c r="B56" s="3719"/>
      <c r="C56" s="3719"/>
      <c r="D56" s="2324" t="e">
        <f ca="1">IF(H56="个人住宅",D57,D58)</f>
        <v>#REF!</v>
      </c>
      <c r="E56" s="2334" t="s">
        <v>1364</v>
      </c>
      <c r="F56" s="2554" t="str">
        <f>IF(H56="正常",F58,"免征")</f>
        <v>免征</v>
      </c>
      <c r="G56" s="2557" t="s">
        <v>1365</v>
      </c>
      <c r="H56" s="2558"/>
      <c r="I56" s="1808"/>
      <c r="J56" s="2523" t="str">
        <f>IF(项目基本情况!K6="上海银行",IF(J55="",4,J55+1),"")</f>
        <v/>
      </c>
      <c r="K56" s="3791" t="str">
        <f>IF(项目基本情况!K6="上海银行","其他处置费用","")</f>
        <v/>
      </c>
      <c r="L56" s="3792"/>
      <c r="M56" s="2525" t="str">
        <f>IF(项目基本情况!K6="上海银行",M69,"")</f>
        <v/>
      </c>
      <c r="N56" s="3791" t="str">
        <f>IF(项目基本情况!K6="上海银行","包含处置中涉及的律师、诉讼、拍卖、评估等费用","")</f>
        <v/>
      </c>
      <c r="O56" s="3794"/>
    </row>
    <row r="57" spans="1:35" ht="13.2">
      <c r="A57" s="2335" t="s">
        <v>1341</v>
      </c>
      <c r="B57" s="3729" t="s">
        <v>1366</v>
      </c>
      <c r="C57" s="3730"/>
      <c r="D57" s="1590">
        <v>0</v>
      </c>
      <c r="E57" s="324" t="s">
        <v>1343</v>
      </c>
      <c r="F57" s="302"/>
      <c r="G57" s="2555"/>
      <c r="H57" s="2559"/>
      <c r="I57" s="1808"/>
      <c r="J57" s="3768">
        <f>IF(AND(J55="",J56=""),4,IF(项目基本情况!K6="上海银行",结果表!J56+1,结果表!J55+1))</f>
        <v>5</v>
      </c>
      <c r="K57" s="3768" t="s">
        <v>1367</v>
      </c>
      <c r="L57" s="2530" t="s">
        <v>1368</v>
      </c>
      <c r="M57" s="2531"/>
      <c r="N57" s="2532">
        <f ca="1">SUMIF(M52:M56,"&lt;9e307")</f>
        <v>0</v>
      </c>
      <c r="O57" s="2533"/>
      <c r="P57" s="2690" t="e">
        <f ca="1">N57/M49</f>
        <v>#VALUE!</v>
      </c>
    </row>
    <row r="58" spans="1:35" ht="25.2">
      <c r="A58" s="2335" t="s">
        <v>1352</v>
      </c>
      <c r="B58" s="3729" t="s">
        <v>1369</v>
      </c>
      <c r="C58" s="3703"/>
      <c r="D58" s="2324" t="e">
        <f ca="1">IF(H58="转让取得",C81,C97)</f>
        <v>#REF!</v>
      </c>
      <c r="E58" s="2334" t="s">
        <v>1364</v>
      </c>
      <c r="F58" s="302" t="s">
        <v>28</v>
      </c>
      <c r="G58" s="2555"/>
      <c r="H58" s="2558"/>
      <c r="I58" s="1808"/>
      <c r="J58" s="3768"/>
      <c r="K58" s="3768"/>
      <c r="L58" s="2530" t="s">
        <v>1370</v>
      </c>
      <c r="M58" s="2534"/>
      <c r="N58" s="2535" t="str">
        <f ca="1">NUMBERSTRING(INT(N57*10000),2)&amp;"元整"</f>
        <v>零元整</v>
      </c>
      <c r="O58" s="2536"/>
    </row>
    <row r="59" spans="1:35" ht="24.6" thickBot="1">
      <c r="A59" s="3771" t="s">
        <v>1371</v>
      </c>
      <c r="B59" s="3772"/>
      <c r="C59" s="37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69">
        <f>J57+1</f>
        <v>6</v>
      </c>
      <c r="K59" s="3768" t="s">
        <v>1372</v>
      </c>
      <c r="L59" s="2523" t="s">
        <v>1368</v>
      </c>
      <c r="M59" s="2537"/>
      <c r="N59" s="2538" t="e">
        <f ca="1">M49-N57</f>
        <v>#VALUE!</v>
      </c>
      <c r="O59" s="2539"/>
    </row>
    <row r="60" spans="1:35" ht="12" customHeight="1">
      <c r="A60" s="1809"/>
      <c r="B60" s="1747"/>
      <c r="C60" s="1747"/>
      <c r="D60" s="1747"/>
      <c r="E60" s="1578"/>
      <c r="F60" s="1808"/>
      <c r="G60" s="1808"/>
      <c r="H60" s="1810"/>
      <c r="I60" s="129"/>
      <c r="J60" s="3770"/>
      <c r="K60" s="3768"/>
      <c r="L60" s="2530" t="s">
        <v>1370</v>
      </c>
      <c r="M60" s="2534"/>
      <c r="N60" s="2535" t="e">
        <f ca="1">NUMBERSTRING(INT(N59*10000),2)&amp;"元整"</f>
        <v>#VALUE!</v>
      </c>
      <c r="O60" s="2536"/>
    </row>
    <row r="61" spans="1:35" ht="13.8" thickBot="1">
      <c r="A61" s="3716" t="s">
        <v>1373</v>
      </c>
      <c r="B61" s="3716"/>
      <c r="C61" s="3716"/>
      <c r="D61" s="3716"/>
      <c r="E61" s="3716"/>
      <c r="F61" s="1808"/>
      <c r="G61" s="1808"/>
      <c r="H61" s="1810"/>
      <c r="I61" s="129"/>
      <c r="J61" s="2523">
        <f>J59+1</f>
        <v>7</v>
      </c>
      <c r="K61" s="3768" t="s">
        <v>1374</v>
      </c>
      <c r="L61" s="3768"/>
      <c r="M61" s="2540"/>
      <c r="N61" s="2541" t="e">
        <f ca="1">ROUND(N59*10000/'数据-汇总表'!E3,0)</f>
        <v>#VALUE!</v>
      </c>
      <c r="O61" s="2542"/>
    </row>
    <row r="62" spans="1:35" ht="13.2">
      <c r="A62" s="3734" t="s">
        <v>1375</v>
      </c>
      <c r="B62" s="373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9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9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9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9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9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5" t="s">
        <v>1394</v>
      </c>
      <c r="B70" s="3756"/>
      <c r="C70" s="3756"/>
      <c r="D70" s="3756"/>
      <c r="E70" s="3756"/>
      <c r="F70" s="3756"/>
      <c r="G70" s="3756"/>
      <c r="H70" s="375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34" t="s">
        <v>1375</v>
      </c>
      <c r="B71" s="373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29" t="s">
        <v>1402</v>
      </c>
      <c r="F76" s="3703"/>
      <c r="G76" s="3703"/>
      <c r="H76" s="375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13" t="s">
        <v>1406</v>
      </c>
      <c r="F78" s="3714"/>
      <c r="G78" s="3714"/>
      <c r="H78" s="37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5" t="s">
        <v>1410</v>
      </c>
      <c r="B83" s="3756"/>
      <c r="C83" s="3756"/>
      <c r="D83" s="3756"/>
      <c r="E83" s="3756"/>
      <c r="F83" s="3756"/>
      <c r="G83" s="3756"/>
      <c r="H83" s="375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34" t="s">
        <v>1375</v>
      </c>
      <c r="B84" s="373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95" t="s">
        <v>2128</v>
      </c>
      <c r="H90" s="379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13" t="s">
        <v>1419</v>
      </c>
      <c r="F91" s="3714"/>
      <c r="G91" s="37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13" t="s">
        <v>1422</v>
      </c>
      <c r="F92" s="3714"/>
      <c r="G92" s="3714"/>
      <c r="H92" s="372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13" t="s">
        <v>1406</v>
      </c>
      <c r="F93" s="3714"/>
      <c r="G93" s="3714"/>
      <c r="H93" s="37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24" t="s">
        <v>1426</v>
      </c>
      <c r="F94" s="3725"/>
      <c r="G94" s="3725"/>
      <c r="H94" s="37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7" t="s">
        <v>1428</v>
      </c>
      <c r="B100" s="3698"/>
      <c r="C100" s="3698"/>
      <c r="D100" s="3715"/>
      <c r="E100" s="3698" t="s">
        <v>1429</v>
      </c>
      <c r="F100" s="3698"/>
      <c r="G100" s="3698"/>
      <c r="H100" s="3715"/>
      <c r="I100" s="129"/>
    </row>
    <row r="101" spans="1:35" ht="18.75" customHeight="1">
      <c r="A101" s="3776" t="s">
        <v>1430</v>
      </c>
      <c r="B101" s="3777"/>
      <c r="C101" s="2585" t="str">
        <f>C4</f>
        <v>比较法-住宅</v>
      </c>
      <c r="D101" s="2586" t="str">
        <f>D4</f>
        <v>成本法 (元)</v>
      </c>
      <c r="E101" s="3790" t="s">
        <v>1431</v>
      </c>
      <c r="F101" s="3747"/>
      <c r="G101" s="1827" t="s">
        <v>1432</v>
      </c>
      <c r="H101" s="2595" t="e">
        <f ca="1">H118</f>
        <v>#REF!</v>
      </c>
      <c r="I101" s="129"/>
    </row>
    <row r="102" spans="1:35" ht="18.75" customHeight="1">
      <c r="A102" s="3749" t="s">
        <v>1433</v>
      </c>
      <c r="B102" s="2584" t="s">
        <v>1432</v>
      </c>
      <c r="C102" s="2585">
        <f ca="1">IF(D32="楼面单价",ROUND(C19,0),C19)</f>
        <v>158.64269999999999</v>
      </c>
      <c r="D102" s="2586">
        <f ca="1">IF(D32="楼面单价",ROUND(D19,0),D19)</f>
        <v>111.23520000000001</v>
      </c>
      <c r="E102" s="3790"/>
      <c r="F102" s="3747"/>
      <c r="G102" s="1827" t="s">
        <v>1434</v>
      </c>
      <c r="H102" s="2555" t="e">
        <f ca="1">I118</f>
        <v>#REF!</v>
      </c>
      <c r="I102" s="129"/>
    </row>
    <row r="103" spans="1:35" ht="42.75" customHeight="1">
      <c r="A103" s="3749"/>
      <c r="B103" s="2584" t="s">
        <v>1434</v>
      </c>
      <c r="C103" s="2587">
        <f ca="1">C20</f>
        <v>21158</v>
      </c>
      <c r="D103" s="2588">
        <f ca="1">D20</f>
        <v>14835</v>
      </c>
      <c r="E103" s="3784" t="s">
        <v>1435</v>
      </c>
      <c r="F103" s="3785"/>
      <c r="G103" s="1828" t="s">
        <v>1436</v>
      </c>
      <c r="H103" s="2595">
        <f>IF(D36="正常操作",H104+H105+H106,H105+H106)</f>
        <v>0</v>
      </c>
      <c r="I103" s="129"/>
    </row>
    <row r="104" spans="1:35" ht="18.75" customHeight="1">
      <c r="A104" s="374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6" t="str">
        <f>IF(项目基本情况!E8="已注销","——","3.房地产抵押价值")</f>
        <v>3.房地产抵押价值</v>
      </c>
      <c r="F107" s="3747"/>
      <c r="G107" s="1827" t="s">
        <v>1432</v>
      </c>
      <c r="H107" s="2595" t="e">
        <f ca="1">IF(E107="——","——",H101-H103)</f>
        <v>#REF!</v>
      </c>
      <c r="I107" s="129"/>
    </row>
    <row r="108" spans="1:35" ht="18.75" customHeight="1">
      <c r="A108" s="129"/>
      <c r="B108" s="129"/>
      <c r="C108" s="129"/>
      <c r="D108" s="129"/>
      <c r="E108" s="3746"/>
      <c r="F108" s="3747"/>
      <c r="G108" s="1827" t="s">
        <v>1434</v>
      </c>
      <c r="H108" s="2555">
        <f ca="1">IF(H107=H101,H102,ROUND(H107*10000/'数据-汇总表'!E3,0))</f>
        <v>0</v>
      </c>
      <c r="I108" s="129"/>
    </row>
    <row r="109" spans="1:35" ht="18.75" customHeight="1">
      <c r="A109" s="129"/>
      <c r="B109" s="129"/>
      <c r="C109" s="129"/>
      <c r="D109" s="129"/>
      <c r="E109" s="3746" t="str">
        <f>IF(项目基本情况!E8="已注销及未注销","4.抵押担保权已注销时的房地产抵押价值",IF(项目基本情况!E8="已注销","3.抵押担保权已注销时的房地产抵押价值","——"))</f>
        <v>——</v>
      </c>
      <c r="F109" s="3747"/>
      <c r="G109" s="1827" t="s">
        <v>1432</v>
      </c>
      <c r="H109" s="2598" t="str">
        <f>IF(E109="——","——",H101-H105-H106)</f>
        <v>——</v>
      </c>
      <c r="I109" s="129"/>
    </row>
    <row r="110" spans="1:35" ht="18.75" customHeight="1">
      <c r="A110" s="129"/>
      <c r="B110" s="129"/>
      <c r="C110" s="129"/>
      <c r="D110" s="129"/>
      <c r="E110" s="3746"/>
      <c r="F110" s="3747"/>
      <c r="G110" s="1827" t="s">
        <v>1434</v>
      </c>
      <c r="H110" s="2555" t="str">
        <f>IF(H109="——","——",ROUND(H109*10000/'数据-汇总表'!E3,0))</f>
        <v>——</v>
      </c>
      <c r="I110" s="129"/>
    </row>
    <row r="111" spans="1:35" ht="18.75" customHeight="1">
      <c r="A111" s="129"/>
      <c r="B111" s="129"/>
      <c r="C111" s="129"/>
      <c r="D111" s="129"/>
      <c r="E111" s="3778" t="str">
        <f>IF(项目基本情况!E9="抵押净值",IF(OR(项目基本情况!E8="已注销",项目基本情况!E8="房地产抵押价值"),"4.抵押净值","5.抵押净值"),"——")</f>
        <v>——</v>
      </c>
      <c r="F111" s="3748"/>
      <c r="G111" s="1827" t="s">
        <v>1432</v>
      </c>
      <c r="H111" s="2595" t="str">
        <f>IF(E111="——","——",N59)</f>
        <v>——</v>
      </c>
      <c r="I111" s="129"/>
    </row>
    <row r="112" spans="1:35" ht="18.75" customHeight="1" thickBot="1">
      <c r="A112" s="129"/>
      <c r="B112" s="129"/>
      <c r="C112" s="129"/>
      <c r="D112" s="129"/>
      <c r="E112" s="3779"/>
      <c r="F112" s="3780"/>
      <c r="G112" s="1830" t="s">
        <v>1434</v>
      </c>
      <c r="H112" s="2599" t="str">
        <f>IF(E111="——","——",N61)</f>
        <v>——</v>
      </c>
      <c r="I112" s="129"/>
    </row>
    <row r="113" spans="1:27" ht="18.75" customHeight="1">
      <c r="A113" s="129"/>
      <c r="B113" s="129"/>
      <c r="C113" s="129"/>
      <c r="D113" s="129"/>
      <c r="E113" s="3751" t="s">
        <v>1440</v>
      </c>
      <c r="F113" s="3751"/>
      <c r="G113" s="3751"/>
      <c r="H113" s="3751"/>
      <c r="I113" s="129"/>
    </row>
    <row r="114" spans="1:27" ht="3.75" customHeight="1">
      <c r="A114" s="1747"/>
      <c r="B114" s="1747"/>
      <c r="C114" s="1747"/>
      <c r="D114" s="1747"/>
      <c r="E114" s="1809"/>
      <c r="F114" s="1809"/>
      <c r="G114" s="1809"/>
      <c r="H114" s="1809"/>
      <c r="I114" s="1747"/>
    </row>
    <row r="115" spans="1:27" ht="18.75" customHeight="1">
      <c r="A115" s="3761" t="s">
        <v>1442</v>
      </c>
      <c r="B115" s="3762"/>
      <c r="C115" s="3762"/>
      <c r="D115" s="3762"/>
      <c r="E115" s="3762"/>
      <c r="F115" s="3762"/>
      <c r="G115" s="3762"/>
      <c r="H115" s="3762"/>
      <c r="I115" s="3763"/>
    </row>
    <row r="116" spans="1:27" ht="27" customHeight="1">
      <c r="A116" s="3717" t="s">
        <v>1443</v>
      </c>
      <c r="B116" s="3752" t="s">
        <v>1444</v>
      </c>
      <c r="C116" s="3752" t="s">
        <v>1445</v>
      </c>
      <c r="D116" s="3765" t="s">
        <v>1446</v>
      </c>
      <c r="E116" s="3766"/>
      <c r="F116" s="3760" t="s">
        <v>1447</v>
      </c>
      <c r="G116" s="3760"/>
      <c r="H116" s="3717" t="s">
        <v>1448</v>
      </c>
      <c r="I116" s="3717"/>
    </row>
    <row r="117" spans="1:27" ht="18.75" customHeight="1">
      <c r="A117" s="3717"/>
      <c r="B117" s="3753"/>
      <c r="C117" s="375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7" t="s">
        <v>1452</v>
      </c>
      <c r="B119" s="3717"/>
      <c r="C119" s="3717"/>
      <c r="D119" s="3757" t="e">
        <f ca="1">NUMBERSTRING(INT(D118*10000),2)&amp;"元整"</f>
        <v>#REF!</v>
      </c>
      <c r="E119" s="3759"/>
      <c r="F119" s="3757" t="e">
        <f ca="1">NUMBERSTRING(INT(F118*10000),2)&amp;"元整"</f>
        <v>#REF!</v>
      </c>
      <c r="G119" s="3759"/>
      <c r="H119" s="3757" t="e">
        <f ca="1">NUMBERSTRING(INT(H118*10000),2)&amp;"元整"</f>
        <v>#REF!</v>
      </c>
      <c r="I119" s="3759"/>
    </row>
    <row r="120" spans="1:27" ht="18.75" customHeight="1">
      <c r="A120" s="3781" t="str">
        <f>IF(项目基本情况!B9="房地产市场价值","",MID(E103,3,LEN(E103)-2))</f>
        <v/>
      </c>
      <c r="B120" s="3782"/>
      <c r="C120" s="3783"/>
      <c r="D120" s="3781">
        <f>H103</f>
        <v>0</v>
      </c>
      <c r="E120" s="3782"/>
      <c r="F120" s="3782"/>
      <c r="G120" s="3782"/>
      <c r="H120" s="3782"/>
      <c r="I120" s="378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7" t="s">
        <v>1452</v>
      </c>
      <c r="B121" s="3758"/>
      <c r="C121" s="3759"/>
      <c r="D121" s="3757" t="str">
        <f>IF(D120=0,"零元整",NUMBERSTRING(INT(D120*10000),2)&amp;"元整")</f>
        <v>零元整</v>
      </c>
      <c r="E121" s="3758"/>
      <c r="F121" s="3758"/>
      <c r="G121" s="3758"/>
      <c r="H121" s="3758"/>
      <c r="I121" s="3759"/>
      <c r="AA121" s="725"/>
    </row>
    <row r="122" spans="1:27" ht="18.75" customHeight="1">
      <c r="A122" s="3748" t="str">
        <f>IF(项目基本情况!B9="房地产市场价值","",MID(E107,3,LEN(E107)-2))</f>
        <v/>
      </c>
      <c r="B122" s="3748"/>
      <c r="C122" s="3748"/>
      <c r="D122" s="3781" t="e">
        <f ca="1">H107</f>
        <v>#REF!</v>
      </c>
      <c r="E122" s="3782"/>
      <c r="F122" s="3782"/>
      <c r="G122" s="3782"/>
      <c r="H122" s="3782"/>
      <c r="I122" s="3783"/>
      <c r="AA122" s="725"/>
    </row>
    <row r="123" spans="1:27" ht="18.75" customHeight="1">
      <c r="A123" s="3717" t="s">
        <v>1452</v>
      </c>
      <c r="B123" s="3717"/>
      <c r="C123" s="3717"/>
      <c r="D123" s="3757" t="e">
        <f ca="1">NUMBERSTRING(INT(D122*10000),2)&amp;"元整"</f>
        <v>#REF!</v>
      </c>
      <c r="E123" s="3758"/>
      <c r="F123" s="3758"/>
      <c r="G123" s="3758"/>
      <c r="H123" s="3758"/>
      <c r="I123" s="3759"/>
      <c r="AA123" s="725"/>
    </row>
    <row r="124" spans="1:27" ht="18.75" customHeight="1">
      <c r="A124" s="3748" t="str">
        <f>IF(项目基本情况!B9="房地产市场价值","",MID(E109,3,LEN(E109)-2))</f>
        <v/>
      </c>
      <c r="B124" s="3748"/>
      <c r="C124" s="3748"/>
      <c r="D124" s="3781" t="str">
        <f>H109</f>
        <v>——</v>
      </c>
      <c r="E124" s="3782"/>
      <c r="F124" s="3782"/>
      <c r="G124" s="3782"/>
      <c r="H124" s="3782"/>
      <c r="I124" s="3783"/>
      <c r="AA124" s="725"/>
    </row>
    <row r="125" spans="1:27" ht="18.75" customHeight="1">
      <c r="A125" s="3717" t="s">
        <v>1452</v>
      </c>
      <c r="B125" s="3717"/>
      <c r="C125" s="3717"/>
      <c r="D125" s="3757" t="e">
        <f>NUMBERSTRING(INT(D124*10000),2)&amp;"元整"</f>
        <v>#VALUE!</v>
      </c>
      <c r="E125" s="3758"/>
      <c r="F125" s="3758"/>
      <c r="G125" s="3758"/>
      <c r="H125" s="3758"/>
      <c r="I125" s="3759"/>
      <c r="AA125" s="725"/>
    </row>
    <row r="126" spans="1:27" ht="18.75" customHeight="1">
      <c r="A126" s="3748" t="str">
        <f>IF(项目基本情况!B9="房地产市场价值","",MID(E111,3,LEN(E111)-2))</f>
        <v/>
      </c>
      <c r="B126" s="3748"/>
      <c r="C126" s="3748"/>
      <c r="D126" s="3781" t="str">
        <f>H111</f>
        <v>——</v>
      </c>
      <c r="E126" s="3782"/>
      <c r="F126" s="3782"/>
      <c r="G126" s="3782"/>
      <c r="H126" s="3782"/>
      <c r="I126" s="3783"/>
      <c r="AA126" s="725"/>
    </row>
    <row r="127" spans="1:27" ht="18.75" customHeight="1">
      <c r="A127" s="3717" t="s">
        <v>1452</v>
      </c>
      <c r="B127" s="3717"/>
      <c r="C127" s="3717"/>
      <c r="D127" s="3757" t="e">
        <f>NUMBERSTRING(INT(D126*10000),2)&amp;"元整"</f>
        <v>#VALUE!</v>
      </c>
      <c r="E127" s="3758"/>
      <c r="F127" s="3758"/>
      <c r="G127" s="3758"/>
      <c r="H127" s="3758"/>
      <c r="I127" s="3759"/>
      <c r="AA127" s="725"/>
    </row>
    <row r="128" spans="1:27" ht="21.75" customHeight="1">
      <c r="A128" s="3764" t="s">
        <v>1453</v>
      </c>
      <c r="B128" s="3764"/>
      <c r="C128" s="3764"/>
      <c r="D128" s="3764"/>
      <c r="E128" s="3764"/>
      <c r="F128" s="3764"/>
      <c r="G128" s="3764"/>
      <c r="H128" s="3764"/>
      <c r="I128" s="37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2134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5.3499999999999999E-2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0.08</v>
      </c>
      <c r="G36" s="260" t="s">
        <v>1530</v>
      </c>
    </row>
    <row r="37" spans="1:7" s="258" customFormat="1" ht="13.5" customHeight="1">
      <c r="A37" s="780" t="s">
        <v>353</v>
      </c>
      <c r="B37" s="215" t="s">
        <v>1531</v>
      </c>
      <c r="C37" s="249">
        <f ca="1">ROUND(E37*D37*F34/10000,0)</f>
        <v>1</v>
      </c>
      <c r="D37" s="217">
        <f ca="1">D19</f>
        <v>74.98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797" t="s">
        <v>1544</v>
      </c>
    </row>
    <row r="43" spans="1:7" ht="13.5" customHeight="1">
      <c r="A43" s="780" t="s">
        <v>347</v>
      </c>
      <c r="B43" s="215" t="s">
        <v>1545</v>
      </c>
      <c r="C43" s="238">
        <f ca="1">ROUND(IF('数据-取费表'!B22&lt;=1,C39*F22*'数据-取费表'!B21/2,C39*(POWER((1+F22),'数据-取费表'!B21/2)-1)),0)</f>
        <v>0</v>
      </c>
      <c r="D43" s="238"/>
      <c r="E43" s="238"/>
      <c r="F43" s="239"/>
      <c r="G43" s="3798"/>
    </row>
    <row r="44" spans="1:7" ht="13.5" customHeight="1">
      <c r="A44" s="780" t="s">
        <v>348</v>
      </c>
      <c r="B44" s="215" t="s">
        <v>1546</v>
      </c>
      <c r="C44" s="238">
        <f ca="1">ROUND(IF('数据-取费表'!B22&lt;=1,C40*F22*'数据-取费表'!B21/2,C40*(POWER((1+F22),'数据-取费表'!B21/2)-1)),4)</f>
        <v>5.0000000000000001E-4</v>
      </c>
      <c r="D44" s="238"/>
      <c r="E44" s="238"/>
      <c r="F44" s="239"/>
      <c r="G44" s="3799"/>
    </row>
    <row r="45" spans="1:7" s="214" customFormat="1" ht="13.5" customHeight="1">
      <c r="A45" s="255" t="s">
        <v>1547</v>
      </c>
      <c r="B45" s="244" t="s">
        <v>1513</v>
      </c>
      <c r="C45" s="245">
        <f ca="1">C46</f>
        <v>2</v>
      </c>
      <c r="D45" s="235">
        <f ca="1">C47</f>
        <v>2.3999999999999998E-3</v>
      </c>
      <c r="E45" s="236" t="s">
        <v>1539</v>
      </c>
      <c r="F45" s="246">
        <f ca="1">F27</f>
        <v>0.12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15</v>
      </c>
      <c r="D51" s="232"/>
      <c r="E51" s="232"/>
      <c r="F51" s="264"/>
      <c r="G51" s="234" t="s">
        <v>1560</v>
      </c>
    </row>
    <row r="52" spans="1:7" s="208" customFormat="1" ht="16.8"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14" t="str">
        <f>项目基本情况!B1</f>
        <v>北京市房地产市场价值预评估</v>
      </c>
      <c r="C37" s="3614"/>
      <c r="D37" s="3614"/>
      <c r="E37" s="3614"/>
      <c r="F37" s="3614"/>
      <c r="G37" s="3614"/>
      <c r="H37" s="3614"/>
      <c r="I37" s="361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111.23520000000001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14835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732665</v>
      </c>
      <c r="D5" s="211" t="s">
        <v>1469</v>
      </c>
      <c r="E5" s="212" t="s">
        <v>1470</v>
      </c>
      <c r="F5" s="212" t="s">
        <v>1471</v>
      </c>
      <c r="G5" s="213"/>
    </row>
    <row r="6" spans="1:8" s="214" customFormat="1" ht="13.5" customHeight="1">
      <c r="A6" s="778" t="s">
        <v>1472</v>
      </c>
      <c r="B6" s="215" t="s">
        <v>1473</v>
      </c>
      <c r="C6" s="216">
        <f ca="1">ROUND('[2]2014基准地价'!$C$29*'[2]2014基准地价'!$D$29,0)</f>
        <v>699338</v>
      </c>
      <c r="D6" s="217"/>
      <c r="E6" s="218"/>
      <c r="F6" s="218"/>
      <c r="G6" s="219"/>
    </row>
    <row r="7" spans="1:8" s="214" customFormat="1" ht="13.5" customHeight="1">
      <c r="A7" s="778" t="s">
        <v>1474</v>
      </c>
      <c r="B7" s="215" t="s">
        <v>1475</v>
      </c>
      <c r="C7" s="220">
        <f ca="1">ROUND(C6*F7,0)</f>
        <v>21330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11997</v>
      </c>
      <c r="D8" s="222"/>
      <c r="E8" s="220"/>
      <c r="F8" s="221"/>
      <c r="G8" s="1856" t="s">
        <v>3427</v>
      </c>
    </row>
    <row r="9" spans="1:8" s="214" customFormat="1" ht="13.5" customHeight="1">
      <c r="A9" s="779" t="s">
        <v>355</v>
      </c>
      <c r="B9" s="224" t="s">
        <v>1478</v>
      </c>
      <c r="C9" s="225">
        <f ca="1">ROUND(D9*E9,0)</f>
        <v>11997</v>
      </c>
      <c r="D9" s="845">
        <f ca="1">IF(B1="",'数据-汇总表'!E5,IF(INDIRECT("'数据-取费表'!c"&amp;$G$1)="住宅",INDIRECT("'数据-取费表'!k"&amp;$G$1),0))</f>
        <v>74.98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74.98</v>
      </c>
      <c r="E19" s="211">
        <f>'数据-取费表'!B31</f>
        <v>200</v>
      </c>
      <c r="F19" s="231"/>
      <c r="G19" s="1856" t="s">
        <v>3428</v>
      </c>
    </row>
    <row r="20" spans="1:7" s="214" customFormat="1" ht="13.5" customHeight="1">
      <c r="A20" s="255" t="s">
        <v>1574</v>
      </c>
      <c r="B20" s="210" t="s">
        <v>1575</v>
      </c>
      <c r="C20" s="232">
        <f ca="1">ROUND((C5+C19)*F20,0)</f>
        <v>14653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39590</v>
      </c>
      <c r="D22" s="235">
        <f ca="1">C26</f>
        <v>5.0000000000000001E-4</v>
      </c>
      <c r="E22" s="236" t="s">
        <v>1579</v>
      </c>
      <c r="F22" s="237">
        <f ca="1">'数据-取费表'!B40</f>
        <v>5.3499999999999999E-2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392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89678</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89678</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951673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180758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138713</v>
      </c>
      <c r="D34" s="217"/>
      <c r="E34" s="220"/>
      <c r="F34" s="257"/>
      <c r="G34" s="219"/>
    </row>
    <row r="35" spans="1:7" ht="13.5" customHeight="1">
      <c r="A35" s="780" t="s">
        <v>351</v>
      </c>
      <c r="B35" s="215" t="s">
        <v>1527</v>
      </c>
      <c r="C35" s="220">
        <f ca="1">ROUND(C34*F35,0)</f>
        <v>13871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11097</v>
      </c>
      <c r="D36" s="220"/>
      <c r="E36" s="220"/>
      <c r="F36" s="259">
        <f>'数据-取费表'!B34</f>
        <v>0.08</v>
      </c>
      <c r="G36" s="260" t="s">
        <v>1530</v>
      </c>
    </row>
    <row r="37" spans="1:7" s="258" customFormat="1" ht="13.5" customHeight="1">
      <c r="A37" s="780" t="s">
        <v>353</v>
      </c>
      <c r="B37" s="215" t="s">
        <v>1531</v>
      </c>
      <c r="C37" s="249">
        <f ca="1">ROUND(E37*D37,0)</f>
        <v>14996</v>
      </c>
      <c r="D37" s="217">
        <f ca="1">D19</f>
        <v>74.98</v>
      </c>
      <c r="E37" s="249">
        <f>'数据-取费表'!B35</f>
        <v>200</v>
      </c>
      <c r="F37" s="259"/>
      <c r="G37" s="261"/>
    </row>
    <row r="38" spans="1:7" ht="13.5" customHeight="1">
      <c r="A38" s="780" t="s">
        <v>354</v>
      </c>
      <c r="B38" s="215" t="s">
        <v>1533</v>
      </c>
      <c r="C38" s="220">
        <f ca="1">ROUND(C34*F38,0)</f>
        <v>2081</v>
      </c>
      <c r="D38" s="220"/>
      <c r="E38" s="220"/>
      <c r="F38" s="259">
        <f>'数据-取费表'!B36</f>
        <v>1.4999999999999999E-2</v>
      </c>
      <c r="G38" s="219" t="s">
        <v>1528</v>
      </c>
    </row>
    <row r="39" spans="1:7" s="214" customFormat="1" ht="13.5" customHeight="1">
      <c r="A39" s="255" t="s">
        <v>1534</v>
      </c>
      <c r="B39" s="210" t="s">
        <v>1535</v>
      </c>
      <c r="C39" s="232">
        <f ca="1">ROUND(C33*F20,0)</f>
        <v>3615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4932</v>
      </c>
      <c r="D41" s="235">
        <f ca="1">C44</f>
        <v>5.0000000000000001E-4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4835</v>
      </c>
      <c r="D42" s="238"/>
      <c r="E42" s="238"/>
      <c r="F42" s="239"/>
      <c r="G42" s="3797" t="s">
        <v>1591</v>
      </c>
    </row>
    <row r="43" spans="1:7" ht="13.5" customHeight="1">
      <c r="A43" s="780" t="s">
        <v>347</v>
      </c>
      <c r="B43" s="215" t="s">
        <v>1545</v>
      </c>
      <c r="C43" s="238">
        <f ca="1">ROUND(IF('数据-取费表'!B22&lt;=1,C39*F22*'数据-取费表'!B20/2,C39*(POWER((1+F22),'数据-取费表'!B20/2)-1)),0)</f>
        <v>97</v>
      </c>
      <c r="D43" s="238"/>
      <c r="E43" s="238"/>
      <c r="F43" s="239"/>
      <c r="G43" s="3798"/>
    </row>
    <row r="44" spans="1:7" ht="13.5" customHeight="1">
      <c r="A44" s="780" t="s">
        <v>348</v>
      </c>
      <c r="B44" s="215" t="s">
        <v>1546</v>
      </c>
      <c r="C44" s="238">
        <f ca="1">ROUND(IF('数据-取费表'!B22&lt;=1,C40*F22*'数据-取费表'!B20/2,C40*(POWER((1+F22),'数据-取费表'!B20/2)-1)),4)</f>
        <v>5.0000000000000001E-4</v>
      </c>
      <c r="D44" s="238"/>
      <c r="E44" s="238"/>
      <c r="F44" s="239"/>
      <c r="G44" s="3799"/>
    </row>
    <row r="45" spans="1:7" s="214" customFormat="1" ht="13.5" customHeight="1">
      <c r="A45" s="255" t="s">
        <v>1547</v>
      </c>
      <c r="B45" s="244" t="s">
        <v>1513</v>
      </c>
      <c r="C45" s="245">
        <f ca="1">C46</f>
        <v>22125</v>
      </c>
      <c r="D45" s="235">
        <f ca="1">C47</f>
        <v>2.3999999999999998E-3</v>
      </c>
      <c r="E45" s="236" t="s">
        <v>1539</v>
      </c>
      <c r="F45" s="246">
        <f ca="1">F27</f>
        <v>0.12</v>
      </c>
      <c r="G45" s="247" t="s">
        <v>1548</v>
      </c>
    </row>
    <row r="46" spans="1:7" s="214" customFormat="1" ht="13.5" customHeight="1">
      <c r="A46" s="780" t="s">
        <v>346</v>
      </c>
      <c r="B46" s="248" t="s">
        <v>1549</v>
      </c>
      <c r="C46" s="249">
        <f ca="1">ROUND((C33+C39)*F27,0)</f>
        <v>22125</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229541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160679</v>
      </c>
      <c r="D51" s="232"/>
      <c r="E51" s="232"/>
      <c r="F51" s="264"/>
      <c r="G51" s="234" t="s">
        <v>1560</v>
      </c>
    </row>
    <row r="52" spans="1:7" s="208" customFormat="1" ht="16.8" thickBot="1">
      <c r="A52" s="265" t="s">
        <v>1561</v>
      </c>
      <c r="B52" s="266"/>
      <c r="C52" s="267">
        <f ca="1">C31+C51</f>
        <v>1112352</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5.3499999999999999E-2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02" t="s">
        <v>694</v>
      </c>
      <c r="C6" s="1074">
        <f ca="1">ROUND(F6*F8*F7*(1-F9)/10000,0)</f>
        <v>0</v>
      </c>
      <c r="D6" s="155" t="s">
        <v>2108</v>
      </c>
      <c r="E6" s="302" t="s">
        <v>696</v>
      </c>
      <c r="F6" s="303">
        <f ca="1">INDIRECT("'数据-取费表'!u"&amp;$G$1)</f>
        <v>0</v>
      </c>
      <c r="G6" s="1384"/>
      <c r="H6" s="1069" t="s">
        <v>398</v>
      </c>
      <c r="I6" s="3802" t="s">
        <v>694</v>
      </c>
      <c r="J6" s="301">
        <f ca="1">ROUND(M6*M8*M7*(1-M9)/10000,0)</f>
        <v>0</v>
      </c>
      <c r="K6" s="155" t="s">
        <v>2107</v>
      </c>
      <c r="L6" s="302" t="s">
        <v>696</v>
      </c>
      <c r="M6" s="303">
        <f ca="1">INDIRECT("'数据-取费表'!z"&amp;$G$1)</f>
        <v>0</v>
      </c>
    </row>
    <row r="7" spans="1:37" ht="18" customHeight="1">
      <c r="A7" s="1073"/>
      <c r="B7" s="3803"/>
      <c r="C7" s="1075"/>
      <c r="D7" s="307"/>
      <c r="E7" s="1076" t="s">
        <v>697</v>
      </c>
      <c r="F7" s="303">
        <f ca="1">IF(INDIRECT("'数据-取费表'!ah"&amp;$G$1)="",INDIRECT("'数据-取费表'!k"&amp;$G$1),INDIRECT("'数据-取费表'!ah"&amp;$G$1))</f>
        <v>0</v>
      </c>
      <c r="G7" s="1384"/>
      <c r="H7" s="304"/>
      <c r="I7" s="3803"/>
      <c r="J7" s="306"/>
      <c r="K7" s="307"/>
      <c r="L7" s="302" t="s">
        <v>697</v>
      </c>
      <c r="M7" s="303">
        <f ca="1">F7</f>
        <v>0</v>
      </c>
    </row>
    <row r="8" spans="1:37" ht="18" customHeight="1">
      <c r="A8" s="304"/>
      <c r="B8" s="3803"/>
      <c r="C8" s="306"/>
      <c r="D8" s="307"/>
      <c r="E8" s="302" t="s">
        <v>698</v>
      </c>
      <c r="F8" s="303">
        <f ca="1">INDIRECT("'数据-取费表'!ai"&amp;$G$1)</f>
        <v>0</v>
      </c>
      <c r="G8" s="1384"/>
      <c r="H8" s="304"/>
      <c r="I8" s="3803"/>
      <c r="J8" s="306"/>
      <c r="K8" s="307"/>
      <c r="L8" s="302" t="s">
        <v>698</v>
      </c>
      <c r="M8" s="303">
        <f ca="1">INDIRECT("'数据-取费表'!ai"&amp;$G$1)</f>
        <v>0</v>
      </c>
    </row>
    <row r="9" spans="1:37" ht="18" customHeight="1">
      <c r="A9" s="304"/>
      <c r="B9" s="3804"/>
      <c r="C9" s="306"/>
      <c r="D9" s="307"/>
      <c r="E9" s="302" t="s">
        <v>699</v>
      </c>
      <c r="F9" s="312">
        <f ca="1">INDIRECT("'数据-取费表'!w"&amp;$G$1)</f>
        <v>0</v>
      </c>
      <c r="G9" s="1384"/>
      <c r="H9" s="304"/>
      <c r="I9" s="38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800" t="s">
        <v>837</v>
      </c>
      <c r="L53" s="380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2" t="s">
        <v>694</v>
      </c>
      <c r="C6" s="1074">
        <f ca="1">ROUND(F6*F8*F7*(1-F9),0)</f>
        <v>0</v>
      </c>
      <c r="D6" s="155" t="s">
        <v>2105</v>
      </c>
      <c r="E6" s="302" t="s">
        <v>696</v>
      </c>
      <c r="F6" s="303">
        <f ca="1">INDIRECT("'数据-取费表'!u"&amp;$G$1)</f>
        <v>0</v>
      </c>
      <c r="G6" s="1384"/>
      <c r="H6" s="1069" t="s">
        <v>398</v>
      </c>
      <c r="I6" s="3802" t="s">
        <v>694</v>
      </c>
      <c r="J6" s="301">
        <f ca="1">ROUND(M6*M8*M7*(1-M9),0)</f>
        <v>0</v>
      </c>
      <c r="K6" s="1376" t="s">
        <v>2106</v>
      </c>
      <c r="L6" s="302" t="s">
        <v>696</v>
      </c>
      <c r="M6" s="303">
        <f ca="1">INDIRECT("'数据-取费表'!z"&amp;$G$1)</f>
        <v>0</v>
      </c>
    </row>
    <row r="7" spans="1:37" ht="18" customHeight="1">
      <c r="A7" s="1073"/>
      <c r="B7" s="3803"/>
      <c r="C7" s="1075"/>
      <c r="D7" s="307"/>
      <c r="E7" s="1076" t="s">
        <v>697</v>
      </c>
      <c r="F7" s="303">
        <f ca="1">IF(INDIRECT("'数据-取费表'!ah"&amp;$G$1)="",INDIRECT("'数据-取费表'!k"&amp;$G$1),INDIRECT("'数据-取费表'!ah"&amp;$G$1))</f>
        <v>0</v>
      </c>
      <c r="G7" s="1384"/>
      <c r="H7" s="304"/>
      <c r="I7" s="3803"/>
      <c r="J7" s="306"/>
      <c r="K7" s="307"/>
      <c r="L7" s="302" t="s">
        <v>697</v>
      </c>
      <c r="M7" s="303">
        <f ca="1">F7</f>
        <v>0</v>
      </c>
    </row>
    <row r="8" spans="1:37" ht="18" customHeight="1">
      <c r="A8" s="304"/>
      <c r="B8" s="3803"/>
      <c r="C8" s="306"/>
      <c r="D8" s="307"/>
      <c r="E8" s="302" t="s">
        <v>698</v>
      </c>
      <c r="F8" s="303">
        <f ca="1">INDIRECT("'数据-取费表'!ai"&amp;$G$1)</f>
        <v>0</v>
      </c>
      <c r="G8" s="1384"/>
      <c r="H8" s="304"/>
      <c r="I8" s="3803"/>
      <c r="J8" s="306"/>
      <c r="K8" s="307"/>
      <c r="L8" s="302" t="s">
        <v>698</v>
      </c>
      <c r="M8" s="303">
        <f ca="1">INDIRECT("'数据-取费表'!ai"&amp;$G$1)</f>
        <v>0</v>
      </c>
    </row>
    <row r="9" spans="1:37" ht="18" customHeight="1">
      <c r="A9" s="304"/>
      <c r="B9" s="3804"/>
      <c r="C9" s="306"/>
      <c r="D9" s="307"/>
      <c r="E9" s="302" t="s">
        <v>699</v>
      </c>
      <c r="F9" s="312">
        <f ca="1">INDIRECT("'数据-取费表'!w"&amp;$G$1)</f>
        <v>0</v>
      </c>
      <c r="G9" s="1384"/>
      <c r="H9" s="304"/>
      <c r="I9" s="38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800" t="s">
        <v>837</v>
      </c>
      <c r="L53" s="380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811" t="s">
        <v>2317</v>
      </c>
      <c r="K2" s="381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813" t="s">
        <v>2327</v>
      </c>
      <c r="K3" s="381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813" t="s">
        <v>2329</v>
      </c>
      <c r="K4" s="381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819" t="s">
        <v>2333</v>
      </c>
      <c r="B6" s="3820"/>
      <c r="C6" s="3821"/>
      <c r="D6" s="2870"/>
      <c r="E6" s="2871"/>
      <c r="F6" s="2872"/>
      <c r="G6" s="2873"/>
      <c r="H6" s="2848"/>
      <c r="I6" s="2849"/>
      <c r="J6" s="3805">
        <v>1</v>
      </c>
      <c r="K6" s="380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805"/>
      <c r="K7" s="380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822" t="s">
        <v>2347</v>
      </c>
      <c r="C8" s="3823"/>
      <c r="D8" s="2889" t="s">
        <v>2348</v>
      </c>
      <c r="E8" s="2890" t="s">
        <v>2349</v>
      </c>
      <c r="F8" s="2891" t="s">
        <v>2350</v>
      </c>
      <c r="G8" s="2892"/>
      <c r="H8" s="2848"/>
      <c r="I8" s="2849"/>
      <c r="J8" s="3805"/>
      <c r="K8" s="380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822" t="s">
        <v>2353</v>
      </c>
      <c r="C9" s="3823"/>
      <c r="D9" s="2889">
        <f>ROUND(D6*E9,0)</f>
        <v>0</v>
      </c>
      <c r="E9" s="2893"/>
      <c r="F9" s="2894" t="s">
        <v>2354</v>
      </c>
      <c r="G9" s="2873"/>
      <c r="H9" s="2848"/>
      <c r="I9" s="2849"/>
      <c r="J9" s="3805"/>
      <c r="K9" s="3807"/>
      <c r="L9" s="2883" t="s">
        <v>2355</v>
      </c>
      <c r="M9" s="2884"/>
      <c r="N9" s="2860"/>
      <c r="O9" s="2885"/>
      <c r="P9" s="2885"/>
      <c r="Q9" s="2886">
        <v>365</v>
      </c>
      <c r="R9" s="2887">
        <f t="shared" si="0"/>
        <v>0</v>
      </c>
      <c r="S9" s="2841"/>
      <c r="T9" s="2841"/>
      <c r="U9" s="2841"/>
      <c r="V9" s="2849"/>
    </row>
    <row r="10" spans="1:22" s="2853" customFormat="1" ht="13.2" customHeight="1">
      <c r="A10" s="2888">
        <v>2</v>
      </c>
      <c r="B10" s="3822" t="s">
        <v>2356</v>
      </c>
      <c r="C10" s="3823"/>
      <c r="D10" s="2889">
        <f>ROUND(D6*E10,0)</f>
        <v>0</v>
      </c>
      <c r="E10" s="2893"/>
      <c r="F10" s="2894" t="s">
        <v>2357</v>
      </c>
      <c r="G10" s="2873"/>
      <c r="H10" s="2848"/>
      <c r="I10" s="2849"/>
      <c r="J10" s="3805"/>
      <c r="K10" s="3807"/>
      <c r="L10" s="2883" t="s">
        <v>2358</v>
      </c>
      <c r="M10" s="2884"/>
      <c r="N10" s="2860"/>
      <c r="O10" s="2885"/>
      <c r="P10" s="2885"/>
      <c r="Q10" s="2886">
        <v>365</v>
      </c>
      <c r="R10" s="2887">
        <f t="shared" si="0"/>
        <v>0</v>
      </c>
      <c r="S10" s="2841"/>
      <c r="T10" s="2841"/>
      <c r="U10" s="2841"/>
      <c r="V10" s="2849"/>
    </row>
    <row r="11" spans="1:22" s="2853" customFormat="1" ht="13.2" customHeight="1">
      <c r="A11" s="2888">
        <v>3</v>
      </c>
      <c r="B11" s="3822" t="s">
        <v>2359</v>
      </c>
      <c r="C11" s="3823"/>
      <c r="D11" s="2889">
        <f>D12+D14+D15+D16</f>
        <v>0</v>
      </c>
      <c r="E11" s="2895" t="e">
        <f>D11/D6</f>
        <v>#DIV/0!</v>
      </c>
      <c r="F11" s="2891"/>
      <c r="G11" s="2892"/>
      <c r="H11" s="2848"/>
      <c r="I11" s="2849"/>
      <c r="J11" s="3805"/>
      <c r="K11" s="380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815" t="s">
        <v>2362</v>
      </c>
      <c r="C12" s="3816"/>
      <c r="D12" s="2897">
        <f>ROUND(D13*1.2%*(1-30%),0)</f>
        <v>0</v>
      </c>
      <c r="E12" s="2898">
        <v>1.2E-2</v>
      </c>
      <c r="F12" s="2891" t="s">
        <v>2363</v>
      </c>
      <c r="G12" s="2892"/>
      <c r="H12" s="2848"/>
      <c r="I12" s="2849"/>
      <c r="J12" s="3805"/>
      <c r="K12" s="380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805"/>
      <c r="K13" s="380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815" t="s">
        <v>2368</v>
      </c>
      <c r="C14" s="3816"/>
      <c r="D14" s="2897">
        <f>ROUND(E14*B5/10000,0)</f>
        <v>0</v>
      </c>
      <c r="E14" s="2886"/>
      <c r="F14" s="2891" t="s">
        <v>2369</v>
      </c>
      <c r="G14" s="2892"/>
      <c r="H14" s="2848"/>
      <c r="I14" s="2849"/>
      <c r="J14" s="3805"/>
      <c r="K14" s="380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815" t="s">
        <v>2372</v>
      </c>
      <c r="C15" s="3816"/>
      <c r="D15" s="2897">
        <f>ROUND(D6*E15,0)</f>
        <v>0</v>
      </c>
      <c r="E15" s="2898">
        <v>5.5E-2</v>
      </c>
      <c r="F15" s="2891" t="s">
        <v>2373</v>
      </c>
      <c r="G15" s="2873"/>
      <c r="H15" s="2848"/>
      <c r="I15" s="2849"/>
      <c r="J15" s="3805">
        <v>2</v>
      </c>
      <c r="K15" s="380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815" t="s">
        <v>2381</v>
      </c>
      <c r="C16" s="3816"/>
      <c r="D16" s="2908">
        <f>D6*E16</f>
        <v>0</v>
      </c>
      <c r="E16" s="2909"/>
      <c r="F16" s="2894" t="s">
        <v>2382</v>
      </c>
      <c r="G16" s="2873"/>
      <c r="H16" s="2848"/>
      <c r="I16" s="2849"/>
      <c r="J16" s="3805"/>
      <c r="K16" s="380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817" t="s">
        <v>2384</v>
      </c>
      <c r="C17" s="3818"/>
      <c r="D17" s="2911">
        <f>ROUND(D6*E17,0)</f>
        <v>0</v>
      </c>
      <c r="E17" s="2912"/>
      <c r="F17" s="2913" t="s">
        <v>2385</v>
      </c>
      <c r="G17" s="2873"/>
      <c r="H17" s="2848"/>
      <c r="I17" s="2849"/>
      <c r="J17" s="3805"/>
      <c r="K17" s="380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805"/>
      <c r="K18" s="380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805"/>
      <c r="K19" s="380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5">
        <v>3</v>
      </c>
      <c r="K20" s="380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805"/>
      <c r="K21" s="380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805"/>
      <c r="K22" s="380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805"/>
      <c r="K23" s="380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805"/>
      <c r="K24" s="380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80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81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811" t="s">
        <v>2317</v>
      </c>
      <c r="K32" s="381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813" t="s">
        <v>2327</v>
      </c>
      <c r="K33" s="381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813" t="s">
        <v>2329</v>
      </c>
      <c r="K34" s="381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805">
        <v>1</v>
      </c>
      <c r="K36" s="380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805"/>
      <c r="K37" s="380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5"/>
      <c r="K38" s="380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805"/>
      <c r="K39" s="380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805"/>
      <c r="K40" s="380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80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81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24" t="s">
        <v>1654</v>
      </c>
      <c r="C5" s="3825"/>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 zoomScale="90" zoomScaleNormal="60" zoomScaleSheetLayoutView="90" workbookViewId="0">
      <selection activeCell="K42" sqref="K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158.64269999999999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21158</v>
      </c>
      <c r="C3" s="354" t="s">
        <v>1665</v>
      </c>
      <c r="D3" s="353">
        <f>IF(D1="",'数据-汇总表'!E3,SUMIF('数据-汇总表'!$C19:$C33,D1,'数据-汇总表'!$E19:$E33))</f>
        <v>74.98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44" t="s">
        <v>1667</v>
      </c>
      <c r="D4" s="3845"/>
      <c r="E4" s="3846" t="s">
        <v>1668</v>
      </c>
      <c r="F4" s="3847"/>
      <c r="G4" s="3844" t="s">
        <v>1669</v>
      </c>
      <c r="H4" s="3845"/>
      <c r="I4" s="3844" t="s">
        <v>1670</v>
      </c>
      <c r="J4" s="3845"/>
      <c r="K4" s="1889" t="s">
        <v>1671</v>
      </c>
      <c r="L4" s="2715"/>
      <c r="M4" s="2716"/>
      <c r="N4" s="2716"/>
      <c r="O4" s="2716"/>
      <c r="P4" s="3848" t="s">
        <v>1672</v>
      </c>
      <c r="Q4" s="3849"/>
      <c r="R4" s="3854" t="s">
        <v>1668</v>
      </c>
      <c r="S4" s="3855"/>
      <c r="T4" s="3854" t="s">
        <v>1669</v>
      </c>
      <c r="U4" s="3855"/>
      <c r="V4" s="3860" t="s">
        <v>1670</v>
      </c>
      <c r="W4" s="3860"/>
      <c r="X4" s="1355"/>
      <c r="Y4" s="3854" t="s">
        <v>1672</v>
      </c>
      <c r="Z4" s="3855"/>
      <c r="AA4" s="3841" t="s">
        <v>1668</v>
      </c>
      <c r="AB4" s="3841" t="s">
        <v>1669</v>
      </c>
      <c r="AC4" s="3841" t="s">
        <v>1670</v>
      </c>
    </row>
    <row r="5" spans="1:29" ht="39.75" customHeight="1">
      <c r="A5" s="358"/>
      <c r="B5" s="359"/>
      <c r="C5" s="3868" t="s">
        <v>3438</v>
      </c>
      <c r="D5" s="3869"/>
      <c r="E5" s="3872" t="str">
        <f>Sheet1!F7</f>
        <v>昌平镇西环里小区</v>
      </c>
      <c r="F5" s="3873"/>
      <c r="G5" s="3863" t="str">
        <f>Sheet1!F8</f>
        <v>昌平镇西环里小区</v>
      </c>
      <c r="H5" s="3864"/>
      <c r="I5" s="3863" t="str">
        <f>Sheet1!F9</f>
        <v>昌平镇西环里小区</v>
      </c>
      <c r="J5" s="3864"/>
      <c r="K5" s="1890"/>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61"/>
      <c r="D6" s="3862"/>
      <c r="E6" s="3870" t="str">
        <f>Sheet1!H7</f>
        <v>26号楼</v>
      </c>
      <c r="F6" s="3871"/>
      <c r="G6" s="3861" t="str">
        <f>Sheet1!H8</f>
        <v>45号楼</v>
      </c>
      <c r="H6" s="3862"/>
      <c r="I6" s="3861" t="str">
        <f>Sheet1!H9</f>
        <v>28号楼</v>
      </c>
      <c r="J6" s="3862"/>
      <c r="K6" s="1890"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f>Sheet1!AI7</f>
        <v>42024</v>
      </c>
      <c r="F7" s="367">
        <f>SUMIF(58:58,YEAR(E7)&amp;"-"&amp;MONTH(E7),59:59)</f>
        <v>99.5</v>
      </c>
      <c r="G7" s="366">
        <f>Sheet1!AI8</f>
        <v>42025</v>
      </c>
      <c r="H7" s="365">
        <f>SUMIF(58:58,YEAR(G7)&amp;"-"&amp;MONTH(G7),59:59)</f>
        <v>99.5</v>
      </c>
      <c r="I7" s="366">
        <f>Sheet1!AI9</f>
        <v>42048</v>
      </c>
      <c r="J7" s="365">
        <f>SUMIF(58:58,YEAR(I7)&amp;"-"&amp;MONTH(I7),59:59)</f>
        <v>99.5</v>
      </c>
      <c r="K7" s="1891"/>
      <c r="L7" s="2717"/>
      <c r="M7" s="2718"/>
      <c r="N7" s="2718"/>
      <c r="O7" s="2718"/>
      <c r="P7" s="3865" t="s">
        <v>1680</v>
      </c>
      <c r="Q7" s="3867"/>
      <c r="R7" s="701" t="s">
        <v>20</v>
      </c>
      <c r="S7" s="702">
        <f t="shared" ref="S7:S15" si="0">F7</f>
        <v>99.5</v>
      </c>
      <c r="T7" s="701" t="s">
        <v>20</v>
      </c>
      <c r="U7" s="702">
        <f t="shared" ref="U7:U15" si="1">H7</f>
        <v>99.5</v>
      </c>
      <c r="V7" s="701" t="s">
        <v>20</v>
      </c>
      <c r="W7" s="702">
        <f t="shared" ref="W7:W15" si="2">J7</f>
        <v>99.5</v>
      </c>
      <c r="X7" s="703"/>
      <c r="Y7" s="3865" t="s">
        <v>1680</v>
      </c>
      <c r="Z7" s="3866"/>
      <c r="AA7" s="704">
        <f>D7/F7</f>
        <v>1.0050251256281406</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865" t="s">
        <v>1683</v>
      </c>
      <c r="Q8" s="3866"/>
      <c r="R8" s="701" t="s">
        <v>20</v>
      </c>
      <c r="S8" s="702">
        <f t="shared" si="0"/>
        <v>100</v>
      </c>
      <c r="T8" s="701" t="s">
        <v>20</v>
      </c>
      <c r="U8" s="702">
        <f t="shared" si="1"/>
        <v>100</v>
      </c>
      <c r="V8" s="701" t="s">
        <v>20</v>
      </c>
      <c r="W8" s="702">
        <f t="shared" si="2"/>
        <v>100</v>
      </c>
      <c r="X8" s="703"/>
      <c r="Y8" s="3865" t="s">
        <v>1683</v>
      </c>
      <c r="Z8" s="3866"/>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40"/>
      <c r="Q11" s="1343" t="str">
        <f t="shared" si="6"/>
        <v>容积率</v>
      </c>
      <c r="R11" s="701" t="s">
        <v>18</v>
      </c>
      <c r="S11" s="702">
        <f t="shared" si="0"/>
        <v>100</v>
      </c>
      <c r="T11" s="701" t="s">
        <v>18</v>
      </c>
      <c r="U11" s="702">
        <f t="shared" si="1"/>
        <v>100</v>
      </c>
      <c r="V11" s="701" t="s">
        <v>18</v>
      </c>
      <c r="W11" s="702">
        <f t="shared" si="2"/>
        <v>100</v>
      </c>
      <c r="X11" s="703"/>
      <c r="Y11" s="3704"/>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840"/>
      <c r="Q12" s="1343">
        <f t="shared" si="6"/>
        <v>111</v>
      </c>
      <c r="R12" s="701" t="s">
        <v>18</v>
      </c>
      <c r="S12" s="702">
        <f t="shared" si="0"/>
        <v>100</v>
      </c>
      <c r="T12" s="701" t="s">
        <v>18</v>
      </c>
      <c r="U12" s="702">
        <f t="shared" si="1"/>
        <v>100</v>
      </c>
      <c r="V12" s="701" t="s">
        <v>18</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40"/>
      <c r="Q13" s="1343">
        <f t="shared" si="6"/>
        <v>111</v>
      </c>
      <c r="R13" s="701" t="s">
        <v>18</v>
      </c>
      <c r="S13" s="702">
        <f t="shared" si="0"/>
        <v>100</v>
      </c>
      <c r="T13" s="701" t="s">
        <v>18</v>
      </c>
      <c r="U13" s="702">
        <f t="shared" si="1"/>
        <v>100</v>
      </c>
      <c r="V13" s="701" t="s">
        <v>18</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40"/>
      <c r="Q14" s="1343">
        <f t="shared" si="6"/>
        <v>111</v>
      </c>
      <c r="R14" s="701" t="s">
        <v>18</v>
      </c>
      <c r="S14" s="702">
        <f t="shared" si="0"/>
        <v>100</v>
      </c>
      <c r="T14" s="701" t="s">
        <v>18</v>
      </c>
      <c r="U14" s="702">
        <f t="shared" si="1"/>
        <v>100</v>
      </c>
      <c r="V14" s="701" t="s">
        <v>18</v>
      </c>
      <c r="W14" s="702">
        <f t="shared" si="2"/>
        <v>100</v>
      </c>
      <c r="X14" s="703"/>
      <c r="Y14" s="370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38" t="s">
        <v>1691</v>
      </c>
      <c r="Q15" s="1352" t="str">
        <f t="shared" si="6"/>
        <v>居住社区成熟度</v>
      </c>
      <c r="R15" s="705" t="s">
        <v>18</v>
      </c>
      <c r="S15" s="706">
        <f t="shared" si="0"/>
        <v>100</v>
      </c>
      <c r="T15" s="705" t="s">
        <v>18</v>
      </c>
      <c r="U15" s="706">
        <f t="shared" si="1"/>
        <v>100</v>
      </c>
      <c r="V15" s="705" t="s">
        <v>18</v>
      </c>
      <c r="W15" s="706">
        <f t="shared" si="2"/>
        <v>100</v>
      </c>
      <c r="X15" s="1355"/>
      <c r="Y15" s="38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39"/>
      <c r="Q16" s="1352"/>
      <c r="R16" s="705"/>
      <c r="S16" s="706"/>
      <c r="T16" s="705"/>
      <c r="U16" s="706"/>
      <c r="V16" s="705"/>
      <c r="W16" s="706"/>
      <c r="X16" s="1355"/>
      <c r="Y16" s="383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39"/>
      <c r="Q17" s="1352" t="str">
        <f>B17</f>
        <v>交通便捷度</v>
      </c>
      <c r="R17" s="705" t="s">
        <v>18</v>
      </c>
      <c r="S17" s="706">
        <f>F17</f>
        <v>100</v>
      </c>
      <c r="T17" s="705" t="s">
        <v>18</v>
      </c>
      <c r="U17" s="706">
        <f>H17</f>
        <v>100</v>
      </c>
      <c r="V17" s="705" t="s">
        <v>18</v>
      </c>
      <c r="W17" s="706">
        <f>J17</f>
        <v>100</v>
      </c>
      <c r="X17" s="1355"/>
      <c r="Y17" s="3832"/>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839"/>
      <c r="Q18" s="1352"/>
      <c r="R18" s="705"/>
      <c r="S18" s="706"/>
      <c r="T18" s="705"/>
      <c r="U18" s="706"/>
      <c r="V18" s="705"/>
      <c r="W18" s="706"/>
      <c r="X18" s="1355"/>
      <c r="Y18" s="383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39"/>
      <c r="Q19" s="1352" t="str">
        <f>B19</f>
        <v>公共配套设施</v>
      </c>
      <c r="R19" s="705" t="s">
        <v>18</v>
      </c>
      <c r="S19" s="706">
        <f>F19</f>
        <v>100</v>
      </c>
      <c r="T19" s="705" t="s">
        <v>18</v>
      </c>
      <c r="U19" s="706">
        <f>H19</f>
        <v>100</v>
      </c>
      <c r="V19" s="705" t="s">
        <v>18</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39"/>
      <c r="Q20" s="1352"/>
      <c r="R20" s="705"/>
      <c r="S20" s="706"/>
      <c r="T20" s="705"/>
      <c r="U20" s="706"/>
      <c r="V20" s="705"/>
      <c r="W20" s="706"/>
      <c r="X20" s="1355"/>
      <c r="Y20" s="38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39"/>
      <c r="Q22" s="1352"/>
      <c r="R22" s="705"/>
      <c r="S22" s="706"/>
      <c r="T22" s="705"/>
      <c r="U22" s="706"/>
      <c r="V22" s="705"/>
      <c r="W22" s="706"/>
      <c r="X22" s="1355"/>
      <c r="Y22" s="383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39"/>
      <c r="Q23" s="1352" t="str">
        <f>B23</f>
        <v>自然及人文环境</v>
      </c>
      <c r="R23" s="705" t="s">
        <v>18</v>
      </c>
      <c r="S23" s="706">
        <f>F23</f>
        <v>100</v>
      </c>
      <c r="T23" s="705" t="s">
        <v>18</v>
      </c>
      <c r="U23" s="706">
        <f>H23</f>
        <v>100</v>
      </c>
      <c r="V23" s="705" t="s">
        <v>18</v>
      </c>
      <c r="W23" s="706">
        <f>J23</f>
        <v>100</v>
      </c>
      <c r="X23" s="1355"/>
      <c r="Y23" s="3832"/>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839"/>
      <c r="Q24" s="1352"/>
      <c r="R24" s="705"/>
      <c r="S24" s="706"/>
      <c r="T24" s="705"/>
      <c r="U24" s="706"/>
      <c r="V24" s="705"/>
      <c r="W24" s="706"/>
      <c r="X24" s="1355"/>
      <c r="Y24" s="383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2"/>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2" t="s">
        <v>3430</v>
      </c>
      <c r="D26" s="413">
        <v>100</v>
      </c>
      <c r="E26" s="416" t="s">
        <v>3429</v>
      </c>
      <c r="F26" s="413">
        <f>SUMIF(88:88,E26,89:89)-SUMIF(88:88,C26,89:89)+100</f>
        <v>100</v>
      </c>
      <c r="G26" s="414" t="s">
        <v>3429</v>
      </c>
      <c r="H26" s="413">
        <f>SUMIF(88:88,G26,89:89)-SUMIF(88:88,C26,89:89)+100</f>
        <v>100</v>
      </c>
      <c r="I26" s="414" t="s">
        <v>3429</v>
      </c>
      <c r="J26" s="413">
        <f>SUMIF(88:88,I26,89:89)-SUMIF(88:88,C26,89:89)+100</f>
        <v>100</v>
      </c>
      <c r="K26" s="3471">
        <v>0.5</v>
      </c>
      <c r="L26" s="3460"/>
      <c r="M26" s="3461"/>
      <c r="N26" s="3461"/>
      <c r="O26" s="3461"/>
      <c r="P26" s="3839"/>
      <c r="Q26" s="3462" t="str">
        <f t="shared" si="11"/>
        <v>朝向</v>
      </c>
      <c r="R26" s="3463" t="s">
        <v>18</v>
      </c>
      <c r="S26" s="3464">
        <f t="shared" si="12"/>
        <v>100</v>
      </c>
      <c r="T26" s="3463" t="s">
        <v>18</v>
      </c>
      <c r="U26" s="3464">
        <f t="shared" si="13"/>
        <v>100</v>
      </c>
      <c r="V26" s="3463" t="s">
        <v>18</v>
      </c>
      <c r="W26" s="3464">
        <f t="shared" si="14"/>
        <v>100</v>
      </c>
      <c r="X26" s="3465"/>
      <c r="Y26" s="3832"/>
      <c r="Z26" s="3466" t="str">
        <f>Q26</f>
        <v>朝向</v>
      </c>
      <c r="AA26" s="3467">
        <f t="shared" si="15"/>
        <v>1</v>
      </c>
      <c r="AB26" s="3467">
        <f t="shared" si="16"/>
        <v>1</v>
      </c>
      <c r="AC26" s="3467">
        <f t="shared" si="17"/>
        <v>1</v>
      </c>
    </row>
    <row r="27" spans="1:29" s="108" customFormat="1" ht="15">
      <c r="A27" s="382"/>
      <c r="B27" s="3450" t="s">
        <v>3397</v>
      </c>
      <c r="C27" s="416" t="s">
        <v>3431</v>
      </c>
      <c r="D27" s="413">
        <v>100</v>
      </c>
      <c r="E27" s="416" t="s">
        <v>3435</v>
      </c>
      <c r="F27" s="413">
        <f>SUMIF(90:90,E27,91:91)-SUMIF(90:90,C27,91:91)+100</f>
        <v>103</v>
      </c>
      <c r="G27" s="414" t="s">
        <v>3710</v>
      </c>
      <c r="H27" s="413">
        <f>SUMIF(90:90,G27,91:91)-SUMIF(90:90,C27,91:91)+100</f>
        <v>100</v>
      </c>
      <c r="I27" s="414" t="s">
        <v>3711</v>
      </c>
      <c r="J27" s="413">
        <f>SUMIF(90:90,I27,91:91)-SUMIF(90:90,C27,91:91)+100</f>
        <v>98</v>
      </c>
      <c r="K27" s="1894"/>
      <c r="L27" s="2717"/>
      <c r="M27" s="2718"/>
      <c r="N27" s="2718"/>
      <c r="O27" s="2718"/>
      <c r="P27" s="3839"/>
      <c r="Q27" s="1343" t="str">
        <f t="shared" si="11"/>
        <v>楼层</v>
      </c>
      <c r="R27" s="701" t="s">
        <v>18</v>
      </c>
      <c r="S27" s="702">
        <f t="shared" si="12"/>
        <v>103</v>
      </c>
      <c r="T27" s="701" t="s">
        <v>18</v>
      </c>
      <c r="U27" s="702">
        <f t="shared" si="13"/>
        <v>100</v>
      </c>
      <c r="V27" s="701" t="s">
        <v>18</v>
      </c>
      <c r="W27" s="702">
        <f t="shared" si="14"/>
        <v>98</v>
      </c>
      <c r="X27" s="703"/>
      <c r="Y27" s="3832"/>
      <c r="Z27" s="52" t="str">
        <f>Q27</f>
        <v>楼层</v>
      </c>
      <c r="AA27" s="1353">
        <f t="shared" si="15"/>
        <v>0.970873786407767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39"/>
      <c r="Q28" s="1352">
        <f t="shared" si="11"/>
        <v>111</v>
      </c>
      <c r="R28" s="705" t="s">
        <v>18</v>
      </c>
      <c r="S28" s="706">
        <f t="shared" si="12"/>
        <v>100</v>
      </c>
      <c r="T28" s="705" t="s">
        <v>18</v>
      </c>
      <c r="U28" s="706">
        <f t="shared" si="13"/>
        <v>100</v>
      </c>
      <c r="V28" s="705" t="s">
        <v>18</v>
      </c>
      <c r="W28" s="706">
        <f t="shared" si="14"/>
        <v>100</v>
      </c>
      <c r="X28" s="1355"/>
      <c r="Y28" s="38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39"/>
      <c r="Q29" s="1352">
        <f t="shared" si="11"/>
        <v>111</v>
      </c>
      <c r="R29" s="705" t="s">
        <v>18</v>
      </c>
      <c r="S29" s="706">
        <f t="shared" si="12"/>
        <v>100</v>
      </c>
      <c r="T29" s="705" t="s">
        <v>18</v>
      </c>
      <c r="U29" s="706">
        <f t="shared" si="13"/>
        <v>100</v>
      </c>
      <c r="V29" s="705" t="s">
        <v>18</v>
      </c>
      <c r="W29" s="706">
        <f t="shared" si="14"/>
        <v>100</v>
      </c>
      <c r="X29" s="1355"/>
      <c r="Y29" s="38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39"/>
      <c r="Q30" s="1352">
        <f t="shared" si="11"/>
        <v>111</v>
      </c>
      <c r="R30" s="705" t="s">
        <v>18</v>
      </c>
      <c r="S30" s="706">
        <f t="shared" si="12"/>
        <v>100</v>
      </c>
      <c r="T30" s="705" t="s">
        <v>18</v>
      </c>
      <c r="U30" s="706">
        <f t="shared" si="13"/>
        <v>100</v>
      </c>
      <c r="V30" s="705" t="s">
        <v>18</v>
      </c>
      <c r="W30" s="706">
        <f t="shared" si="14"/>
        <v>100</v>
      </c>
      <c r="X30" s="1355"/>
      <c r="Y30" s="38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39"/>
      <c r="Q31" s="1352">
        <f t="shared" si="11"/>
        <v>111</v>
      </c>
      <c r="R31" s="705" t="s">
        <v>18</v>
      </c>
      <c r="S31" s="706">
        <f t="shared" si="12"/>
        <v>100</v>
      </c>
      <c r="T31" s="705" t="s">
        <v>18</v>
      </c>
      <c r="U31" s="706">
        <f t="shared" si="13"/>
        <v>100</v>
      </c>
      <c r="V31" s="705" t="s">
        <v>18</v>
      </c>
      <c r="W31" s="706">
        <f t="shared" si="14"/>
        <v>100</v>
      </c>
      <c r="X31" s="1355"/>
      <c r="Y31" s="3832"/>
      <c r="Z31" s="1356">
        <f t="shared" si="18"/>
        <v>111</v>
      </c>
      <c r="AA31" s="1353">
        <f t="shared" si="15"/>
        <v>1</v>
      </c>
      <c r="AB31" s="1353">
        <f t="shared" si="16"/>
        <v>1</v>
      </c>
      <c r="AC31" s="1353">
        <f t="shared" si="17"/>
        <v>1</v>
      </c>
    </row>
    <row r="32" spans="1:29" ht="15">
      <c r="A32" s="391" t="s">
        <v>1693</v>
      </c>
      <c r="B32" s="63" t="s">
        <v>1694</v>
      </c>
      <c r="C32" s="1910" t="s">
        <v>3432</v>
      </c>
      <c r="D32" s="418">
        <v>100</v>
      </c>
      <c r="E32" s="1911" t="s">
        <v>3432</v>
      </c>
      <c r="F32" s="412">
        <f>SUMIF(100:100,E32,101:101)-SUMIF(100:100,C32,101:101)+100</f>
        <v>100</v>
      </c>
      <c r="G32" s="1910" t="s">
        <v>3432</v>
      </c>
      <c r="H32" s="418">
        <f>SUMIF(100:100,G32,101:101)-SUMIF(100:100,C32,101:101)+100</f>
        <v>100</v>
      </c>
      <c r="I32" s="1911" t="s">
        <v>3432</v>
      </c>
      <c r="J32" s="386">
        <f>SUMIF(100:100,I32,101:101)-SUMIF(100:100,C32,101:101)+100</f>
        <v>100</v>
      </c>
      <c r="K32" s="377">
        <v>1</v>
      </c>
      <c r="L32" s="2722"/>
      <c r="M32" s="2716"/>
      <c r="N32" s="2716"/>
      <c r="O32" s="2716"/>
      <c r="P32" s="3833" t="s">
        <v>1695</v>
      </c>
      <c r="Q32" s="1352" t="str">
        <f t="shared" si="11"/>
        <v>建筑类型</v>
      </c>
      <c r="R32" s="705" t="s">
        <v>18</v>
      </c>
      <c r="S32" s="706">
        <f t="shared" si="12"/>
        <v>100</v>
      </c>
      <c r="T32" s="705" t="s">
        <v>18</v>
      </c>
      <c r="U32" s="706">
        <f t="shared" si="13"/>
        <v>100</v>
      </c>
      <c r="V32" s="705" t="s">
        <v>18</v>
      </c>
      <c r="W32" s="706">
        <f t="shared" si="14"/>
        <v>100</v>
      </c>
      <c r="X32" s="1355"/>
      <c r="Y32" s="3836"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74.98</v>
      </c>
      <c r="D33" s="127">
        <v>100</v>
      </c>
      <c r="E33" s="381">
        <f>Sheet1!L7</f>
        <v>58.55</v>
      </c>
      <c r="F33" s="376">
        <f>LOOKUP(E33,103:103,104:104)-LOOKUP(C33,103:103,104:104)+100</f>
        <v>102</v>
      </c>
      <c r="G33" s="380">
        <f>Sheet1!L8</f>
        <v>75.459999999999994</v>
      </c>
      <c r="H33" s="127">
        <f>LOOKUP(G33,103:103,104:104)-LOOKUP(C33,103:103,104:104)+100</f>
        <v>100</v>
      </c>
      <c r="I33" s="381">
        <f>Sheet1!L9</f>
        <v>56.76</v>
      </c>
      <c r="J33" s="386">
        <f>LOOKUP(I33,103:103,104:104)-LOOKUP(C33,103:103,104:104)+100</f>
        <v>102</v>
      </c>
      <c r="K33" s="1894"/>
      <c r="L33" s="2721"/>
      <c r="M33" s="2723"/>
      <c r="N33" s="2723"/>
      <c r="O33" s="2723"/>
      <c r="P33" s="3834"/>
      <c r="Q33" s="707" t="str">
        <f t="shared" si="11"/>
        <v>项目建筑规模</v>
      </c>
      <c r="R33" s="708" t="s">
        <v>18</v>
      </c>
      <c r="S33" s="709">
        <f t="shared" si="12"/>
        <v>102</v>
      </c>
      <c r="T33" s="708" t="s">
        <v>18</v>
      </c>
      <c r="U33" s="709">
        <f t="shared" si="13"/>
        <v>100</v>
      </c>
      <c r="V33" s="708" t="s">
        <v>18</v>
      </c>
      <c r="W33" s="709">
        <f t="shared" si="14"/>
        <v>102</v>
      </c>
      <c r="X33" s="710"/>
      <c r="Y33" s="3836"/>
      <c r="Z33" s="711" t="str">
        <f t="shared" si="18"/>
        <v>项目建筑规模</v>
      </c>
      <c r="AA33" s="1353">
        <f t="shared" si="15"/>
        <v>0.98039215686274506</v>
      </c>
      <c r="AB33" s="1353">
        <f t="shared" si="16"/>
        <v>1</v>
      </c>
      <c r="AC33" s="1353">
        <f t="shared" si="17"/>
        <v>0.98039215686274506</v>
      </c>
    </row>
    <row r="34" spans="1:29" ht="15">
      <c r="A34" s="423"/>
      <c r="B34" s="375" t="s">
        <v>1697</v>
      </c>
      <c r="C34" s="1912" t="s">
        <v>3433</v>
      </c>
      <c r="D34" s="386">
        <v>100</v>
      </c>
      <c r="E34" s="1913" t="s">
        <v>3433</v>
      </c>
      <c r="F34" s="412">
        <f>SUMIF(105:105,E34,106:106)-SUMIF(105:105,C34,106:106)+100</f>
        <v>100</v>
      </c>
      <c r="G34" s="1912" t="s">
        <v>3433</v>
      </c>
      <c r="H34" s="386">
        <f>SUMIF(105:105,G34,106:106)-SUMIF(105:105,C34,106:106)+100</f>
        <v>100</v>
      </c>
      <c r="I34" s="1913" t="s">
        <v>3433</v>
      </c>
      <c r="J34" s="386">
        <f>SUMIF(105:105,I34,106:106)-SUMIF(105:105,C34,106:106)+100</f>
        <v>100</v>
      </c>
      <c r="K34" s="377"/>
      <c r="L34" s="2722"/>
      <c r="M34" s="2716"/>
      <c r="N34" s="2716"/>
      <c r="O34" s="2716"/>
      <c r="P34" s="3834"/>
      <c r="Q34" s="1352" t="str">
        <f t="shared" si="11"/>
        <v>建筑结构</v>
      </c>
      <c r="R34" s="705" t="s">
        <v>18</v>
      </c>
      <c r="S34" s="706">
        <f t="shared" si="12"/>
        <v>100</v>
      </c>
      <c r="T34" s="705" t="s">
        <v>18</v>
      </c>
      <c r="U34" s="706">
        <f t="shared" si="13"/>
        <v>100</v>
      </c>
      <c r="V34" s="705" t="s">
        <v>18</v>
      </c>
      <c r="W34" s="706">
        <f t="shared" si="14"/>
        <v>100</v>
      </c>
      <c r="X34" s="1355"/>
      <c r="Y34" s="383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34"/>
      <c r="Q35" s="1352" t="str">
        <f t="shared" si="11"/>
        <v>建筑品质</v>
      </c>
      <c r="R35" s="705" t="s">
        <v>18</v>
      </c>
      <c r="S35" s="706">
        <f t="shared" si="12"/>
        <v>100</v>
      </c>
      <c r="T35" s="705" t="s">
        <v>18</v>
      </c>
      <c r="U35" s="706">
        <f t="shared" si="13"/>
        <v>100</v>
      </c>
      <c r="V35" s="705" t="s">
        <v>18</v>
      </c>
      <c r="W35" s="706">
        <f t="shared" si="14"/>
        <v>100</v>
      </c>
      <c r="X35" s="1355"/>
      <c r="Y35" s="3836"/>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834"/>
      <c r="Q36" s="1352" t="str">
        <f t="shared" si="11"/>
        <v>公共部分装修</v>
      </c>
      <c r="R36" s="705" t="s">
        <v>18</v>
      </c>
      <c r="S36" s="706">
        <f t="shared" si="12"/>
        <v>100</v>
      </c>
      <c r="T36" s="705" t="s">
        <v>18</v>
      </c>
      <c r="U36" s="706">
        <f t="shared" si="13"/>
        <v>100</v>
      </c>
      <c r="V36" s="705" t="s">
        <v>18</v>
      </c>
      <c r="W36" s="706">
        <f t="shared" si="14"/>
        <v>100</v>
      </c>
      <c r="X36" s="1355"/>
      <c r="Y36" s="3836"/>
      <c r="Z36" s="1356" t="str">
        <f t="shared" si="18"/>
        <v>公共部分装修</v>
      </c>
      <c r="AA36" s="1353">
        <f t="shared" si="15"/>
        <v>1</v>
      </c>
      <c r="AB36" s="1353">
        <f t="shared" si="16"/>
        <v>1</v>
      </c>
      <c r="AC36" s="1353">
        <f t="shared" si="17"/>
        <v>1</v>
      </c>
    </row>
    <row r="37" spans="1:29" s="108" customFormat="1" ht="15">
      <c r="A37" s="424"/>
      <c r="B37" s="375" t="s">
        <v>1700</v>
      </c>
      <c r="C37" s="1906">
        <f>'数据-取费表'!N6</f>
        <v>0.7</v>
      </c>
      <c r="D37" s="386">
        <v>100</v>
      </c>
      <c r="E37" s="1907">
        <f>C37</f>
        <v>0.7</v>
      </c>
      <c r="F37" s="412">
        <f>LOOKUP(E37,112:112,113:113)-LOOKUP(C37,112:112,113:113)+100</f>
        <v>100</v>
      </c>
      <c r="G37" s="1906">
        <f>C37</f>
        <v>0.7</v>
      </c>
      <c r="H37" s="386">
        <f>LOOKUP(G37,112:112,113:113)-LOOKUP(C37,112:112,113:113)+100</f>
        <v>100</v>
      </c>
      <c r="I37" s="1907">
        <f>C37</f>
        <v>0.7</v>
      </c>
      <c r="J37" s="127">
        <f>LOOKUP(I37,112:112,113:113)-LOOKUP(C37,112:112,113:113)+100</f>
        <v>100</v>
      </c>
      <c r="K37" s="377">
        <v>0.5</v>
      </c>
      <c r="L37" s="2717"/>
      <c r="M37" s="2718"/>
      <c r="N37" s="2718"/>
      <c r="O37" s="2718"/>
      <c r="P37" s="3834"/>
      <c r="Q37" s="1343" t="str">
        <f t="shared" si="11"/>
        <v>成新度</v>
      </c>
      <c r="R37" s="701" t="s">
        <v>18</v>
      </c>
      <c r="S37" s="702">
        <f t="shared" si="12"/>
        <v>100</v>
      </c>
      <c r="T37" s="701" t="s">
        <v>18</v>
      </c>
      <c r="U37" s="702">
        <f t="shared" si="13"/>
        <v>100</v>
      </c>
      <c r="V37" s="701" t="s">
        <v>18</v>
      </c>
      <c r="W37" s="702">
        <f t="shared" si="14"/>
        <v>100</v>
      </c>
      <c r="X37" s="703"/>
      <c r="Y37" s="3836"/>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834" t="s">
        <v>1695</v>
      </c>
      <c r="Q38" s="1352" t="str">
        <f t="shared" si="11"/>
        <v>物业管理</v>
      </c>
      <c r="R38" s="705" t="s">
        <v>18</v>
      </c>
      <c r="S38" s="706">
        <f t="shared" si="12"/>
        <v>100</v>
      </c>
      <c r="T38" s="705" t="s">
        <v>18</v>
      </c>
      <c r="U38" s="706">
        <f t="shared" si="13"/>
        <v>100</v>
      </c>
      <c r="V38" s="705" t="s">
        <v>18</v>
      </c>
      <c r="W38" s="706">
        <f t="shared" si="14"/>
        <v>100</v>
      </c>
      <c r="X38" s="1355"/>
      <c r="Y38" s="3836"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834"/>
      <c r="Q39" s="1352" t="str">
        <f t="shared" si="11"/>
        <v>市政基础设施</v>
      </c>
      <c r="R39" s="705" t="s">
        <v>18</v>
      </c>
      <c r="S39" s="706">
        <f t="shared" si="12"/>
        <v>100</v>
      </c>
      <c r="T39" s="705" t="s">
        <v>18</v>
      </c>
      <c r="U39" s="706">
        <f t="shared" si="13"/>
        <v>100</v>
      </c>
      <c r="V39" s="705" t="s">
        <v>18</v>
      </c>
      <c r="W39" s="706">
        <f t="shared" si="14"/>
        <v>100</v>
      </c>
      <c r="X39" s="1355"/>
      <c r="Y39" s="3836"/>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834"/>
      <c r="Q40" s="1352" t="str">
        <f t="shared" si="11"/>
        <v>房型</v>
      </c>
      <c r="R40" s="705" t="s">
        <v>18</v>
      </c>
      <c r="S40" s="706">
        <f t="shared" si="12"/>
        <v>100</v>
      </c>
      <c r="T40" s="705" t="s">
        <v>18</v>
      </c>
      <c r="U40" s="706">
        <f t="shared" si="13"/>
        <v>100</v>
      </c>
      <c r="V40" s="705" t="s">
        <v>18</v>
      </c>
      <c r="W40" s="706">
        <f t="shared" si="14"/>
        <v>100</v>
      </c>
      <c r="X40" s="1355"/>
      <c r="Y40" s="3836"/>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34"/>
      <c r="Q41" s="707" t="str">
        <f t="shared" si="11"/>
        <v>单套/主力户型建筑面积</v>
      </c>
      <c r="R41" s="708" t="s">
        <v>18</v>
      </c>
      <c r="S41" s="709">
        <f t="shared" si="12"/>
        <v>100</v>
      </c>
      <c r="T41" s="708" t="s">
        <v>18</v>
      </c>
      <c r="U41" s="709">
        <f t="shared" si="13"/>
        <v>100</v>
      </c>
      <c r="V41" s="708" t="s">
        <v>18</v>
      </c>
      <c r="W41" s="709">
        <f t="shared" si="14"/>
        <v>100</v>
      </c>
      <c r="X41" s="710"/>
      <c r="Y41" s="3836"/>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3401</v>
      </c>
      <c r="J42" s="386">
        <f>SUMIF(122:122,I42,123:123)-SUMIF(122:122,C42,123:123)+100</f>
        <v>104</v>
      </c>
      <c r="K42" s="377">
        <v>2</v>
      </c>
      <c r="L42" s="2722"/>
      <c r="M42" s="2716"/>
      <c r="N42" s="2716"/>
      <c r="O42" s="2716"/>
      <c r="P42" s="3834"/>
      <c r="Q42" s="1352" t="str">
        <f t="shared" si="11"/>
        <v>内部装修</v>
      </c>
      <c r="R42" s="705" t="s">
        <v>18</v>
      </c>
      <c r="S42" s="706">
        <f t="shared" si="12"/>
        <v>104</v>
      </c>
      <c r="T42" s="705" t="s">
        <v>18</v>
      </c>
      <c r="U42" s="706">
        <f t="shared" si="13"/>
        <v>104</v>
      </c>
      <c r="V42" s="705" t="s">
        <v>18</v>
      </c>
      <c r="W42" s="706">
        <f t="shared" si="14"/>
        <v>104</v>
      </c>
      <c r="X42" s="1355"/>
      <c r="Y42" s="3836"/>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834"/>
      <c r="Q43" s="1352" t="str">
        <f t="shared" si="11"/>
        <v>内部装修维护情况</v>
      </c>
      <c r="R43" s="705" t="s">
        <v>18</v>
      </c>
      <c r="S43" s="706">
        <f t="shared" si="12"/>
        <v>100</v>
      </c>
      <c r="T43" s="705" t="s">
        <v>18</v>
      </c>
      <c r="U43" s="706">
        <f t="shared" si="13"/>
        <v>100</v>
      </c>
      <c r="V43" s="705" t="s">
        <v>18</v>
      </c>
      <c r="W43" s="706">
        <f t="shared" si="14"/>
        <v>100</v>
      </c>
      <c r="X43" s="1355"/>
      <c r="Y43" s="3836"/>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834"/>
      <c r="Q44" s="1343">
        <f t="shared" si="11"/>
        <v>111</v>
      </c>
      <c r="R44" s="701" t="s">
        <v>18</v>
      </c>
      <c r="S44" s="702">
        <f t="shared" si="12"/>
        <v>100</v>
      </c>
      <c r="T44" s="701" t="s">
        <v>18</v>
      </c>
      <c r="U44" s="702">
        <f t="shared" si="13"/>
        <v>100</v>
      </c>
      <c r="V44" s="701" t="s">
        <v>18</v>
      </c>
      <c r="W44" s="702">
        <f t="shared" si="14"/>
        <v>100</v>
      </c>
      <c r="X44" s="703"/>
      <c r="Y44" s="38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34"/>
      <c r="Q45" s="1352">
        <f t="shared" si="11"/>
        <v>111</v>
      </c>
      <c r="R45" s="705" t="s">
        <v>18</v>
      </c>
      <c r="S45" s="706">
        <f t="shared" si="12"/>
        <v>100</v>
      </c>
      <c r="T45" s="705" t="s">
        <v>18</v>
      </c>
      <c r="U45" s="706">
        <f t="shared" si="13"/>
        <v>100</v>
      </c>
      <c r="V45" s="705" t="s">
        <v>18</v>
      </c>
      <c r="W45" s="706">
        <f t="shared" si="14"/>
        <v>100</v>
      </c>
      <c r="X45" s="1355"/>
      <c r="Y45" s="38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35"/>
      <c r="Q46" s="1352">
        <f t="shared" si="11"/>
        <v>111</v>
      </c>
      <c r="R46" s="705" t="s">
        <v>17</v>
      </c>
      <c r="S46" s="706">
        <f t="shared" si="12"/>
        <v>100</v>
      </c>
      <c r="T46" s="705" t="s">
        <v>17</v>
      </c>
      <c r="U46" s="706">
        <f t="shared" si="13"/>
        <v>100</v>
      </c>
      <c r="V46" s="705" t="s">
        <v>17</v>
      </c>
      <c r="W46" s="706">
        <f t="shared" si="14"/>
        <v>100</v>
      </c>
      <c r="X46" s="1355"/>
      <c r="Y46" s="3837"/>
      <c r="Z46" s="1356">
        <f t="shared" si="18"/>
        <v>111</v>
      </c>
      <c r="AA46" s="1353">
        <f t="shared" si="15"/>
        <v>1</v>
      </c>
      <c r="AB46" s="1353">
        <f t="shared" si="16"/>
        <v>1</v>
      </c>
      <c r="AC46" s="1353">
        <f t="shared" si="17"/>
        <v>1</v>
      </c>
    </row>
    <row r="47" spans="1:29" ht="14.4">
      <c r="A47" s="430" t="s">
        <v>1707</v>
      </c>
      <c r="B47" s="431"/>
      <c r="C47" s="1154" t="s">
        <v>16</v>
      </c>
      <c r="D47" s="1155"/>
      <c r="E47" s="1156">
        <f>Sheet1!AH7</f>
        <v>22886</v>
      </c>
      <c r="F47" s="1157"/>
      <c r="G47" s="1158">
        <f>Sheet1!AH8</f>
        <v>21866</v>
      </c>
      <c r="H47" s="1159"/>
      <c r="I47" s="3458">
        <f>Sheet1!AH9</f>
        <v>22023</v>
      </c>
      <c r="J47" s="1159"/>
      <c r="K47" s="1914"/>
      <c r="L47" s="2724"/>
      <c r="M47" s="2725"/>
      <c r="N47" s="2716"/>
      <c r="O47" s="2725"/>
      <c r="P47" s="3829" t="str">
        <f>A47</f>
        <v>成交单价（元/平方米）</v>
      </c>
      <c r="Q47" s="3829"/>
      <c r="R47" s="3830">
        <f>E47</f>
        <v>22886</v>
      </c>
      <c r="S47" s="3830"/>
      <c r="T47" s="3830">
        <f>G47</f>
        <v>21866</v>
      </c>
      <c r="U47" s="3830"/>
      <c r="V47" s="3830">
        <f>I47</f>
        <v>22023</v>
      </c>
      <c r="W47" s="3830"/>
      <c r="X47" s="690"/>
      <c r="Y47" s="712"/>
      <c r="Z47" s="690"/>
      <c r="AA47" s="690"/>
      <c r="AB47" s="690"/>
      <c r="AC47" s="690"/>
    </row>
    <row r="48" spans="1:29" ht="15" thickBot="1">
      <c r="A48" s="437" t="s">
        <v>1708</v>
      </c>
      <c r="B48" s="438"/>
      <c r="C48" s="1160">
        <f>R49</f>
        <v>21158</v>
      </c>
      <c r="D48" s="2317" t="s">
        <v>2137</v>
      </c>
      <c r="E48" s="1161">
        <f>R48</f>
        <v>21051</v>
      </c>
      <c r="F48" s="2318"/>
      <c r="G48" s="1160">
        <f>T48</f>
        <v>21131</v>
      </c>
      <c r="H48" s="2318"/>
      <c r="I48" s="1161">
        <f>V48</f>
        <v>21291</v>
      </c>
      <c r="J48" s="2318"/>
      <c r="K48" s="2319">
        <f>F48+H48+J48</f>
        <v>0</v>
      </c>
      <c r="L48" s="2724"/>
      <c r="M48" s="2725"/>
      <c r="N48" s="2725"/>
      <c r="O48" s="2725"/>
      <c r="P48" s="3829" t="str">
        <f>A48</f>
        <v>比较价值（元/平方米）</v>
      </c>
      <c r="Q48" s="3829"/>
      <c r="R48" s="3830">
        <f>IF(F1="售价",ROUND(PRODUCT(R47,AA7:AA46),0),ROUND(PRODUCT(R47,AA7:AA46),1))</f>
        <v>21051</v>
      </c>
      <c r="S48" s="3830"/>
      <c r="T48" s="3830">
        <f>IF(F1="售价",ROUND(PRODUCT(T47,AB7:AB46),0),ROUND(PRODUCT(T47,AB7:AB46),1))</f>
        <v>21131</v>
      </c>
      <c r="U48" s="3830"/>
      <c r="V48" s="3830">
        <f>IF(F1="售价",ROUND(PRODUCT(V47,AC7:AC46),0),ROUND(PRODUCT(V47,AC7:AC46),1))</f>
        <v>21291</v>
      </c>
      <c r="W48" s="3830"/>
      <c r="X48" s="690"/>
      <c r="Y48" s="690"/>
      <c r="Z48" s="690"/>
      <c r="AA48" s="690"/>
      <c r="AB48" s="690"/>
      <c r="AC48" s="690"/>
    </row>
    <row r="49" spans="1:29" ht="15" thickBot="1">
      <c r="A49" s="441" t="s">
        <v>1709</v>
      </c>
      <c r="B49" s="442"/>
      <c r="C49" s="1162">
        <f>R49</f>
        <v>21158</v>
      </c>
      <c r="D49" s="1163"/>
      <c r="E49" s="1163"/>
      <c r="F49" s="1163"/>
      <c r="G49" s="1163"/>
      <c r="H49" s="1163"/>
      <c r="I49" s="1163"/>
      <c r="J49" s="1163"/>
      <c r="K49" s="1915"/>
      <c r="L49" s="2724"/>
      <c r="M49" s="2725"/>
      <c r="N49" s="2725"/>
      <c r="O49" s="2725"/>
      <c r="P49" s="3826" t="str">
        <f>A49</f>
        <v>估价对象XX用房的比较价值（楼面单价，元/平方米）</v>
      </c>
      <c r="Q49" s="3827"/>
      <c r="R49" s="3828">
        <f>IF(F1="售价",ROUND(IF(D48="简单平均",AVERAGE(R48:V48),R48*F48+T48*H48+V48*J48),0),ROUND(IF(D48="简单平均",AVERAGE(R48:V48),R48*F48+T48*H48+V48*J48),1))</f>
        <v>21158</v>
      </c>
      <c r="S49" s="3828"/>
      <c r="T49" s="3828"/>
      <c r="U49" s="3828"/>
      <c r="V49" s="3828"/>
      <c r="W49" s="38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8.716925561731026E-2</v>
      </c>
      <c r="F52" s="449" t="str">
        <f>IF(OR(E52&gt;=0.3,E52&lt;=-0.3),"超过30%","")</f>
        <v/>
      </c>
      <c r="G52" s="448">
        <f>IF(G47&lt;G48,G48/G47-1,G47/G48-1)</f>
        <v>3.4783020207278303E-2</v>
      </c>
      <c r="H52" s="449" t="str">
        <f>IF(OR(G52&gt;=0.3,G52&lt;=-0.3),"超过30%","")</f>
        <v/>
      </c>
      <c r="I52" s="448">
        <f>IF(I47&lt;I48,I48/I47-1,I47/I48-1)</f>
        <v>3.438072424968297E-2</v>
      </c>
      <c r="J52" s="449" t="str">
        <f>IF(OR(I52&gt;=0.3,I52&lt;=-0.3),"超过30%","")</f>
        <v/>
      </c>
      <c r="K52" s="2730"/>
      <c r="L52" s="2726"/>
      <c r="M52" s="2725"/>
      <c r="N52" s="2725"/>
      <c r="O52" s="2725"/>
    </row>
    <row r="53" spans="1:29" ht="13.5" customHeight="1">
      <c r="A53" s="2725"/>
      <c r="B53" s="2725"/>
      <c r="C53" s="446" t="s">
        <v>1711</v>
      </c>
      <c r="D53" s="450"/>
      <c r="E53" s="448">
        <f>IF(E48&lt;G48,G48/E48-1,E48/G48-1)</f>
        <v>3.800294522825487E-3</v>
      </c>
      <c r="F53" s="449" t="str">
        <f>IF(OR(E53&gt;=0.2,E53&lt;=-0.2),"超过20%","")</f>
        <v/>
      </c>
      <c r="G53" s="448">
        <f>IF(G48&lt;I48,I48/G48-1,G48/I48-1)</f>
        <v>7.5718139226728098E-3</v>
      </c>
      <c r="H53" s="449" t="str">
        <f>IF(OR(G53&gt;=0.2,G53&lt;=-0.2),"超过20%","")</f>
        <v/>
      </c>
      <c r="I53" s="448">
        <f>IF(I48&lt;E48,E48/I48-1,I48/E48-1)</f>
        <v>1.1400883568476461E-2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4.6647763651330942E-2</v>
      </c>
      <c r="F54" s="449" t="str">
        <f>IF(OR(E54&gt;=0.3,E54&lt;=-0.3),"超过30%","")</f>
        <v/>
      </c>
      <c r="G54" s="448">
        <f>IF(G47&lt;I47,I47/G47-1,G47/I47-1)</f>
        <v>7.1800969541755411E-3</v>
      </c>
      <c r="H54" s="449" t="str">
        <f>IF(OR(G54&gt;=0.3,G54&lt;=-0.3),"超过30%","")</f>
        <v/>
      </c>
      <c r="I54" s="448">
        <f>IF(I47&lt;E47,E47/I47-1,I47/E47-1)</f>
        <v>3.9186305226354357E-2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2015-4</v>
      </c>
      <c r="D58" s="1185">
        <f>EDATE(C58,-1)</f>
        <v>42064</v>
      </c>
      <c r="E58" s="1185">
        <f>EDATE(D58,-1)</f>
        <v>42036</v>
      </c>
      <c r="F58" s="1185">
        <f t="shared" ref="F58:O58" si="19">EDATE(E58,-1)</f>
        <v>42005</v>
      </c>
      <c r="G58" s="1185">
        <f t="shared" si="19"/>
        <v>41974</v>
      </c>
      <c r="H58" s="1185">
        <f t="shared" si="19"/>
        <v>41944</v>
      </c>
      <c r="I58" s="1185">
        <f t="shared" si="19"/>
        <v>41913</v>
      </c>
      <c r="J58" s="1185">
        <f t="shared" si="19"/>
        <v>41883</v>
      </c>
      <c r="K58" s="1185">
        <f t="shared" si="19"/>
        <v>41852</v>
      </c>
      <c r="L58" s="1185">
        <f t="shared" si="19"/>
        <v>41821</v>
      </c>
      <c r="M58" s="1185">
        <f t="shared" si="19"/>
        <v>41791</v>
      </c>
      <c r="N58" s="1185">
        <f t="shared" si="19"/>
        <v>41760</v>
      </c>
      <c r="O58" s="1185">
        <f t="shared" si="19"/>
        <v>41730</v>
      </c>
      <c r="P58" s="1181"/>
    </row>
    <row r="59" spans="1:29" s="108" customFormat="1">
      <c r="A59" s="458"/>
      <c r="B59" s="1919"/>
      <c r="C59" s="1183">
        <v>100</v>
      </c>
      <c r="D59" s="460">
        <v>99.5</v>
      </c>
      <c r="E59" s="461">
        <f>D59</f>
        <v>99.5</v>
      </c>
      <c r="F59" s="461">
        <f>D59</f>
        <v>99.5</v>
      </c>
      <c r="G59" s="461">
        <f>F59</f>
        <v>99.5</v>
      </c>
      <c r="H59" s="461">
        <f>G59</f>
        <v>99.5</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3436</v>
      </c>
      <c r="D88" s="3451" t="s">
        <v>3437</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3/6</v>
      </c>
      <c r="E90" s="3456" t="str">
        <f>G27</f>
        <v>2/6</v>
      </c>
      <c r="F90" s="3456" t="str">
        <f>I27</f>
        <v>1/6</v>
      </c>
      <c r="G90" s="503"/>
      <c r="H90" s="504"/>
      <c r="I90" s="504"/>
      <c r="J90" s="504"/>
      <c r="K90" s="504"/>
      <c r="L90" s="505"/>
      <c r="M90" s="506"/>
      <c r="N90" s="935"/>
      <c r="O90" s="935"/>
      <c r="P90" s="1923"/>
      <c r="Q90" s="508"/>
    </row>
    <row r="91" spans="1:17" s="422" customFormat="1" ht="14.4" thickBot="1">
      <c r="A91" s="502"/>
      <c r="B91" s="492"/>
      <c r="C91" s="509">
        <v>100</v>
      </c>
      <c r="D91" s="509">
        <v>103</v>
      </c>
      <c r="E91" s="509">
        <v>100</v>
      </c>
      <c r="F91" s="509">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1737</v>
      </c>
      <c r="C105" s="3451" t="s">
        <v>3425</v>
      </c>
      <c r="D105" s="3451" t="s">
        <v>3434</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4"/>
  <sheetViews>
    <sheetView workbookViewId="0">
      <pane xSplit="12" ySplit="2" topLeftCell="R3" activePane="bottomRight" state="frozen"/>
      <selection pane="topRight" activeCell="M1" sqref="M1"/>
      <selection pane="bottomLeft" activeCell="A3" sqref="A3"/>
      <selection pane="bottomRight" activeCell="U3" sqref="U3"/>
    </sheetView>
  </sheetViews>
  <sheetFormatPr defaultRowHeight="14.4"/>
  <cols>
    <col min="1" max="1" width="18.77734375" customWidth="1"/>
    <col min="4" max="4" width="12.77734375" bestFit="1" customWidth="1"/>
    <col min="10" max="10" width="9" bestFit="1" customWidth="1"/>
    <col min="12" max="13" width="9" bestFit="1" customWidth="1"/>
    <col min="17" max="19" width="9" bestFit="1" customWidth="1"/>
    <col min="20" max="20" width="21.44140625" bestFit="1" customWidth="1"/>
    <col min="21" max="23" width="9" bestFit="1" customWidth="1"/>
    <col min="24" max="24" width="17.33203125" bestFit="1" customWidth="1"/>
    <col min="25" max="28" width="9" bestFit="1" customWidth="1"/>
    <col min="33" max="33" width="15.77734375" customWidth="1"/>
    <col min="35" max="35" width="14.6640625" bestFit="1" customWidth="1"/>
    <col min="38" max="38" width="9" bestFit="1" customWidth="1"/>
    <col min="51" max="51" width="9" bestFit="1" customWidth="1"/>
    <col min="53" max="53" width="13.5546875" bestFit="1" customWidth="1"/>
    <col min="56" max="56" width="16.5546875" customWidth="1"/>
  </cols>
  <sheetData>
    <row r="1" spans="1:67" s="3490" customFormat="1" ht="14.25" customHeight="1">
      <c r="A1" s="3473"/>
      <c r="B1" s="3474"/>
      <c r="C1" s="3475"/>
      <c r="D1" s="3475"/>
      <c r="E1" s="3475"/>
      <c r="F1" s="3475"/>
      <c r="G1" s="3475"/>
      <c r="H1" s="3475"/>
      <c r="I1" s="3475"/>
      <c r="J1" s="3475"/>
      <c r="K1" s="3476"/>
      <c r="L1" s="3476"/>
      <c r="M1" s="3476"/>
      <c r="N1" s="3477"/>
      <c r="O1" s="3478"/>
      <c r="P1" s="3477"/>
      <c r="Q1" s="3476"/>
      <c r="R1" s="3476"/>
      <c r="S1" s="3476"/>
      <c r="T1" s="3479"/>
      <c r="U1" s="3476"/>
      <c r="V1" s="3476" t="s">
        <v>3439</v>
      </c>
      <c r="W1" s="3476"/>
      <c r="X1" s="3479"/>
      <c r="Y1" s="3476"/>
      <c r="Z1" s="3476" t="s">
        <v>3440</v>
      </c>
      <c r="AA1" s="3476"/>
      <c r="AB1" s="3476"/>
      <c r="AC1" s="3477"/>
      <c r="AD1" s="3477"/>
      <c r="AE1" s="3477"/>
      <c r="AF1" s="3474"/>
      <c r="AG1" s="3474"/>
      <c r="AH1" s="3476"/>
      <c r="AI1" s="3474"/>
      <c r="AJ1" s="3480"/>
      <c r="AK1" s="3474"/>
      <c r="AL1" s="3874" t="s">
        <v>3441</v>
      </c>
      <c r="AM1" s="3874"/>
      <c r="AN1" s="3481" t="s">
        <v>3442</v>
      </c>
      <c r="AO1" s="3481" t="s">
        <v>3443</v>
      </c>
      <c r="AP1" s="3481"/>
      <c r="AQ1" s="3481"/>
      <c r="AR1" s="3482"/>
      <c r="AS1" s="3482" t="s">
        <v>3444</v>
      </c>
      <c r="AT1" s="3482"/>
      <c r="AU1" s="3483"/>
      <c r="AV1" s="3481"/>
      <c r="AW1" s="3484"/>
      <c r="AX1" s="3484"/>
      <c r="AY1" s="3485"/>
      <c r="AZ1" s="3484"/>
      <c r="BA1" s="3486"/>
      <c r="BB1" s="3484"/>
      <c r="BC1" s="3484"/>
      <c r="BD1" s="3487" t="s">
        <v>3445</v>
      </c>
      <c r="BE1" s="3488" t="s">
        <v>3446</v>
      </c>
      <c r="BF1" s="3476"/>
      <c r="BG1" s="3489"/>
      <c r="BH1" s="3489"/>
      <c r="BI1" s="3489"/>
      <c r="BJ1" s="3489"/>
      <c r="BK1" s="3483"/>
      <c r="BL1" s="3483"/>
    </row>
    <row r="2" spans="1:67" s="3501" customFormat="1" ht="15.6">
      <c r="A2" s="3491" t="s">
        <v>3447</v>
      </c>
      <c r="B2" s="3481" t="s">
        <v>3448</v>
      </c>
      <c r="C2" s="3491" t="s">
        <v>3449</v>
      </c>
      <c r="D2" s="3491" t="s">
        <v>3450</v>
      </c>
      <c r="E2" s="3491" t="s">
        <v>3451</v>
      </c>
      <c r="F2" s="3491" t="s">
        <v>3452</v>
      </c>
      <c r="G2" s="3491" t="s">
        <v>3453</v>
      </c>
      <c r="H2" s="3491" t="s">
        <v>3454</v>
      </c>
      <c r="I2" s="3491" t="s">
        <v>3455</v>
      </c>
      <c r="J2" s="3491" t="s">
        <v>3456</v>
      </c>
      <c r="K2" s="3481" t="s">
        <v>3457</v>
      </c>
      <c r="L2" s="3492" t="s">
        <v>3458</v>
      </c>
      <c r="M2" s="3492" t="s">
        <v>3459</v>
      </c>
      <c r="N2" s="3481" t="s">
        <v>3460</v>
      </c>
      <c r="O2" s="3481" t="s">
        <v>3461</v>
      </c>
      <c r="P2" s="3481" t="s">
        <v>3462</v>
      </c>
      <c r="Q2" s="3492" t="s">
        <v>3463</v>
      </c>
      <c r="R2" s="3492" t="s">
        <v>3464</v>
      </c>
      <c r="S2" s="3492" t="s">
        <v>3465</v>
      </c>
      <c r="T2" s="3493" t="s">
        <v>3466</v>
      </c>
      <c r="U2" s="3492" t="s">
        <v>3467</v>
      </c>
      <c r="V2" s="3492" t="s">
        <v>3468</v>
      </c>
      <c r="W2" s="3492" t="s">
        <v>3469</v>
      </c>
      <c r="X2" s="3493" t="s">
        <v>3470</v>
      </c>
      <c r="Y2" s="3492" t="s">
        <v>3471</v>
      </c>
      <c r="Z2" s="3492" t="s">
        <v>3472</v>
      </c>
      <c r="AA2" s="3492" t="s">
        <v>3473</v>
      </c>
      <c r="AB2" s="3492" t="s">
        <v>3474</v>
      </c>
      <c r="AC2" s="3481" t="s">
        <v>3475</v>
      </c>
      <c r="AD2" s="3481" t="s">
        <v>3476</v>
      </c>
      <c r="AE2" s="3481" t="s">
        <v>3477</v>
      </c>
      <c r="AF2" s="3481" t="s">
        <v>3478</v>
      </c>
      <c r="AG2" s="3481" t="s">
        <v>3479</v>
      </c>
      <c r="AH2" s="3481" t="s">
        <v>3480</v>
      </c>
      <c r="AI2" s="3481" t="s">
        <v>3481</v>
      </c>
      <c r="AJ2" s="3494" t="s">
        <v>3482</v>
      </c>
      <c r="AK2" s="3481" t="s">
        <v>3483</v>
      </c>
      <c r="AL2" s="3495" t="s">
        <v>3484</v>
      </c>
      <c r="AM2" s="3481" t="s">
        <v>3485</v>
      </c>
      <c r="AN2" s="3481" t="s">
        <v>3486</v>
      </c>
      <c r="AO2" s="3481" t="s">
        <v>3487</v>
      </c>
      <c r="AP2" s="3481" t="s">
        <v>3488</v>
      </c>
      <c r="AQ2" s="3481" t="s">
        <v>3489</v>
      </c>
      <c r="AR2" s="3482" t="s">
        <v>3490</v>
      </c>
      <c r="AS2" s="3482" t="s">
        <v>3491</v>
      </c>
      <c r="AT2" s="3482" t="s">
        <v>3492</v>
      </c>
      <c r="AU2" s="3483" t="s">
        <v>3493</v>
      </c>
      <c r="AV2" s="3496" t="s">
        <v>3494</v>
      </c>
      <c r="AW2" s="3497" t="s">
        <v>3495</v>
      </c>
      <c r="AX2" s="3498" t="s">
        <v>3496</v>
      </c>
      <c r="AY2" s="3499" t="s">
        <v>3497</v>
      </c>
      <c r="AZ2" s="3497" t="s">
        <v>3498</v>
      </c>
      <c r="BA2" s="3500" t="s">
        <v>3499</v>
      </c>
      <c r="BB2" s="3500" t="s">
        <v>3500</v>
      </c>
      <c r="BC2" s="3500" t="s">
        <v>3501</v>
      </c>
      <c r="BD2" s="3487" t="s">
        <v>3502</v>
      </c>
      <c r="BE2" s="3488" t="s">
        <v>3503</v>
      </c>
      <c r="BF2" s="3483" t="s">
        <v>3504</v>
      </c>
      <c r="BG2" s="3489" t="s">
        <v>3505</v>
      </c>
      <c r="BH2" s="3489" t="s">
        <v>3506</v>
      </c>
      <c r="BI2" s="3489" t="s">
        <v>3507</v>
      </c>
      <c r="BJ2" s="3489"/>
      <c r="BK2" s="3483" t="s">
        <v>3508</v>
      </c>
      <c r="BL2" s="3483" t="s">
        <v>3509</v>
      </c>
    </row>
    <row r="3" spans="1:67" s="3567" customFormat="1" ht="13.2">
      <c r="A3" s="3551" t="s">
        <v>3709</v>
      </c>
      <c r="B3" s="3551" t="s">
        <v>3510</v>
      </c>
      <c r="C3" s="3552" t="s">
        <v>3511</v>
      </c>
      <c r="D3" s="3551">
        <v>13621106117</v>
      </c>
      <c r="E3" s="3551" t="s">
        <v>2769</v>
      </c>
      <c r="F3" s="3551" t="s">
        <v>3512</v>
      </c>
      <c r="G3" s="3551"/>
      <c r="H3" s="3551" t="s">
        <v>3513</v>
      </c>
      <c r="I3" s="3551" t="s">
        <v>3514</v>
      </c>
      <c r="J3" s="3551">
        <v>412</v>
      </c>
      <c r="K3" s="3551" t="s">
        <v>3510</v>
      </c>
      <c r="L3" s="3553">
        <v>74.98</v>
      </c>
      <c r="M3" s="3553">
        <v>6</v>
      </c>
      <c r="N3" s="3551" t="s">
        <v>3515</v>
      </c>
      <c r="O3" s="3551"/>
      <c r="P3" s="3551" t="s">
        <v>3516</v>
      </c>
      <c r="Q3" s="3553">
        <v>1380000</v>
      </c>
      <c r="R3" s="3553">
        <v>18405</v>
      </c>
      <c r="S3" s="3554">
        <v>137.59</v>
      </c>
      <c r="T3" s="3555">
        <v>1375900</v>
      </c>
      <c r="U3" s="3553">
        <v>18351</v>
      </c>
      <c r="V3" s="3556">
        <v>0.2</v>
      </c>
      <c r="W3" s="3557">
        <v>110.07</v>
      </c>
      <c r="X3" s="3555">
        <v>1100700</v>
      </c>
      <c r="Y3" s="3553">
        <v>2015</v>
      </c>
      <c r="Z3" s="3553">
        <v>5</v>
      </c>
      <c r="AA3" s="3553">
        <v>20</v>
      </c>
      <c r="AB3" s="3553">
        <v>1500</v>
      </c>
      <c r="AC3" s="3558" t="s">
        <v>3517</v>
      </c>
      <c r="AD3" s="3552" t="s">
        <v>3518</v>
      </c>
      <c r="AE3" s="3551" t="s">
        <v>3519</v>
      </c>
      <c r="AF3" s="3551" t="s">
        <v>3520</v>
      </c>
      <c r="AG3" s="3551" t="s">
        <v>3521</v>
      </c>
      <c r="AH3" s="3551"/>
      <c r="AI3" s="3559">
        <v>42124</v>
      </c>
      <c r="AJ3" s="3551"/>
      <c r="AK3" s="3560" t="s">
        <v>3522</v>
      </c>
      <c r="AL3" s="3551">
        <v>35</v>
      </c>
      <c r="AM3" s="3551" t="s">
        <v>3523</v>
      </c>
      <c r="AN3" s="3551"/>
      <c r="AO3" s="3551"/>
      <c r="AP3" s="3551" t="s">
        <v>3524</v>
      </c>
      <c r="AQ3" s="3551" t="s">
        <v>3525</v>
      </c>
      <c r="AR3" s="3551"/>
      <c r="AS3" s="3551"/>
      <c r="AT3" s="3551"/>
      <c r="AU3" s="3551"/>
      <c r="AV3" s="3551"/>
      <c r="AW3" s="3551" t="s">
        <v>3526</v>
      </c>
      <c r="AX3" s="3551" t="s">
        <v>3527</v>
      </c>
      <c r="AY3" s="3551">
        <v>990322</v>
      </c>
      <c r="AZ3" s="3561" t="s">
        <v>3528</v>
      </c>
      <c r="BA3" s="3562">
        <v>42103</v>
      </c>
      <c r="BB3" s="3551"/>
      <c r="BC3" s="3551" t="s">
        <v>3529</v>
      </c>
      <c r="BD3" s="3563">
        <v>42131</v>
      </c>
      <c r="BE3" s="3563"/>
      <c r="BF3" s="3551"/>
      <c r="BG3" s="3551"/>
      <c r="BH3" s="3551"/>
      <c r="BI3" s="3551"/>
      <c r="BJ3" s="3551"/>
      <c r="BK3" s="3564"/>
      <c r="BL3" s="3564"/>
      <c r="BM3" s="3565" t="s">
        <v>3530</v>
      </c>
      <c r="BN3" s="3565" t="s">
        <v>3531</v>
      </c>
      <c r="BO3" s="3566"/>
    </row>
    <row r="4" spans="1:67" s="3518" customFormat="1" ht="12" customHeight="1">
      <c r="A4" s="3519" t="s">
        <v>3532</v>
      </c>
      <c r="B4" s="3519" t="s">
        <v>3533</v>
      </c>
      <c r="C4" s="3503" t="s">
        <v>3534</v>
      </c>
      <c r="D4" s="3502">
        <v>13552627562</v>
      </c>
      <c r="E4" s="3502" t="s">
        <v>3535</v>
      </c>
      <c r="F4" s="3502" t="s">
        <v>3536</v>
      </c>
      <c r="G4" s="3502"/>
      <c r="H4" s="3502" t="s">
        <v>3537</v>
      </c>
      <c r="I4" s="3502" t="s">
        <v>3538</v>
      </c>
      <c r="J4" s="3520" t="s">
        <v>3539</v>
      </c>
      <c r="K4" s="3519" t="s">
        <v>3533</v>
      </c>
      <c r="L4" s="3504">
        <v>58.58</v>
      </c>
      <c r="M4" s="3520">
        <v>2</v>
      </c>
      <c r="N4" s="3502" t="s">
        <v>3540</v>
      </c>
      <c r="O4" s="3502"/>
      <c r="P4" s="3502" t="s">
        <v>3541</v>
      </c>
      <c r="Q4" s="3504">
        <v>1000000</v>
      </c>
      <c r="R4" s="3504">
        <v>17071</v>
      </c>
      <c r="S4" s="3504">
        <v>110.72</v>
      </c>
      <c r="T4" s="3506">
        <v>1107200</v>
      </c>
      <c r="U4" s="3504">
        <v>18902</v>
      </c>
      <c r="V4" s="3507">
        <v>0.2</v>
      </c>
      <c r="W4" s="3508">
        <v>88.57</v>
      </c>
      <c r="X4" s="3506">
        <v>885699.99999999988</v>
      </c>
      <c r="Y4" s="3504">
        <v>2015</v>
      </c>
      <c r="Z4" s="3504">
        <v>1</v>
      </c>
      <c r="AA4" s="3504">
        <v>13</v>
      </c>
      <c r="AB4" s="3504">
        <v>1500</v>
      </c>
      <c r="AC4" s="3502" t="s">
        <v>3542</v>
      </c>
      <c r="AD4" s="3503" t="s">
        <v>3543</v>
      </c>
      <c r="AE4" s="3502" t="s">
        <v>3544</v>
      </c>
      <c r="AF4" s="3502" t="s">
        <v>3545</v>
      </c>
      <c r="AG4" s="3502" t="s">
        <v>3546</v>
      </c>
      <c r="AH4" s="3502"/>
      <c r="AI4" s="3510">
        <v>41996</v>
      </c>
      <c r="AJ4" s="3521"/>
      <c r="AK4" s="3522" t="s">
        <v>3547</v>
      </c>
      <c r="AL4" s="3502">
        <v>20</v>
      </c>
      <c r="AM4" s="3502" t="s">
        <v>3548</v>
      </c>
      <c r="AN4" s="3502"/>
      <c r="AO4" s="3502"/>
      <c r="AP4" s="3502" t="s">
        <v>3549</v>
      </c>
      <c r="AQ4" s="3502" t="s">
        <v>3550</v>
      </c>
      <c r="AR4" s="3502">
        <v>2015</v>
      </c>
      <c r="AS4" s="3502">
        <v>1</v>
      </c>
      <c r="AT4" s="3502">
        <v>13</v>
      </c>
      <c r="AU4" s="3502"/>
      <c r="AV4" s="3502"/>
      <c r="AW4" s="3502" t="s">
        <v>3551</v>
      </c>
      <c r="AX4" s="3503" t="s">
        <v>3552</v>
      </c>
      <c r="AY4" s="3512" t="s">
        <v>3553</v>
      </c>
      <c r="AZ4" s="3502" t="s">
        <v>3554</v>
      </c>
      <c r="BA4" s="3514">
        <v>41968</v>
      </c>
      <c r="BB4" s="3502"/>
      <c r="BC4" s="3502" t="s">
        <v>3549</v>
      </c>
      <c r="BD4" s="3510">
        <v>41998</v>
      </c>
      <c r="BE4" s="3514"/>
      <c r="BF4" s="3502" t="s">
        <v>3545</v>
      </c>
      <c r="BG4" s="3502" t="s">
        <v>3555</v>
      </c>
      <c r="BH4" s="3502" t="s">
        <v>3556</v>
      </c>
      <c r="BI4" s="3502" t="s">
        <v>3557</v>
      </c>
      <c r="BJ4" s="3502"/>
      <c r="BK4" s="3515"/>
      <c r="BL4" s="3515"/>
      <c r="BM4" s="3516" t="s">
        <v>3558</v>
      </c>
      <c r="BN4" s="3516" t="s">
        <v>3531</v>
      </c>
    </row>
    <row r="5" spans="1:67" s="3517" customFormat="1" ht="12" customHeight="1">
      <c r="A5" s="3523" t="s">
        <v>3559</v>
      </c>
      <c r="B5" s="3524" t="s">
        <v>3560</v>
      </c>
      <c r="C5" s="3525" t="s">
        <v>3561</v>
      </c>
      <c r="D5" s="3526" t="s">
        <v>3562</v>
      </c>
      <c r="E5" s="3524" t="s">
        <v>3535</v>
      </c>
      <c r="F5" s="3524" t="s">
        <v>3563</v>
      </c>
      <c r="G5" s="3524"/>
      <c r="H5" s="3524" t="s">
        <v>3564</v>
      </c>
      <c r="I5" s="3524" t="s">
        <v>3565</v>
      </c>
      <c r="J5" s="3527">
        <v>602</v>
      </c>
      <c r="K5" s="3524" t="s">
        <v>3566</v>
      </c>
      <c r="L5" s="3528">
        <v>84.94</v>
      </c>
      <c r="M5" s="3528">
        <v>6</v>
      </c>
      <c r="N5" s="3519" t="s">
        <v>3567</v>
      </c>
      <c r="O5" s="3524"/>
      <c r="P5" s="3524" t="s">
        <v>3541</v>
      </c>
      <c r="Q5" s="3528">
        <v>1000000</v>
      </c>
      <c r="R5" s="3528">
        <v>11773</v>
      </c>
      <c r="S5" s="3529">
        <v>140.16999999999999</v>
      </c>
      <c r="T5" s="3530">
        <v>1401699.9999999998</v>
      </c>
      <c r="U5" s="3528">
        <v>16503</v>
      </c>
      <c r="V5" s="3531">
        <v>0.2</v>
      </c>
      <c r="W5" s="3532">
        <v>112.13</v>
      </c>
      <c r="X5" s="3530">
        <v>1121300</v>
      </c>
      <c r="Y5" s="3528">
        <v>2015</v>
      </c>
      <c r="Z5" s="3528">
        <v>1</v>
      </c>
      <c r="AA5" s="3528">
        <v>4</v>
      </c>
      <c r="AB5" s="3504">
        <v>1500</v>
      </c>
      <c r="AC5" s="3524" t="s">
        <v>3542</v>
      </c>
      <c r="AD5" s="3533" t="s">
        <v>3568</v>
      </c>
      <c r="AE5" s="3524" t="s">
        <v>3569</v>
      </c>
      <c r="AF5" s="3524" t="s">
        <v>3520</v>
      </c>
      <c r="AG5" s="3524" t="s">
        <v>3521</v>
      </c>
      <c r="AH5" s="3524"/>
      <c r="AI5" s="3534">
        <v>41978</v>
      </c>
      <c r="AJ5" s="3534"/>
      <c r="AK5" s="3502" t="s">
        <v>3570</v>
      </c>
      <c r="AL5" s="3524">
        <v>32</v>
      </c>
      <c r="AM5" s="3502" t="s">
        <v>3571</v>
      </c>
      <c r="AN5" s="3524"/>
      <c r="AO5" s="3524"/>
      <c r="AP5" s="3524" t="s">
        <v>3572</v>
      </c>
      <c r="AQ5" s="3524" t="s">
        <v>3550</v>
      </c>
      <c r="AR5" s="3524">
        <v>2015</v>
      </c>
      <c r="AS5" s="3524">
        <v>1</v>
      </c>
      <c r="AT5" s="3524">
        <v>4</v>
      </c>
      <c r="AU5" s="3524"/>
      <c r="AV5" s="3524"/>
      <c r="AW5" s="3524" t="s">
        <v>3573</v>
      </c>
      <c r="AX5" s="3524" t="s">
        <v>3552</v>
      </c>
      <c r="AY5" s="3525" t="s">
        <v>3574</v>
      </c>
      <c r="AZ5" s="3524" t="s">
        <v>3575</v>
      </c>
      <c r="BA5" s="3534">
        <v>41969</v>
      </c>
      <c r="BB5" s="3524"/>
      <c r="BC5" s="3524" t="s">
        <v>3572</v>
      </c>
      <c r="BD5" s="3513">
        <v>41989</v>
      </c>
      <c r="BE5" s="3513"/>
      <c r="BF5" s="3524" t="s">
        <v>3520</v>
      </c>
      <c r="BG5" s="3535" t="s">
        <v>3576</v>
      </c>
      <c r="BH5" s="3535" t="s">
        <v>3577</v>
      </c>
      <c r="BI5" s="3535" t="s">
        <v>3578</v>
      </c>
      <c r="BJ5" s="3535"/>
      <c r="BK5" s="3535"/>
      <c r="BL5" s="3535"/>
      <c r="BM5" s="3516" t="s">
        <v>3558</v>
      </c>
      <c r="BN5" s="3516" t="s">
        <v>3531</v>
      </c>
    </row>
    <row r="6" spans="1:67" s="3490" customFormat="1" ht="13.2">
      <c r="A6" s="3502" t="s">
        <v>3579</v>
      </c>
      <c r="B6" s="3502" t="s">
        <v>3580</v>
      </c>
      <c r="C6" s="3503" t="s">
        <v>3581</v>
      </c>
      <c r="D6" s="3503" t="s">
        <v>3582</v>
      </c>
      <c r="E6" s="3502" t="s">
        <v>3535</v>
      </c>
      <c r="F6" s="3502" t="s">
        <v>3512</v>
      </c>
      <c r="G6" s="3502"/>
      <c r="H6" s="3502" t="s">
        <v>3583</v>
      </c>
      <c r="I6" s="3502" t="s">
        <v>3584</v>
      </c>
      <c r="J6" s="3536" t="s">
        <v>438</v>
      </c>
      <c r="K6" s="3502" t="s">
        <v>3580</v>
      </c>
      <c r="L6" s="3504">
        <v>54.42</v>
      </c>
      <c r="M6" s="3504">
        <v>2</v>
      </c>
      <c r="N6" s="3502" t="s">
        <v>3567</v>
      </c>
      <c r="O6" s="3502"/>
      <c r="P6" s="3502" t="s">
        <v>3585</v>
      </c>
      <c r="Q6" s="3537">
        <v>880000</v>
      </c>
      <c r="R6" s="3504">
        <v>16171</v>
      </c>
      <c r="S6" s="3505">
        <v>98.17</v>
      </c>
      <c r="T6" s="3506">
        <v>981700</v>
      </c>
      <c r="U6" s="3504">
        <v>18040</v>
      </c>
      <c r="V6" s="3507">
        <v>0.2</v>
      </c>
      <c r="W6" s="3508">
        <v>78.53</v>
      </c>
      <c r="X6" s="3506">
        <v>785300</v>
      </c>
      <c r="Y6" s="3504">
        <v>2015</v>
      </c>
      <c r="Z6" s="3504">
        <v>1</v>
      </c>
      <c r="AA6" s="3504">
        <v>8</v>
      </c>
      <c r="AB6" s="3504">
        <v>1500</v>
      </c>
      <c r="AC6" s="3502" t="s">
        <v>3586</v>
      </c>
      <c r="AD6" s="3533" t="s">
        <v>3587</v>
      </c>
      <c r="AE6" s="3515" t="s">
        <v>3544</v>
      </c>
      <c r="AF6" s="3502" t="s">
        <v>3545</v>
      </c>
      <c r="AG6" s="3502" t="s">
        <v>3521</v>
      </c>
      <c r="AH6" s="3538"/>
      <c r="AI6" s="3514">
        <v>41974</v>
      </c>
      <c r="AJ6" s="3539"/>
      <c r="AK6" s="3502" t="s">
        <v>3570</v>
      </c>
      <c r="AL6" s="3515">
        <v>28</v>
      </c>
      <c r="AM6" s="3502" t="s">
        <v>3588</v>
      </c>
      <c r="AN6" s="3540"/>
      <c r="AO6" s="3515"/>
      <c r="AP6" s="3502" t="s">
        <v>3549</v>
      </c>
      <c r="AQ6" s="3502" t="s">
        <v>3589</v>
      </c>
      <c r="AR6" s="3515">
        <v>2015</v>
      </c>
      <c r="AS6" s="3515">
        <v>1</v>
      </c>
      <c r="AT6" s="3515">
        <v>8</v>
      </c>
      <c r="AU6" s="3515"/>
      <c r="AV6" s="3515"/>
      <c r="AW6" s="3502" t="s">
        <v>3551</v>
      </c>
      <c r="AX6" s="3515" t="s">
        <v>3590</v>
      </c>
      <c r="AY6" s="3541" t="s">
        <v>3591</v>
      </c>
      <c r="AZ6" s="3502" t="s">
        <v>3592</v>
      </c>
      <c r="BA6" s="3542">
        <v>41970</v>
      </c>
      <c r="BB6" s="3543"/>
      <c r="BC6" s="3502" t="s">
        <v>3549</v>
      </c>
      <c r="BD6" s="3542">
        <v>41989</v>
      </c>
      <c r="BE6" s="3542"/>
      <c r="BF6" s="3502" t="s">
        <v>3545</v>
      </c>
      <c r="BG6" s="3515" t="s">
        <v>3593</v>
      </c>
      <c r="BH6" s="3515" t="s">
        <v>3556</v>
      </c>
      <c r="BI6" s="3515" t="s">
        <v>3557</v>
      </c>
      <c r="BJ6" s="3515"/>
      <c r="BK6" s="3515"/>
      <c r="BL6" s="3515"/>
      <c r="BM6" s="3516" t="s">
        <v>3558</v>
      </c>
      <c r="BN6" s="3516" t="s">
        <v>3531</v>
      </c>
    </row>
    <row r="7" spans="1:67" s="3590" customFormat="1" ht="12" customHeight="1">
      <c r="A7" s="3568" t="s">
        <v>3594</v>
      </c>
      <c r="B7" s="3569" t="s">
        <v>3595</v>
      </c>
      <c r="C7" s="3570" t="s">
        <v>3596</v>
      </c>
      <c r="D7" s="3569">
        <v>13683272043</v>
      </c>
      <c r="E7" s="3569" t="s">
        <v>3597</v>
      </c>
      <c r="F7" s="3569" t="s">
        <v>3599</v>
      </c>
      <c r="G7" s="3569"/>
      <c r="H7" s="3569" t="s">
        <v>3600</v>
      </c>
      <c r="I7" s="3569" t="s">
        <v>3601</v>
      </c>
      <c r="J7" s="3570" t="s">
        <v>3602</v>
      </c>
      <c r="K7" s="3569" t="s">
        <v>3595</v>
      </c>
      <c r="L7" s="3571">
        <v>58.55</v>
      </c>
      <c r="M7" s="3571">
        <v>3</v>
      </c>
      <c r="N7" s="3568" t="s">
        <v>3603</v>
      </c>
      <c r="O7" s="3569"/>
      <c r="P7" s="3569" t="s">
        <v>3604</v>
      </c>
      <c r="Q7" s="3572">
        <v>590000</v>
      </c>
      <c r="R7" s="3571">
        <v>10077</v>
      </c>
      <c r="S7" s="3573">
        <v>115.99</v>
      </c>
      <c r="T7" s="3574">
        <v>1159900</v>
      </c>
      <c r="U7" s="3571">
        <v>19811</v>
      </c>
      <c r="V7" s="3575">
        <v>0.2</v>
      </c>
      <c r="W7" s="3576">
        <v>92.79</v>
      </c>
      <c r="X7" s="3574">
        <v>927900.00000000012</v>
      </c>
      <c r="Y7" s="3577">
        <v>2015</v>
      </c>
      <c r="Z7" s="3578">
        <v>2</v>
      </c>
      <c r="AA7" s="3578">
        <v>15</v>
      </c>
      <c r="AB7" s="3578">
        <v>1500</v>
      </c>
      <c r="AC7" s="3569" t="s">
        <v>3605</v>
      </c>
      <c r="AD7" s="3579" t="s">
        <v>3606</v>
      </c>
      <c r="AE7" s="3580" t="s">
        <v>3607</v>
      </c>
      <c r="AF7" s="3569" t="s">
        <v>3608</v>
      </c>
      <c r="AG7" s="3569" t="s">
        <v>3521</v>
      </c>
      <c r="AH7" s="3581">
        <v>22886</v>
      </c>
      <c r="AI7" s="3582">
        <v>42024</v>
      </c>
      <c r="AJ7" s="3583"/>
      <c r="AK7" s="3584" t="s">
        <v>3609</v>
      </c>
      <c r="AL7" s="3580">
        <v>19</v>
      </c>
      <c r="AM7" s="3569" t="s">
        <v>3610</v>
      </c>
      <c r="AN7" s="3580"/>
      <c r="AO7" s="3580"/>
      <c r="AP7" s="3568" t="s">
        <v>3611</v>
      </c>
      <c r="AQ7" s="3568" t="s">
        <v>3612</v>
      </c>
      <c r="AR7" s="3580"/>
      <c r="AS7" s="3580"/>
      <c r="AT7" s="3580"/>
      <c r="AU7" s="3580"/>
      <c r="AV7" s="3580"/>
      <c r="AW7" s="3580" t="s">
        <v>3613</v>
      </c>
      <c r="AX7" s="3580" t="s">
        <v>3614</v>
      </c>
      <c r="AY7" s="3585" t="s">
        <v>3615</v>
      </c>
      <c r="AZ7" s="3580" t="s">
        <v>3616</v>
      </c>
      <c r="BA7" s="3586">
        <v>42018</v>
      </c>
      <c r="BB7" s="3580"/>
      <c r="BC7" s="3569" t="s">
        <v>3611</v>
      </c>
      <c r="BD7" s="3587">
        <v>42033</v>
      </c>
      <c r="BE7" s="3587"/>
      <c r="BF7" s="3569" t="s">
        <v>3608</v>
      </c>
      <c r="BG7" s="3580" t="s">
        <v>3617</v>
      </c>
      <c r="BH7" s="3580" t="s">
        <v>3618</v>
      </c>
      <c r="BI7" s="3580" t="s">
        <v>3619</v>
      </c>
      <c r="BJ7" s="3580"/>
      <c r="BK7" s="3580"/>
      <c r="BL7" s="3580"/>
      <c r="BM7" s="3588" t="s">
        <v>3530</v>
      </c>
      <c r="BN7" s="3588" t="s">
        <v>3531</v>
      </c>
      <c r="BO7" s="3589"/>
    </row>
    <row r="8" spans="1:67" s="3607" customFormat="1" ht="12" customHeight="1">
      <c r="A8" s="3568" t="s">
        <v>3620</v>
      </c>
      <c r="B8" s="3568" t="s">
        <v>3621</v>
      </c>
      <c r="C8" s="3591" t="s">
        <v>3622</v>
      </c>
      <c r="D8" s="3591" t="s">
        <v>3623</v>
      </c>
      <c r="E8" s="3568" t="s">
        <v>2769</v>
      </c>
      <c r="F8" s="3568" t="s">
        <v>3598</v>
      </c>
      <c r="G8" s="3568"/>
      <c r="H8" s="3568" t="s">
        <v>3624</v>
      </c>
      <c r="I8" s="3568" t="s">
        <v>3625</v>
      </c>
      <c r="J8" s="3592" t="s">
        <v>3626</v>
      </c>
      <c r="K8" s="3568" t="s">
        <v>3621</v>
      </c>
      <c r="L8" s="3578">
        <v>75.459999999999994</v>
      </c>
      <c r="M8" s="3578">
        <v>2</v>
      </c>
      <c r="N8" s="3568" t="s">
        <v>3540</v>
      </c>
      <c r="O8" s="3568"/>
      <c r="P8" s="3569" t="s">
        <v>3627</v>
      </c>
      <c r="Q8" s="3593">
        <v>1440000</v>
      </c>
      <c r="R8" s="3578">
        <v>19083</v>
      </c>
      <c r="S8" s="3594">
        <v>147.30000000000001</v>
      </c>
      <c r="T8" s="3595">
        <v>1473000</v>
      </c>
      <c r="U8" s="3578">
        <v>19521</v>
      </c>
      <c r="V8" s="3596">
        <v>0.2</v>
      </c>
      <c r="W8" s="3597">
        <v>117.84</v>
      </c>
      <c r="X8" s="3595">
        <v>1178400</v>
      </c>
      <c r="Y8" s="3578">
        <v>2015</v>
      </c>
      <c r="Z8" s="3598">
        <v>1</v>
      </c>
      <c r="AA8" s="3578">
        <v>29</v>
      </c>
      <c r="AB8" s="3578">
        <v>1500</v>
      </c>
      <c r="AC8" s="3599" t="s">
        <v>3586</v>
      </c>
      <c r="AD8" s="3600" t="s">
        <v>3628</v>
      </c>
      <c r="AE8" s="3601" t="s">
        <v>3519</v>
      </c>
      <c r="AF8" s="3569" t="s">
        <v>3520</v>
      </c>
      <c r="AG8" s="3569" t="s">
        <v>3629</v>
      </c>
      <c r="AH8" s="3602">
        <v>21866</v>
      </c>
      <c r="AI8" s="3582">
        <v>42025</v>
      </c>
      <c r="AJ8" s="3583"/>
      <c r="AK8" s="3568" t="s">
        <v>3570</v>
      </c>
      <c r="AL8" s="3601">
        <v>34</v>
      </c>
      <c r="AM8" s="3568" t="s">
        <v>3630</v>
      </c>
      <c r="AN8" s="3603"/>
      <c r="AO8" s="3601"/>
      <c r="AP8" s="3569" t="s">
        <v>3572</v>
      </c>
      <c r="AQ8" s="3569" t="s">
        <v>3589</v>
      </c>
      <c r="AR8" s="3601">
        <v>2015</v>
      </c>
      <c r="AS8" s="3601">
        <v>1</v>
      </c>
      <c r="AT8" s="3601">
        <v>29</v>
      </c>
      <c r="AU8" s="3601"/>
      <c r="AV8" s="3601"/>
      <c r="AW8" s="3568" t="s">
        <v>3631</v>
      </c>
      <c r="AX8" s="3601" t="s">
        <v>3590</v>
      </c>
      <c r="AY8" s="3604" t="s">
        <v>3632</v>
      </c>
      <c r="AZ8" s="3568" t="s">
        <v>3633</v>
      </c>
      <c r="BA8" s="3605">
        <v>42023</v>
      </c>
      <c r="BB8" s="3606"/>
      <c r="BC8" s="3568" t="s">
        <v>3572</v>
      </c>
      <c r="BD8" s="3605">
        <v>42026</v>
      </c>
      <c r="BE8" s="3605"/>
      <c r="BF8" s="3568" t="s">
        <v>3520</v>
      </c>
      <c r="BG8" s="3601" t="s">
        <v>3576</v>
      </c>
      <c r="BH8" s="3601" t="s">
        <v>3577</v>
      </c>
      <c r="BI8" s="3569" t="s">
        <v>3578</v>
      </c>
      <c r="BJ8" s="3601"/>
      <c r="BK8" s="3601"/>
      <c r="BL8" s="3601"/>
      <c r="BM8" s="3588" t="s">
        <v>3558</v>
      </c>
      <c r="BN8" s="3588" t="s">
        <v>3531</v>
      </c>
    </row>
    <row r="9" spans="1:67" s="3613" customFormat="1" ht="12" customHeight="1">
      <c r="A9" s="3608" t="s">
        <v>3634</v>
      </c>
      <c r="B9" s="3569" t="s">
        <v>3635</v>
      </c>
      <c r="C9" s="3570" t="s">
        <v>3636</v>
      </c>
      <c r="D9" s="3569" t="s">
        <v>3637</v>
      </c>
      <c r="E9" s="3569" t="s">
        <v>3535</v>
      </c>
      <c r="F9" s="3569" t="s">
        <v>3598</v>
      </c>
      <c r="G9" s="3569"/>
      <c r="H9" s="3599" t="s">
        <v>3638</v>
      </c>
      <c r="I9" s="3599" t="s">
        <v>3639</v>
      </c>
      <c r="J9" s="3571" t="s">
        <v>3640</v>
      </c>
      <c r="K9" s="3569" t="s">
        <v>3635</v>
      </c>
      <c r="L9" s="3571">
        <v>56.76</v>
      </c>
      <c r="M9" s="3571">
        <v>1</v>
      </c>
      <c r="N9" s="3568" t="s">
        <v>3567</v>
      </c>
      <c r="O9" s="3569"/>
      <c r="P9" s="3569" t="s">
        <v>3541</v>
      </c>
      <c r="Q9" s="3571">
        <v>1010000</v>
      </c>
      <c r="R9" s="3571">
        <v>17794</v>
      </c>
      <c r="S9" s="3573">
        <v>107.56</v>
      </c>
      <c r="T9" s="3574">
        <v>1075600</v>
      </c>
      <c r="U9" s="3571">
        <v>18951</v>
      </c>
      <c r="V9" s="3575">
        <v>0.2</v>
      </c>
      <c r="W9" s="3576">
        <v>86.04</v>
      </c>
      <c r="X9" s="3574">
        <v>860400.00000000012</v>
      </c>
      <c r="Y9" s="3571">
        <v>2015</v>
      </c>
      <c r="Z9" s="3571">
        <v>3</v>
      </c>
      <c r="AA9" s="3571">
        <v>30</v>
      </c>
      <c r="AB9" s="3578">
        <v>1500</v>
      </c>
      <c r="AC9" s="3569" t="s">
        <v>3542</v>
      </c>
      <c r="AD9" s="3600" t="s">
        <v>3641</v>
      </c>
      <c r="AE9" s="3569" t="s">
        <v>3642</v>
      </c>
      <c r="AF9" s="3569" t="s">
        <v>3545</v>
      </c>
      <c r="AG9" s="3569" t="s">
        <v>3546</v>
      </c>
      <c r="AH9" s="3569">
        <v>22023</v>
      </c>
      <c r="AI9" s="3609">
        <v>42048</v>
      </c>
      <c r="AJ9" s="3568"/>
      <c r="AK9" s="3568" t="s">
        <v>3643</v>
      </c>
      <c r="AL9" s="3569">
        <v>22</v>
      </c>
      <c r="AM9" s="3569" t="s">
        <v>3644</v>
      </c>
      <c r="AN9" s="3569"/>
      <c r="AO9" s="3569"/>
      <c r="AP9" s="3568" t="s">
        <v>3645</v>
      </c>
      <c r="AQ9" s="3568" t="s">
        <v>3646</v>
      </c>
      <c r="AR9" s="3569">
        <v>2015</v>
      </c>
      <c r="AS9" s="3569">
        <v>3</v>
      </c>
      <c r="AT9" s="3569">
        <v>12</v>
      </c>
      <c r="AU9" s="3569" t="s">
        <v>3647</v>
      </c>
      <c r="AV9" s="3569"/>
      <c r="AW9" s="3568" t="s">
        <v>3551</v>
      </c>
      <c r="AX9" s="3570" t="s">
        <v>3552</v>
      </c>
      <c r="AY9" s="3610" t="s">
        <v>3648</v>
      </c>
      <c r="AZ9" s="3610" t="s">
        <v>3649</v>
      </c>
      <c r="BA9" s="3611">
        <v>42073</v>
      </c>
      <c r="BB9" s="3569"/>
      <c r="BC9" s="3568" t="s">
        <v>3529</v>
      </c>
      <c r="BD9" s="3612">
        <v>42080</v>
      </c>
      <c r="BE9" s="3611"/>
      <c r="BF9" s="3580" t="s">
        <v>3545</v>
      </c>
      <c r="BG9" s="3580" t="s">
        <v>3650</v>
      </c>
      <c r="BH9" s="3580" t="s">
        <v>3556</v>
      </c>
      <c r="BI9" s="3569" t="s">
        <v>3557</v>
      </c>
      <c r="BJ9" s="3569"/>
      <c r="BK9" s="3580"/>
      <c r="BL9" s="3580"/>
      <c r="BM9" s="3588" t="s">
        <v>3530</v>
      </c>
      <c r="BN9" s="3588" t="s">
        <v>3531</v>
      </c>
    </row>
    <row r="10" spans="1:67" s="3518" customFormat="1" ht="12" customHeight="1">
      <c r="A10" s="3502" t="s">
        <v>3651</v>
      </c>
      <c r="B10" s="3502" t="s">
        <v>3652</v>
      </c>
      <c r="C10" s="3502" t="s">
        <v>3653</v>
      </c>
      <c r="D10" s="3502" t="s">
        <v>3654</v>
      </c>
      <c r="E10" s="3502" t="s">
        <v>3535</v>
      </c>
      <c r="F10" s="3502" t="s">
        <v>3655</v>
      </c>
      <c r="G10" s="3502"/>
      <c r="H10" s="3502"/>
      <c r="I10" s="3502" t="s">
        <v>3656</v>
      </c>
      <c r="J10" s="3502" t="s">
        <v>3657</v>
      </c>
      <c r="K10" s="3502" t="s">
        <v>3658</v>
      </c>
      <c r="L10" s="3504">
        <v>67.97</v>
      </c>
      <c r="M10" s="3504">
        <v>4</v>
      </c>
      <c r="N10" s="3502" t="s">
        <v>3540</v>
      </c>
      <c r="O10" s="3502"/>
      <c r="P10" s="3502" t="s">
        <v>3541</v>
      </c>
      <c r="Q10" s="3504">
        <v>1300000</v>
      </c>
      <c r="R10" s="3504">
        <v>19126</v>
      </c>
      <c r="S10" s="3505">
        <v>119.09</v>
      </c>
      <c r="T10" s="3506">
        <v>1190900</v>
      </c>
      <c r="U10" s="3504">
        <v>17521</v>
      </c>
      <c r="V10" s="3507">
        <v>0.2</v>
      </c>
      <c r="W10" s="3508">
        <v>95.27</v>
      </c>
      <c r="X10" s="3506">
        <v>952700</v>
      </c>
      <c r="Y10" s="3504">
        <v>2015</v>
      </c>
      <c r="Z10" s="3544">
        <v>3</v>
      </c>
      <c r="AA10" s="3546">
        <v>12</v>
      </c>
      <c r="AB10" s="3504">
        <v>1500</v>
      </c>
      <c r="AC10" s="3509" t="s">
        <v>3542</v>
      </c>
      <c r="AD10" s="3549" t="s">
        <v>3659</v>
      </c>
      <c r="AE10" s="3502" t="s">
        <v>3642</v>
      </c>
      <c r="AF10" s="3502" t="s">
        <v>3545</v>
      </c>
      <c r="AG10" s="3502" t="s">
        <v>3546</v>
      </c>
      <c r="AH10" s="3502"/>
      <c r="AI10" s="3510">
        <v>42051</v>
      </c>
      <c r="AJ10" s="3502"/>
      <c r="AK10" s="3545" t="s">
        <v>3660</v>
      </c>
      <c r="AL10" s="3502">
        <v>30</v>
      </c>
      <c r="AM10" s="3502" t="s">
        <v>3661</v>
      </c>
      <c r="AN10" s="3502"/>
      <c r="AO10" s="3502"/>
      <c r="AP10" s="3502" t="s">
        <v>3549</v>
      </c>
      <c r="AQ10" s="3535" t="s">
        <v>3589</v>
      </c>
      <c r="AR10" s="3502">
        <v>2015</v>
      </c>
      <c r="AS10" s="3502">
        <v>3</v>
      </c>
      <c r="AT10" s="3502">
        <v>12</v>
      </c>
      <c r="AU10" s="3502"/>
      <c r="AV10" s="3502"/>
      <c r="AW10" s="3502" t="s">
        <v>3551</v>
      </c>
      <c r="AX10" s="3502" t="s">
        <v>3552</v>
      </c>
      <c r="AY10" s="3502" t="s">
        <v>3662</v>
      </c>
      <c r="AZ10" s="3502" t="s">
        <v>3663</v>
      </c>
      <c r="BA10" s="3514">
        <v>42048</v>
      </c>
      <c r="BB10" s="3502"/>
      <c r="BC10" s="3502" t="s">
        <v>3572</v>
      </c>
      <c r="BD10" s="3514">
        <v>42061</v>
      </c>
      <c r="BE10" s="3514"/>
      <c r="BF10" s="3502" t="s">
        <v>3520</v>
      </c>
      <c r="BG10" s="3502"/>
      <c r="BH10" s="3502"/>
      <c r="BI10" s="3502"/>
      <c r="BJ10" s="3502"/>
      <c r="BK10" s="3515"/>
      <c r="BL10" s="3515"/>
      <c r="BM10" s="3516" t="s">
        <v>3558</v>
      </c>
      <c r="BN10" s="3516" t="s">
        <v>3531</v>
      </c>
      <c r="BO10" s="3517"/>
    </row>
    <row r="11" spans="1:67" s="3517" customFormat="1" ht="12" customHeight="1">
      <c r="A11" s="3547" t="s">
        <v>3664</v>
      </c>
      <c r="B11" s="3524" t="s">
        <v>3665</v>
      </c>
      <c r="C11" s="3525" t="s">
        <v>3666</v>
      </c>
      <c r="D11" s="3524">
        <v>13811978002</v>
      </c>
      <c r="E11" s="3524" t="s">
        <v>3535</v>
      </c>
      <c r="F11" s="3524" t="s">
        <v>3598</v>
      </c>
      <c r="G11" s="3524"/>
      <c r="H11" s="3523" t="s">
        <v>3667</v>
      </c>
      <c r="I11" s="3523" t="s">
        <v>3668</v>
      </c>
      <c r="J11" s="3528">
        <v>9</v>
      </c>
      <c r="K11" s="3524" t="s">
        <v>3669</v>
      </c>
      <c r="L11" s="3528">
        <v>53.59</v>
      </c>
      <c r="M11" s="3528" t="s">
        <v>3670</v>
      </c>
      <c r="N11" s="3502" t="s">
        <v>3540</v>
      </c>
      <c r="O11" s="3524"/>
      <c r="P11" s="3524" t="s">
        <v>3627</v>
      </c>
      <c r="Q11" s="3528">
        <v>1000000</v>
      </c>
      <c r="R11" s="3528">
        <v>18660</v>
      </c>
      <c r="S11" s="3529">
        <v>98.92</v>
      </c>
      <c r="T11" s="3530">
        <v>989200</v>
      </c>
      <c r="U11" s="3528">
        <v>18459</v>
      </c>
      <c r="V11" s="3531">
        <v>0.2</v>
      </c>
      <c r="W11" s="3532">
        <v>79.13</v>
      </c>
      <c r="X11" s="3530">
        <v>791300</v>
      </c>
      <c r="Y11" s="3528">
        <v>2015</v>
      </c>
      <c r="Z11" s="3528">
        <v>3</v>
      </c>
      <c r="AA11" s="3504">
        <v>18</v>
      </c>
      <c r="AB11" s="3504">
        <v>1500</v>
      </c>
      <c r="AC11" s="3524" t="s">
        <v>3586</v>
      </c>
      <c r="AD11" s="3525" t="s">
        <v>3671</v>
      </c>
      <c r="AE11" s="3524" t="s">
        <v>3519</v>
      </c>
      <c r="AF11" s="3524" t="s">
        <v>3520</v>
      </c>
      <c r="AG11" s="3524" t="s">
        <v>3629</v>
      </c>
      <c r="AH11" s="3524"/>
      <c r="AI11" s="3514">
        <v>42067</v>
      </c>
      <c r="AJ11" s="3502"/>
      <c r="AK11" s="3545" t="s">
        <v>3643</v>
      </c>
      <c r="AL11" s="3524">
        <v>16</v>
      </c>
      <c r="AM11" s="3524" t="s">
        <v>3672</v>
      </c>
      <c r="AN11" s="3524"/>
      <c r="AO11" s="3524"/>
      <c r="AP11" s="3502" t="s">
        <v>3673</v>
      </c>
      <c r="AQ11" s="3502" t="s">
        <v>3646</v>
      </c>
      <c r="AR11" s="3524"/>
      <c r="AS11" s="3524"/>
      <c r="AT11" s="3524"/>
      <c r="AU11" s="3524"/>
      <c r="AV11" s="3524"/>
      <c r="AW11" s="3524" t="s">
        <v>3551</v>
      </c>
      <c r="AX11" s="3525" t="s">
        <v>3552</v>
      </c>
      <c r="AY11" s="3548">
        <v>967268</v>
      </c>
      <c r="AZ11" s="3548" t="s">
        <v>3669</v>
      </c>
      <c r="BA11" s="3513">
        <v>42065</v>
      </c>
      <c r="BB11" s="3524"/>
      <c r="BC11" s="3515" t="s">
        <v>3674</v>
      </c>
      <c r="BD11" s="3534">
        <v>42073</v>
      </c>
      <c r="BE11" s="3513"/>
      <c r="BF11" s="3524" t="s">
        <v>3520</v>
      </c>
      <c r="BG11" s="3524"/>
      <c r="BH11" s="3524" t="s">
        <v>3577</v>
      </c>
      <c r="BI11" s="3524" t="s">
        <v>3557</v>
      </c>
      <c r="BJ11" s="3524"/>
      <c r="BK11" s="3535"/>
      <c r="BL11" s="3535"/>
      <c r="BM11" s="3516" t="s">
        <v>3675</v>
      </c>
      <c r="BN11" s="3516" t="s">
        <v>3531</v>
      </c>
    </row>
    <row r="12" spans="1:67" s="3518" customFormat="1" ht="12" customHeight="1">
      <c r="A12" s="3502" t="s">
        <v>3676</v>
      </c>
      <c r="B12" s="3502" t="s">
        <v>3677</v>
      </c>
      <c r="C12" s="3503" t="s">
        <v>3678</v>
      </c>
      <c r="D12" s="3502" t="s">
        <v>3679</v>
      </c>
      <c r="E12" s="3502" t="s">
        <v>2769</v>
      </c>
      <c r="F12" s="3502" t="s">
        <v>3680</v>
      </c>
      <c r="G12" s="3502"/>
      <c r="H12" s="3502" t="s">
        <v>3681</v>
      </c>
      <c r="I12" s="3503" t="s">
        <v>3682</v>
      </c>
      <c r="J12" s="3503" t="s">
        <v>3683</v>
      </c>
      <c r="K12" s="3502" t="s">
        <v>3677</v>
      </c>
      <c r="L12" s="3504">
        <v>84.38</v>
      </c>
      <c r="M12" s="3520">
        <v>6</v>
      </c>
      <c r="N12" s="3502" t="s">
        <v>3684</v>
      </c>
      <c r="O12" s="3502"/>
      <c r="P12" s="3502" t="s">
        <v>3627</v>
      </c>
      <c r="Q12" s="3504">
        <v>1520000</v>
      </c>
      <c r="R12" s="3504">
        <v>18014</v>
      </c>
      <c r="S12" s="3505">
        <v>150.71</v>
      </c>
      <c r="T12" s="3506">
        <v>1507100</v>
      </c>
      <c r="U12" s="3504">
        <v>17861</v>
      </c>
      <c r="V12" s="3507">
        <v>0.2</v>
      </c>
      <c r="W12" s="3508">
        <v>120.56</v>
      </c>
      <c r="X12" s="3506">
        <v>1205600</v>
      </c>
      <c r="Y12" s="3504">
        <v>2015</v>
      </c>
      <c r="Z12" s="3528">
        <v>4</v>
      </c>
      <c r="AA12" s="3528">
        <v>1</v>
      </c>
      <c r="AB12" s="3504">
        <v>1500</v>
      </c>
      <c r="AC12" s="3502" t="s">
        <v>3586</v>
      </c>
      <c r="AD12" s="3549" t="s">
        <v>3685</v>
      </c>
      <c r="AE12" s="3502" t="s">
        <v>3519</v>
      </c>
      <c r="AF12" s="3502" t="s">
        <v>3520</v>
      </c>
      <c r="AG12" s="3502" t="s">
        <v>3629</v>
      </c>
      <c r="AH12" s="3502">
        <v>18014</v>
      </c>
      <c r="AI12" s="3510">
        <v>42076</v>
      </c>
      <c r="AJ12" s="3502"/>
      <c r="AK12" s="3545" t="s">
        <v>3660</v>
      </c>
      <c r="AL12" s="3502">
        <v>28</v>
      </c>
      <c r="AM12" s="3502" t="s">
        <v>3686</v>
      </c>
      <c r="AN12" s="3502"/>
      <c r="AO12" s="3502"/>
      <c r="AP12" s="3524" t="s">
        <v>3673</v>
      </c>
      <c r="AQ12" s="3524" t="s">
        <v>3687</v>
      </c>
      <c r="AR12" s="3502"/>
      <c r="AS12" s="3502"/>
      <c r="AT12" s="3502"/>
      <c r="AU12" s="3502"/>
      <c r="AV12" s="3502"/>
      <c r="AW12" s="3502" t="s">
        <v>3631</v>
      </c>
      <c r="AX12" s="3502" t="s">
        <v>3590</v>
      </c>
      <c r="AY12" s="3502" t="s">
        <v>3688</v>
      </c>
      <c r="AZ12" s="3502" t="s">
        <v>3689</v>
      </c>
      <c r="BA12" s="3514">
        <v>42073</v>
      </c>
      <c r="BB12" s="3502"/>
      <c r="BC12" s="3524" t="s">
        <v>3674</v>
      </c>
      <c r="BD12" s="3514">
        <v>42080</v>
      </c>
      <c r="BE12" s="3514"/>
      <c r="BF12" s="3502" t="s">
        <v>3545</v>
      </c>
      <c r="BG12" s="3502" t="s">
        <v>3593</v>
      </c>
      <c r="BH12" s="3502" t="s">
        <v>3577</v>
      </c>
      <c r="BI12" s="3502" t="s">
        <v>3578</v>
      </c>
      <c r="BJ12" s="3502"/>
      <c r="BK12" s="3515"/>
      <c r="BL12" s="3515"/>
      <c r="BM12" s="3516" t="s">
        <v>3675</v>
      </c>
      <c r="BN12" s="3516" t="s">
        <v>3531</v>
      </c>
    </row>
    <row r="13" spans="1:67" s="3518" customFormat="1" ht="12" customHeight="1">
      <c r="A13" s="3502" t="s">
        <v>3690</v>
      </c>
      <c r="B13" s="3502" t="s">
        <v>3691</v>
      </c>
      <c r="C13" s="3503" t="s">
        <v>3692</v>
      </c>
      <c r="D13" s="3502" t="s">
        <v>3693</v>
      </c>
      <c r="E13" s="3502" t="s">
        <v>2769</v>
      </c>
      <c r="F13" s="3502" t="s">
        <v>3598</v>
      </c>
      <c r="G13" s="3502"/>
      <c r="H13" s="3502" t="s">
        <v>3694</v>
      </c>
      <c r="I13" s="3502" t="s">
        <v>3695</v>
      </c>
      <c r="J13" s="3502">
        <v>402</v>
      </c>
      <c r="K13" s="3502" t="s">
        <v>3691</v>
      </c>
      <c r="L13" s="3550">
        <v>49.28</v>
      </c>
      <c r="M13" s="3504">
        <v>4</v>
      </c>
      <c r="N13" s="3502" t="s">
        <v>3567</v>
      </c>
      <c r="O13" s="3502"/>
      <c r="P13" s="3502" t="s">
        <v>3541</v>
      </c>
      <c r="Q13" s="3504">
        <v>715000</v>
      </c>
      <c r="R13" s="3504">
        <v>14509</v>
      </c>
      <c r="S13" s="3505">
        <v>92.25</v>
      </c>
      <c r="T13" s="3506">
        <v>922500</v>
      </c>
      <c r="U13" s="3504">
        <v>18721</v>
      </c>
      <c r="V13" s="3507">
        <v>0.2</v>
      </c>
      <c r="W13" s="3508">
        <v>73.8</v>
      </c>
      <c r="X13" s="3506">
        <v>738000</v>
      </c>
      <c r="Y13" s="3504">
        <v>2015</v>
      </c>
      <c r="Z13" s="3504">
        <v>4</v>
      </c>
      <c r="AA13" s="3504">
        <v>22</v>
      </c>
      <c r="AB13" s="3504">
        <v>1500</v>
      </c>
      <c r="AC13" s="3509" t="s">
        <v>3586</v>
      </c>
      <c r="AD13" s="3549" t="s">
        <v>3696</v>
      </c>
      <c r="AE13" s="3502" t="s">
        <v>3519</v>
      </c>
      <c r="AF13" s="3502" t="s">
        <v>3520</v>
      </c>
      <c r="AG13" s="3502" t="s">
        <v>3629</v>
      </c>
      <c r="AH13" s="3502"/>
      <c r="AI13" s="3510">
        <v>42097</v>
      </c>
      <c r="AJ13" s="3502"/>
      <c r="AK13" s="3511" t="s">
        <v>3697</v>
      </c>
      <c r="AL13" s="3502">
        <v>17</v>
      </c>
      <c r="AM13" s="3502" t="s">
        <v>3698</v>
      </c>
      <c r="AN13" s="3502"/>
      <c r="AO13" s="3502"/>
      <c r="AP13" s="3502" t="s">
        <v>3674</v>
      </c>
      <c r="AQ13" s="3502" t="s">
        <v>3687</v>
      </c>
      <c r="AR13" s="3502"/>
      <c r="AS13" s="3502"/>
      <c r="AT13" s="3502"/>
      <c r="AU13" s="3502"/>
      <c r="AV13" s="3502"/>
      <c r="AW13" s="3502" t="s">
        <v>3631</v>
      </c>
      <c r="AX13" s="3502" t="s">
        <v>3590</v>
      </c>
      <c r="AY13" s="3502">
        <v>991533</v>
      </c>
      <c r="AZ13" s="3502" t="s">
        <v>3699</v>
      </c>
      <c r="BA13" s="3510">
        <v>42107</v>
      </c>
      <c r="BB13" s="3502"/>
      <c r="BC13" s="3502" t="s">
        <v>3674</v>
      </c>
      <c r="BD13" s="3514">
        <v>42108</v>
      </c>
      <c r="BE13" s="3514"/>
      <c r="BF13" s="3502" t="s">
        <v>3520</v>
      </c>
      <c r="BG13" s="3502"/>
      <c r="BH13" s="3502" t="s">
        <v>3577</v>
      </c>
      <c r="BI13" s="3502" t="s">
        <v>3578</v>
      </c>
      <c r="BJ13" s="3502"/>
      <c r="BK13" s="3515"/>
      <c r="BL13" s="3515"/>
      <c r="BM13" s="3516" t="s">
        <v>3675</v>
      </c>
      <c r="BN13" s="3516" t="s">
        <v>3531</v>
      </c>
    </row>
    <row r="14" spans="1:67" s="3518" customFormat="1" ht="13.2">
      <c r="A14" s="3502" t="s">
        <v>3700</v>
      </c>
      <c r="B14" s="3502" t="s">
        <v>3701</v>
      </c>
      <c r="C14" s="3503" t="s">
        <v>3702</v>
      </c>
      <c r="D14" s="3502">
        <v>18710054161</v>
      </c>
      <c r="E14" s="3502" t="s">
        <v>2769</v>
      </c>
      <c r="F14" s="3502" t="s">
        <v>3703</v>
      </c>
      <c r="G14" s="3502"/>
      <c r="H14" s="3502" t="s">
        <v>3704</v>
      </c>
      <c r="I14" s="3502" t="s">
        <v>3705</v>
      </c>
      <c r="J14" s="3502">
        <v>601</v>
      </c>
      <c r="K14" s="3502" t="s">
        <v>3701</v>
      </c>
      <c r="L14" s="3504">
        <v>58.58</v>
      </c>
      <c r="M14" s="3504">
        <v>6</v>
      </c>
      <c r="N14" s="3502" t="s">
        <v>3567</v>
      </c>
      <c r="O14" s="3502"/>
      <c r="P14" s="3502" t="s">
        <v>3627</v>
      </c>
      <c r="Q14" s="3504">
        <v>1200000</v>
      </c>
      <c r="R14" s="3504">
        <v>20485</v>
      </c>
      <c r="S14" s="3505">
        <v>102.57</v>
      </c>
      <c r="T14" s="3506">
        <v>1025699.9999999999</v>
      </c>
      <c r="U14" s="3504">
        <v>17511</v>
      </c>
      <c r="V14" s="3507">
        <v>0.2</v>
      </c>
      <c r="W14" s="3508">
        <v>82.05</v>
      </c>
      <c r="X14" s="3506">
        <v>820500</v>
      </c>
      <c r="Y14" s="3504">
        <v>2015</v>
      </c>
      <c r="Z14" s="3504">
        <v>4</v>
      </c>
      <c r="AA14" s="3504">
        <v>27</v>
      </c>
      <c r="AB14" s="3504">
        <v>1500</v>
      </c>
      <c r="AC14" s="3509" t="s">
        <v>3586</v>
      </c>
      <c r="AD14" s="3503" t="s">
        <v>3706</v>
      </c>
      <c r="AE14" s="3502" t="s">
        <v>3519</v>
      </c>
      <c r="AF14" s="3502" t="s">
        <v>3520</v>
      </c>
      <c r="AG14" s="3502" t="s">
        <v>3629</v>
      </c>
      <c r="AH14" s="3502"/>
      <c r="AI14" s="3510">
        <v>42107</v>
      </c>
      <c r="AJ14" s="3502"/>
      <c r="AK14" s="3511" t="s">
        <v>3697</v>
      </c>
      <c r="AL14" s="3502">
        <v>20</v>
      </c>
      <c r="AM14" s="3502" t="s">
        <v>3707</v>
      </c>
      <c r="AN14" s="3502"/>
      <c r="AO14" s="3502"/>
      <c r="AP14" s="3502" t="s">
        <v>3529</v>
      </c>
      <c r="AQ14" s="3502" t="s">
        <v>3687</v>
      </c>
      <c r="AR14" s="3502"/>
      <c r="AS14" s="3502"/>
      <c r="AT14" s="3502"/>
      <c r="AU14" s="3502"/>
      <c r="AV14" s="3502"/>
      <c r="AW14" s="3502" t="s">
        <v>3631</v>
      </c>
      <c r="AX14" s="3502" t="s">
        <v>3590</v>
      </c>
      <c r="AY14" s="3502">
        <v>989306</v>
      </c>
      <c r="AZ14" s="3502" t="s">
        <v>3708</v>
      </c>
      <c r="BA14" s="3514">
        <v>42103</v>
      </c>
      <c r="BB14" s="3502"/>
      <c r="BC14" s="3502" t="s">
        <v>3529</v>
      </c>
      <c r="BD14" s="3514">
        <v>42110</v>
      </c>
      <c r="BE14" s="3514"/>
      <c r="BF14" s="3502"/>
      <c r="BG14" s="3502"/>
      <c r="BH14" s="3502"/>
      <c r="BI14" s="3502"/>
      <c r="BJ14" s="3502"/>
      <c r="BK14" s="3515"/>
      <c r="BL14" s="3515"/>
      <c r="BM14" s="3516" t="s">
        <v>3530</v>
      </c>
      <c r="BN14" s="3516" t="s">
        <v>3531</v>
      </c>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60"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60"/>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60"/>
      <c r="AC6" s="3843"/>
    </row>
    <row r="7" spans="1:29" s="108" customFormat="1" ht="15" thickBot="1">
      <c r="A7" s="362" t="s">
        <v>1679</v>
      </c>
      <c r="B7" s="363"/>
      <c r="C7" s="364">
        <f>'数据-取费表'!B2</f>
        <v>42103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40"/>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40"/>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40"/>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40"/>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38" t="s">
        <v>1691</v>
      </c>
      <c r="Q15" s="1352" t="str">
        <f t="shared" si="6"/>
        <v>商业繁华度</v>
      </c>
      <c r="R15" s="705" t="s">
        <v>14</v>
      </c>
      <c r="S15" s="706">
        <f t="shared" si="0"/>
        <v>100</v>
      </c>
      <c r="T15" s="705" t="s">
        <v>14</v>
      </c>
      <c r="U15" s="706">
        <f t="shared" si="1"/>
        <v>100</v>
      </c>
      <c r="V15" s="705" t="s">
        <v>14</v>
      </c>
      <c r="W15" s="706">
        <f t="shared" si="2"/>
        <v>100</v>
      </c>
      <c r="X15" s="1355"/>
      <c r="Y15" s="38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39"/>
      <c r="Q16" s="1352"/>
      <c r="R16" s="705"/>
      <c r="S16" s="706"/>
      <c r="T16" s="705"/>
      <c r="U16" s="706"/>
      <c r="V16" s="705"/>
      <c r="W16" s="706"/>
      <c r="X16" s="1355"/>
      <c r="Y16" s="38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39"/>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39"/>
      <c r="Q18" s="1352"/>
      <c r="R18" s="705"/>
      <c r="S18" s="706"/>
      <c r="T18" s="705"/>
      <c r="U18" s="706"/>
      <c r="V18" s="705"/>
      <c r="W18" s="706"/>
      <c r="X18" s="1355"/>
      <c r="Y18" s="383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39"/>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39"/>
      <c r="Q20" s="1352"/>
      <c r="R20" s="705"/>
      <c r="S20" s="706"/>
      <c r="T20" s="705"/>
      <c r="U20" s="706"/>
      <c r="V20" s="705"/>
      <c r="W20" s="706"/>
      <c r="X20" s="1355"/>
      <c r="Y20" s="383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39"/>
      <c r="Q22" s="1352"/>
      <c r="R22" s="705"/>
      <c r="S22" s="706"/>
      <c r="T22" s="705"/>
      <c r="U22" s="706"/>
      <c r="V22" s="705"/>
      <c r="W22" s="706"/>
      <c r="X22" s="1355"/>
      <c r="Y22" s="38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39"/>
      <c r="Q23" s="1352" t="str">
        <f>B23</f>
        <v>自然及人文环境</v>
      </c>
      <c r="R23" s="705" t="s">
        <v>14</v>
      </c>
      <c r="S23" s="706">
        <f>F23</f>
        <v>100</v>
      </c>
      <c r="T23" s="705" t="s">
        <v>14</v>
      </c>
      <c r="U23" s="706">
        <f>H23</f>
        <v>100</v>
      </c>
      <c r="V23" s="705" t="s">
        <v>14</v>
      </c>
      <c r="W23" s="706">
        <f>J23</f>
        <v>100</v>
      </c>
      <c r="X23" s="1355"/>
      <c r="Y23" s="38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39"/>
      <c r="Q24" s="1352"/>
      <c r="R24" s="705"/>
      <c r="S24" s="706"/>
      <c r="T24" s="705"/>
      <c r="U24" s="706"/>
      <c r="V24" s="705"/>
      <c r="W24" s="706"/>
      <c r="X24" s="1355"/>
      <c r="Y24" s="38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39"/>
      <c r="Q25" s="1352" t="str">
        <f t="shared" ref="Q25:Q46" si="11">B25</f>
        <v>临街状况</v>
      </c>
      <c r="R25" s="705" t="s">
        <v>14</v>
      </c>
      <c r="S25" s="706">
        <f>F25</f>
        <v>100</v>
      </c>
      <c r="T25" s="705" t="s">
        <v>14</v>
      </c>
      <c r="U25" s="706">
        <f>H25</f>
        <v>100</v>
      </c>
      <c r="V25" s="705" t="s">
        <v>14</v>
      </c>
      <c r="W25" s="706">
        <f>J25</f>
        <v>100</v>
      </c>
      <c r="X25" s="1355"/>
      <c r="Y25" s="38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39"/>
      <c r="Q26" s="1352" t="str">
        <f t="shared" si="11"/>
        <v>平面位置/可视性</v>
      </c>
      <c r="R26" s="705" t="s">
        <v>14</v>
      </c>
      <c r="S26" s="706">
        <f>F26</f>
        <v>100</v>
      </c>
      <c r="T26" s="705" t="s">
        <v>14</v>
      </c>
      <c r="U26" s="706">
        <f>H26</f>
        <v>100</v>
      </c>
      <c r="V26" s="705" t="s">
        <v>14</v>
      </c>
      <c r="W26" s="706">
        <f>J26</f>
        <v>100</v>
      </c>
      <c r="X26" s="1355"/>
      <c r="Y26" s="383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39"/>
      <c r="Q27" s="1343" t="str">
        <f t="shared" si="11"/>
        <v>人流量</v>
      </c>
      <c r="R27" s="701" t="s">
        <v>14</v>
      </c>
      <c r="S27" s="702">
        <f>F27</f>
        <v>100</v>
      </c>
      <c r="T27" s="701" t="s">
        <v>14</v>
      </c>
      <c r="U27" s="702">
        <f>H27</f>
        <v>100</v>
      </c>
      <c r="V27" s="701" t="s">
        <v>14</v>
      </c>
      <c r="W27" s="702">
        <f>J27</f>
        <v>100</v>
      </c>
      <c r="X27" s="703"/>
      <c r="Y27" s="38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39"/>
      <c r="Q29" s="1352">
        <f t="shared" si="11"/>
        <v>111</v>
      </c>
      <c r="R29" s="705" t="s">
        <v>14</v>
      </c>
      <c r="S29" s="706">
        <f t="shared" si="12"/>
        <v>100</v>
      </c>
      <c r="T29" s="705" t="s">
        <v>14</v>
      </c>
      <c r="U29" s="706">
        <f t="shared" si="13"/>
        <v>100</v>
      </c>
      <c r="V29" s="705" t="s">
        <v>14</v>
      </c>
      <c r="W29" s="706">
        <f t="shared" si="14"/>
        <v>100</v>
      </c>
      <c r="X29" s="1355"/>
      <c r="Y29" s="38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39"/>
      <c r="Q30" s="1352">
        <f t="shared" si="11"/>
        <v>111</v>
      </c>
      <c r="R30" s="705" t="s">
        <v>14</v>
      </c>
      <c r="S30" s="706">
        <f t="shared" si="12"/>
        <v>100</v>
      </c>
      <c r="T30" s="705" t="s">
        <v>14</v>
      </c>
      <c r="U30" s="706">
        <f t="shared" si="13"/>
        <v>100</v>
      </c>
      <c r="V30" s="705" t="s">
        <v>14</v>
      </c>
      <c r="W30" s="706">
        <f t="shared" si="14"/>
        <v>100</v>
      </c>
      <c r="X30" s="1355"/>
      <c r="Y30" s="38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39"/>
      <c r="Q31" s="1352">
        <f t="shared" si="11"/>
        <v>111</v>
      </c>
      <c r="R31" s="705" t="s">
        <v>14</v>
      </c>
      <c r="S31" s="706">
        <f t="shared" si="12"/>
        <v>100</v>
      </c>
      <c r="T31" s="705" t="s">
        <v>14</v>
      </c>
      <c r="U31" s="706">
        <f t="shared" si="13"/>
        <v>100</v>
      </c>
      <c r="V31" s="705" t="s">
        <v>14</v>
      </c>
      <c r="W31" s="706">
        <f t="shared" si="14"/>
        <v>100</v>
      </c>
      <c r="X31" s="1355"/>
      <c r="Y31" s="383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33" t="s">
        <v>1695</v>
      </c>
      <c r="Q32" s="1352" t="str">
        <f t="shared" si="11"/>
        <v>商业类型</v>
      </c>
      <c r="R32" s="705" t="s">
        <v>14</v>
      </c>
      <c r="S32" s="706">
        <f t="shared" si="12"/>
        <v>100</v>
      </c>
      <c r="T32" s="705" t="s">
        <v>14</v>
      </c>
      <c r="U32" s="706">
        <f t="shared" si="13"/>
        <v>100</v>
      </c>
      <c r="V32" s="705" t="s">
        <v>14</v>
      </c>
      <c r="W32" s="706">
        <f t="shared" si="14"/>
        <v>100</v>
      </c>
      <c r="X32" s="1355"/>
      <c r="Y32" s="38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34"/>
      <c r="Q33" s="707" t="str">
        <f t="shared" si="11"/>
        <v>项目建筑规模</v>
      </c>
      <c r="R33" s="708" t="s">
        <v>14</v>
      </c>
      <c r="S33" s="709" t="e">
        <f t="shared" si="12"/>
        <v>#N/A</v>
      </c>
      <c r="T33" s="708" t="s">
        <v>14</v>
      </c>
      <c r="U33" s="709" t="e">
        <f t="shared" si="13"/>
        <v>#N/A</v>
      </c>
      <c r="V33" s="708" t="s">
        <v>14</v>
      </c>
      <c r="W33" s="709" t="e">
        <f t="shared" si="14"/>
        <v>#N/A</v>
      </c>
      <c r="X33" s="710"/>
      <c r="Y33" s="383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34"/>
      <c r="Q34" s="1352" t="str">
        <f t="shared" si="11"/>
        <v>建筑结构</v>
      </c>
      <c r="R34" s="705" t="s">
        <v>14</v>
      </c>
      <c r="S34" s="706">
        <f t="shared" si="12"/>
        <v>100</v>
      </c>
      <c r="T34" s="705" t="s">
        <v>14</v>
      </c>
      <c r="U34" s="706">
        <f t="shared" si="13"/>
        <v>100</v>
      </c>
      <c r="V34" s="705" t="s">
        <v>14</v>
      </c>
      <c r="W34" s="706">
        <f t="shared" si="14"/>
        <v>100</v>
      </c>
      <c r="X34" s="1355"/>
      <c r="Y34" s="383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34"/>
      <c r="Q35" s="1352" t="str">
        <f t="shared" si="11"/>
        <v>公共部分装修</v>
      </c>
      <c r="R35" s="705" t="s">
        <v>14</v>
      </c>
      <c r="S35" s="706">
        <f t="shared" si="12"/>
        <v>100</v>
      </c>
      <c r="T35" s="705" t="s">
        <v>14</v>
      </c>
      <c r="U35" s="706">
        <f t="shared" si="13"/>
        <v>100</v>
      </c>
      <c r="V35" s="705" t="s">
        <v>14</v>
      </c>
      <c r="W35" s="706">
        <f t="shared" si="14"/>
        <v>100</v>
      </c>
      <c r="X35" s="1355"/>
      <c r="Y35" s="38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34"/>
      <c r="Q36" s="1352" t="str">
        <f t="shared" si="11"/>
        <v>成新度</v>
      </c>
      <c r="R36" s="705" t="s">
        <v>14</v>
      </c>
      <c r="S36" s="706" t="e">
        <f t="shared" si="12"/>
        <v>#N/A</v>
      </c>
      <c r="T36" s="705" t="s">
        <v>14</v>
      </c>
      <c r="U36" s="706" t="e">
        <f t="shared" si="13"/>
        <v>#N/A</v>
      </c>
      <c r="V36" s="705" t="s">
        <v>14</v>
      </c>
      <c r="W36" s="706" t="e">
        <f t="shared" si="14"/>
        <v>#N/A</v>
      </c>
      <c r="X36" s="1355"/>
      <c r="Y36" s="383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34"/>
      <c r="Q37" s="1343" t="str">
        <f t="shared" si="11"/>
        <v>市政基础设施</v>
      </c>
      <c r="R37" s="701" t="s">
        <v>14</v>
      </c>
      <c r="S37" s="702">
        <f t="shared" si="12"/>
        <v>100</v>
      </c>
      <c r="T37" s="701" t="s">
        <v>14</v>
      </c>
      <c r="U37" s="702">
        <f t="shared" si="13"/>
        <v>100</v>
      </c>
      <c r="V37" s="701" t="s">
        <v>14</v>
      </c>
      <c r="W37" s="702">
        <f t="shared" si="14"/>
        <v>100</v>
      </c>
      <c r="X37" s="703"/>
      <c r="Y37" s="383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34" t="s">
        <v>1695</v>
      </c>
      <c r="Q38" s="1352" t="str">
        <f t="shared" si="11"/>
        <v>业态</v>
      </c>
      <c r="R38" s="705" t="s">
        <v>14</v>
      </c>
      <c r="S38" s="706">
        <f t="shared" si="12"/>
        <v>100</v>
      </c>
      <c r="T38" s="705" t="s">
        <v>14</v>
      </c>
      <c r="U38" s="706">
        <f t="shared" si="13"/>
        <v>100</v>
      </c>
      <c r="V38" s="705" t="s">
        <v>14</v>
      </c>
      <c r="W38" s="706">
        <f t="shared" si="14"/>
        <v>100</v>
      </c>
      <c r="X38" s="1355"/>
      <c r="Y38" s="383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34"/>
      <c r="Q39" s="1352" t="str">
        <f t="shared" si="11"/>
        <v>层高</v>
      </c>
      <c r="R39" s="705" t="s">
        <v>14</v>
      </c>
      <c r="S39" s="706">
        <f t="shared" si="12"/>
        <v>100</v>
      </c>
      <c r="T39" s="705" t="s">
        <v>14</v>
      </c>
      <c r="U39" s="706">
        <f t="shared" si="13"/>
        <v>100</v>
      </c>
      <c r="V39" s="705" t="s">
        <v>14</v>
      </c>
      <c r="W39" s="706">
        <f t="shared" si="14"/>
        <v>100</v>
      </c>
      <c r="X39" s="1355"/>
      <c r="Y39" s="38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34"/>
      <c r="Q40" s="1352" t="str">
        <f t="shared" si="11"/>
        <v>单套建筑面积</v>
      </c>
      <c r="R40" s="705" t="s">
        <v>14</v>
      </c>
      <c r="S40" s="706">
        <f t="shared" si="12"/>
        <v>100</v>
      </c>
      <c r="T40" s="705" t="s">
        <v>14</v>
      </c>
      <c r="U40" s="706">
        <f t="shared" si="13"/>
        <v>100</v>
      </c>
      <c r="V40" s="705" t="s">
        <v>14</v>
      </c>
      <c r="W40" s="706">
        <f t="shared" si="14"/>
        <v>100</v>
      </c>
      <c r="X40" s="1355"/>
      <c r="Y40" s="38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34"/>
      <c r="Q41" s="707" t="str">
        <f t="shared" si="11"/>
        <v>进深比</v>
      </c>
      <c r="R41" s="708" t="s">
        <v>14</v>
      </c>
      <c r="S41" s="709">
        <f t="shared" si="12"/>
        <v>100</v>
      </c>
      <c r="T41" s="708" t="s">
        <v>14</v>
      </c>
      <c r="U41" s="709">
        <f t="shared" si="13"/>
        <v>100</v>
      </c>
      <c r="V41" s="708" t="s">
        <v>14</v>
      </c>
      <c r="W41" s="709">
        <f t="shared" si="14"/>
        <v>100</v>
      </c>
      <c r="X41" s="710"/>
      <c r="Y41" s="383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34"/>
      <c r="Q42" s="1352" t="str">
        <f t="shared" si="11"/>
        <v>内部装修</v>
      </c>
      <c r="R42" s="705" t="s">
        <v>14</v>
      </c>
      <c r="S42" s="706">
        <f t="shared" si="12"/>
        <v>100</v>
      </c>
      <c r="T42" s="705" t="s">
        <v>14</v>
      </c>
      <c r="U42" s="706">
        <f t="shared" si="13"/>
        <v>100</v>
      </c>
      <c r="V42" s="705" t="s">
        <v>14</v>
      </c>
      <c r="W42" s="706">
        <f t="shared" si="14"/>
        <v>100</v>
      </c>
      <c r="X42" s="1355"/>
      <c r="Y42" s="3836"/>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34"/>
      <c r="Q43" s="1352" t="str">
        <f t="shared" si="11"/>
        <v>内部装修维护情况</v>
      </c>
      <c r="R43" s="705" t="s">
        <v>14</v>
      </c>
      <c r="S43" s="706">
        <f t="shared" si="12"/>
        <v>100</v>
      </c>
      <c r="T43" s="705" t="s">
        <v>14</v>
      </c>
      <c r="U43" s="706">
        <f t="shared" si="13"/>
        <v>100</v>
      </c>
      <c r="V43" s="705" t="s">
        <v>14</v>
      </c>
      <c r="W43" s="706">
        <f t="shared" si="14"/>
        <v>100</v>
      </c>
      <c r="X43" s="1355"/>
      <c r="Y43" s="38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34"/>
      <c r="Q44" s="1343">
        <f t="shared" si="11"/>
        <v>111</v>
      </c>
      <c r="R44" s="701" t="s">
        <v>14</v>
      </c>
      <c r="S44" s="702">
        <f t="shared" si="12"/>
        <v>100</v>
      </c>
      <c r="T44" s="701" t="s">
        <v>14</v>
      </c>
      <c r="U44" s="702">
        <f t="shared" si="13"/>
        <v>100</v>
      </c>
      <c r="V44" s="701" t="s">
        <v>14</v>
      </c>
      <c r="W44" s="702">
        <f t="shared" si="14"/>
        <v>100</v>
      </c>
      <c r="X44" s="703"/>
      <c r="Y44" s="38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34"/>
      <c r="Q45" s="1352">
        <f t="shared" si="11"/>
        <v>111</v>
      </c>
      <c r="R45" s="705" t="s">
        <v>14</v>
      </c>
      <c r="S45" s="706">
        <f t="shared" si="12"/>
        <v>100</v>
      </c>
      <c r="T45" s="705" t="s">
        <v>14</v>
      </c>
      <c r="U45" s="706">
        <f t="shared" si="13"/>
        <v>100</v>
      </c>
      <c r="V45" s="705" t="s">
        <v>14</v>
      </c>
      <c r="W45" s="706">
        <f t="shared" si="14"/>
        <v>100</v>
      </c>
      <c r="X45" s="1355"/>
      <c r="Y45" s="38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35"/>
      <c r="Q46" s="1352">
        <f t="shared" si="11"/>
        <v>111</v>
      </c>
      <c r="R46" s="705" t="s">
        <v>14</v>
      </c>
      <c r="S46" s="706">
        <f t="shared" si="12"/>
        <v>100</v>
      </c>
      <c r="T46" s="705" t="s">
        <v>14</v>
      </c>
      <c r="U46" s="706">
        <f t="shared" si="13"/>
        <v>100</v>
      </c>
      <c r="V46" s="705" t="s">
        <v>14</v>
      </c>
      <c r="W46" s="706">
        <f t="shared" si="14"/>
        <v>100</v>
      </c>
      <c r="X46" s="1355"/>
      <c r="Y46" s="3837"/>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829" t="str">
        <f>A47</f>
        <v>成交单价（元/平方米）</v>
      </c>
      <c r="Q47" s="3829"/>
      <c r="R47" s="3860">
        <f>E47</f>
        <v>0</v>
      </c>
      <c r="S47" s="3860"/>
      <c r="T47" s="3860">
        <f>G47</f>
        <v>0</v>
      </c>
      <c r="U47" s="3860"/>
      <c r="V47" s="3860">
        <f>I47</f>
        <v>0</v>
      </c>
      <c r="W47" s="3860"/>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829" t="str">
        <f>A48</f>
        <v>比较价值（元/平方米）</v>
      </c>
      <c r="Q48" s="3829"/>
      <c r="R48" s="3830" t="e">
        <f>IF(F1="售价",ROUND(PRODUCT(R47,AA7:AA46),0),ROUND(PRODUCT(R47,AA7:AA46),1))</f>
        <v>#DIV/0!</v>
      </c>
      <c r="S48" s="3830"/>
      <c r="T48" s="3830" t="e">
        <f>IF(F1="售价",ROUND(PRODUCT(T47,AB7:AB46),0),ROUND(PRODUCT(T47,AB7:AB46),1))</f>
        <v>#DIV/0!</v>
      </c>
      <c r="U48" s="3830"/>
      <c r="V48" s="3830" t="e">
        <f>IF(F1="售价",ROUND(PRODUCT(V47,AC7:AC46),0),ROUND(PRODUCT(V47,AC7:AC46),1))</f>
        <v>#DIV/0!</v>
      </c>
      <c r="W48" s="383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826" t="str">
        <f>A49</f>
        <v>估价对象XX用房的比较价值（楼面单价，元/平方米）</v>
      </c>
      <c r="Q49" s="3827"/>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2015-4</v>
      </c>
      <c r="D58" s="1185">
        <f>EDATE(C58,-1)</f>
        <v>42064</v>
      </c>
      <c r="E58" s="1185">
        <f t="shared" ref="E58:N58" si="16">EDATE(D58,-1)</f>
        <v>42036</v>
      </c>
      <c r="F58" s="1185">
        <f t="shared" si="16"/>
        <v>42005</v>
      </c>
      <c r="G58" s="1185">
        <f t="shared" si="16"/>
        <v>41974</v>
      </c>
      <c r="H58" s="1185">
        <f t="shared" si="16"/>
        <v>41944</v>
      </c>
      <c r="I58" s="1185">
        <f t="shared" si="16"/>
        <v>41913</v>
      </c>
      <c r="J58" s="1185">
        <f t="shared" si="16"/>
        <v>41883</v>
      </c>
      <c r="K58" s="1185">
        <f t="shared" si="16"/>
        <v>41852</v>
      </c>
      <c r="L58" s="1185">
        <f t="shared" si="16"/>
        <v>41821</v>
      </c>
      <c r="M58" s="1185">
        <f t="shared" si="16"/>
        <v>41791</v>
      </c>
      <c r="N58" s="1185">
        <f t="shared" si="16"/>
        <v>41760</v>
      </c>
      <c r="O58" s="1185">
        <f>EDATE(N58,-1)</f>
        <v>41730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86" t="s">
        <v>1774</v>
      </c>
      <c r="Q4" s="3887"/>
      <c r="R4" s="3890" t="s">
        <v>1770</v>
      </c>
      <c r="S4" s="3891"/>
      <c r="T4" s="3890" t="s">
        <v>1771</v>
      </c>
      <c r="U4" s="3891"/>
      <c r="V4" s="3892" t="s">
        <v>1772</v>
      </c>
      <c r="W4" s="3892"/>
      <c r="X4" s="1958"/>
      <c r="Y4" s="3890" t="s">
        <v>1774</v>
      </c>
      <c r="Z4" s="3891"/>
      <c r="AA4" s="3894" t="s">
        <v>1770</v>
      </c>
      <c r="AB4" s="3894" t="s">
        <v>1771</v>
      </c>
      <c r="AC4" s="3883" t="s">
        <v>1772</v>
      </c>
    </row>
    <row r="5" spans="1:29">
      <c r="A5" s="358"/>
      <c r="B5" s="359"/>
      <c r="C5" s="3876" t="s">
        <v>1673</v>
      </c>
      <c r="D5" s="3869"/>
      <c r="E5" s="3878" t="s">
        <v>1674</v>
      </c>
      <c r="F5" s="3879"/>
      <c r="G5" s="3876" t="s">
        <v>1675</v>
      </c>
      <c r="H5" s="3869"/>
      <c r="I5" s="3876" t="s">
        <v>1676</v>
      </c>
      <c r="J5" s="3869"/>
      <c r="K5" s="559"/>
      <c r="L5" s="2715"/>
      <c r="M5" s="2716"/>
      <c r="N5" s="2716"/>
      <c r="O5" s="2716"/>
      <c r="P5" s="3888"/>
      <c r="Q5" s="3851"/>
      <c r="R5" s="3856"/>
      <c r="S5" s="3857"/>
      <c r="T5" s="3856"/>
      <c r="U5" s="3857"/>
      <c r="V5" s="3860"/>
      <c r="W5" s="3860"/>
      <c r="X5" s="1355"/>
      <c r="Y5" s="3856"/>
      <c r="Z5" s="3857"/>
      <c r="AA5" s="3842"/>
      <c r="AB5" s="3842"/>
      <c r="AC5" s="3884"/>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89"/>
      <c r="Q6" s="3853"/>
      <c r="R6" s="3856"/>
      <c r="S6" s="3857"/>
      <c r="T6" s="3858"/>
      <c r="U6" s="3859"/>
      <c r="V6" s="3860"/>
      <c r="W6" s="3860"/>
      <c r="X6" s="1355"/>
      <c r="Y6" s="3858"/>
      <c r="Z6" s="3859"/>
      <c r="AA6" s="3843"/>
      <c r="AB6" s="3843"/>
      <c r="AC6" s="3885"/>
    </row>
    <row r="7" spans="1:29" s="108" customFormat="1" ht="15" thickBot="1">
      <c r="A7" s="362" t="s">
        <v>1679</v>
      </c>
      <c r="B7" s="363"/>
      <c r="C7" s="364">
        <f>'数据-取费表'!B2</f>
        <v>42103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93"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93" t="s">
        <v>1683</v>
      </c>
      <c r="Q8" s="3866"/>
      <c r="R8" s="701" t="s">
        <v>14</v>
      </c>
      <c r="S8" s="702">
        <f t="shared" si="0"/>
        <v>100</v>
      </c>
      <c r="T8" s="701" t="s">
        <v>14</v>
      </c>
      <c r="U8" s="702">
        <f t="shared" si="1"/>
        <v>100</v>
      </c>
      <c r="V8" s="701" t="s">
        <v>14</v>
      </c>
      <c r="W8" s="702">
        <f t="shared" si="2"/>
        <v>100</v>
      </c>
      <c r="X8" s="703"/>
      <c r="Y8" s="3865" t="s">
        <v>1683</v>
      </c>
      <c r="Z8" s="386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40"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40"/>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40"/>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40"/>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40"/>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40"/>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38" t="s">
        <v>1691</v>
      </c>
      <c r="Q15" s="1352" t="str">
        <f t="shared" si="6"/>
        <v>办公集聚程度</v>
      </c>
      <c r="R15" s="705" t="s">
        <v>14</v>
      </c>
      <c r="S15" s="706">
        <f t="shared" si="0"/>
        <v>100</v>
      </c>
      <c r="T15" s="705" t="s">
        <v>14</v>
      </c>
      <c r="U15" s="706">
        <f t="shared" si="1"/>
        <v>100</v>
      </c>
      <c r="V15" s="705" t="s">
        <v>14</v>
      </c>
      <c r="W15" s="706">
        <f t="shared" si="2"/>
        <v>100</v>
      </c>
      <c r="X15" s="1355"/>
      <c r="Y15" s="38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39"/>
      <c r="Q16" s="1352"/>
      <c r="R16" s="705"/>
      <c r="S16" s="706"/>
      <c r="T16" s="705"/>
      <c r="U16" s="706"/>
      <c r="V16" s="705"/>
      <c r="W16" s="706"/>
      <c r="X16" s="1355"/>
      <c r="Y16" s="38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39"/>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39"/>
      <c r="Q18" s="1352"/>
      <c r="R18" s="705"/>
      <c r="S18" s="706"/>
      <c r="T18" s="705"/>
      <c r="U18" s="706"/>
      <c r="V18" s="705"/>
      <c r="W18" s="706"/>
      <c r="X18" s="1355"/>
      <c r="Y18" s="383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39"/>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39"/>
      <c r="Q20" s="1352"/>
      <c r="R20" s="705"/>
      <c r="S20" s="706"/>
      <c r="T20" s="705"/>
      <c r="U20" s="706"/>
      <c r="V20" s="705"/>
      <c r="W20" s="706"/>
      <c r="X20" s="1355"/>
      <c r="Y20" s="383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39"/>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39"/>
      <c r="Q22" s="1352"/>
      <c r="R22" s="705"/>
      <c r="S22" s="706"/>
      <c r="T22" s="705"/>
      <c r="U22" s="706"/>
      <c r="V22" s="705"/>
      <c r="W22" s="706"/>
      <c r="X22" s="1355"/>
      <c r="Y22" s="3832"/>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39"/>
      <c r="Q23" s="1352" t="str">
        <f>B23</f>
        <v>环境质量</v>
      </c>
      <c r="R23" s="705" t="s">
        <v>14</v>
      </c>
      <c r="S23" s="706">
        <f>F23</f>
        <v>100</v>
      </c>
      <c r="T23" s="705" t="s">
        <v>14</v>
      </c>
      <c r="U23" s="706">
        <f>H23</f>
        <v>100</v>
      </c>
      <c r="V23" s="705" t="s">
        <v>14</v>
      </c>
      <c r="W23" s="706">
        <f>J23</f>
        <v>100</v>
      </c>
      <c r="X23" s="1355"/>
      <c r="Y23" s="38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39"/>
      <c r="Q24" s="1352"/>
      <c r="R24" s="705"/>
      <c r="S24" s="706"/>
      <c r="T24" s="705"/>
      <c r="U24" s="706"/>
      <c r="V24" s="705"/>
      <c r="W24" s="706"/>
      <c r="X24" s="1355"/>
      <c r="Y24" s="383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39"/>
      <c r="Q25" s="1352" t="str">
        <f>B25</f>
        <v>毗邻道路的类型与等级</v>
      </c>
      <c r="R25" s="705" t="s">
        <v>14</v>
      </c>
      <c r="S25" s="706">
        <f>F25</f>
        <v>100</v>
      </c>
      <c r="T25" s="705" t="s">
        <v>14</v>
      </c>
      <c r="U25" s="706">
        <f>H25</f>
        <v>100</v>
      </c>
      <c r="V25" s="705" t="s">
        <v>14</v>
      </c>
      <c r="W25" s="706">
        <f>J25</f>
        <v>100</v>
      </c>
      <c r="X25" s="1355"/>
      <c r="Y25" s="38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39"/>
      <c r="Q26" s="1352"/>
      <c r="R26" s="705"/>
      <c r="S26" s="706"/>
      <c r="T26" s="705"/>
      <c r="U26" s="706"/>
      <c r="V26" s="705"/>
      <c r="W26" s="706"/>
      <c r="X26" s="1355"/>
      <c r="Y26" s="383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39"/>
      <c r="Q27" s="1352" t="str">
        <f t="shared" ref="Q27:Q47" si="11">B27</f>
        <v>楼层</v>
      </c>
      <c r="R27" s="705" t="s">
        <v>14</v>
      </c>
      <c r="S27" s="706">
        <f>F27</f>
        <v>100</v>
      </c>
      <c r="T27" s="705" t="s">
        <v>14</v>
      </c>
      <c r="U27" s="706">
        <f>H27</f>
        <v>100</v>
      </c>
      <c r="V27" s="705" t="s">
        <v>14</v>
      </c>
      <c r="W27" s="706">
        <f>J27</f>
        <v>100</v>
      </c>
      <c r="X27" s="1355"/>
      <c r="Y27" s="383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39"/>
      <c r="Q28" s="1343" t="str">
        <f t="shared" si="11"/>
        <v>朝向</v>
      </c>
      <c r="R28" s="701" t="s">
        <v>14</v>
      </c>
      <c r="S28" s="702">
        <f>F28</f>
        <v>100</v>
      </c>
      <c r="T28" s="701" t="s">
        <v>14</v>
      </c>
      <c r="U28" s="702">
        <f>H28</f>
        <v>100</v>
      </c>
      <c r="V28" s="701" t="s">
        <v>14</v>
      </c>
      <c r="W28" s="702">
        <f>J28</f>
        <v>100</v>
      </c>
      <c r="X28" s="703"/>
      <c r="Y28" s="38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39"/>
      <c r="Q29" s="1352">
        <f t="shared" si="11"/>
        <v>111</v>
      </c>
      <c r="R29" s="705" t="s">
        <v>14</v>
      </c>
      <c r="S29" s="706">
        <f t="shared" ref="S29:S47" si="12">F29</f>
        <v>100</v>
      </c>
      <c r="T29" s="705" t="s">
        <v>14</v>
      </c>
      <c r="U29" s="706">
        <f t="shared" ref="U29:U47" si="13">H29</f>
        <v>100</v>
      </c>
      <c r="V29" s="705" t="s">
        <v>14</v>
      </c>
      <c r="W29" s="706">
        <f t="shared" ref="W29:W47" si="14">J29</f>
        <v>100</v>
      </c>
      <c r="X29" s="1355"/>
      <c r="Y29" s="38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39"/>
      <c r="Q30" s="1352">
        <f t="shared" si="11"/>
        <v>111</v>
      </c>
      <c r="R30" s="705" t="s">
        <v>14</v>
      </c>
      <c r="S30" s="706">
        <f t="shared" si="12"/>
        <v>100</v>
      </c>
      <c r="T30" s="705" t="s">
        <v>14</v>
      </c>
      <c r="U30" s="706">
        <f t="shared" si="13"/>
        <v>100</v>
      </c>
      <c r="V30" s="705" t="s">
        <v>14</v>
      </c>
      <c r="W30" s="706">
        <f t="shared" si="14"/>
        <v>100</v>
      </c>
      <c r="X30" s="1355"/>
      <c r="Y30" s="38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39"/>
      <c r="Q31" s="1352">
        <f t="shared" si="11"/>
        <v>111</v>
      </c>
      <c r="R31" s="705" t="s">
        <v>14</v>
      </c>
      <c r="S31" s="706">
        <f t="shared" si="12"/>
        <v>100</v>
      </c>
      <c r="T31" s="705" t="s">
        <v>14</v>
      </c>
      <c r="U31" s="706">
        <f t="shared" si="13"/>
        <v>100</v>
      </c>
      <c r="V31" s="705" t="s">
        <v>14</v>
      </c>
      <c r="W31" s="706">
        <f t="shared" si="14"/>
        <v>100</v>
      </c>
      <c r="X31" s="1355"/>
      <c r="Y31" s="38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39"/>
      <c r="Q32" s="1352">
        <f t="shared" si="11"/>
        <v>111</v>
      </c>
      <c r="R32" s="705" t="s">
        <v>14</v>
      </c>
      <c r="S32" s="706">
        <f t="shared" si="12"/>
        <v>100</v>
      </c>
      <c r="T32" s="705" t="s">
        <v>14</v>
      </c>
      <c r="U32" s="706">
        <f t="shared" si="13"/>
        <v>100</v>
      </c>
      <c r="V32" s="705" t="s">
        <v>14</v>
      </c>
      <c r="W32" s="706">
        <f t="shared" si="14"/>
        <v>100</v>
      </c>
      <c r="X32" s="1355"/>
      <c r="Y32" s="383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33" t="s">
        <v>1695</v>
      </c>
      <c r="Q33" s="1352" t="str">
        <f t="shared" si="11"/>
        <v>建筑类型</v>
      </c>
      <c r="R33" s="705" t="s">
        <v>14</v>
      </c>
      <c r="S33" s="706">
        <f t="shared" si="12"/>
        <v>100</v>
      </c>
      <c r="T33" s="705" t="s">
        <v>14</v>
      </c>
      <c r="U33" s="706">
        <f t="shared" si="13"/>
        <v>100</v>
      </c>
      <c r="V33" s="705" t="s">
        <v>14</v>
      </c>
      <c r="W33" s="706">
        <f t="shared" si="14"/>
        <v>100</v>
      </c>
      <c r="X33" s="1355"/>
      <c r="Y33" s="383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34"/>
      <c r="Q34" s="707" t="str">
        <f t="shared" si="11"/>
        <v>项目建筑规模</v>
      </c>
      <c r="R34" s="708" t="s">
        <v>14</v>
      </c>
      <c r="S34" s="709" t="e">
        <f t="shared" si="12"/>
        <v>#N/A</v>
      </c>
      <c r="T34" s="708" t="s">
        <v>14</v>
      </c>
      <c r="U34" s="709" t="e">
        <f t="shared" si="13"/>
        <v>#N/A</v>
      </c>
      <c r="V34" s="708" t="s">
        <v>14</v>
      </c>
      <c r="W34" s="709" t="e">
        <f t="shared" si="14"/>
        <v>#N/A</v>
      </c>
      <c r="X34" s="710"/>
      <c r="Y34" s="383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34"/>
      <c r="Q35" s="1352" t="str">
        <f t="shared" si="11"/>
        <v>建筑结构</v>
      </c>
      <c r="R35" s="705" t="s">
        <v>14</v>
      </c>
      <c r="S35" s="706">
        <f t="shared" si="12"/>
        <v>100</v>
      </c>
      <c r="T35" s="705" t="s">
        <v>14</v>
      </c>
      <c r="U35" s="706">
        <f t="shared" si="13"/>
        <v>100</v>
      </c>
      <c r="V35" s="705" t="s">
        <v>14</v>
      </c>
      <c r="W35" s="706">
        <f t="shared" si="14"/>
        <v>100</v>
      </c>
      <c r="X35" s="1355"/>
      <c r="Y35" s="383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34"/>
      <c r="Q36" s="1352" t="str">
        <f t="shared" si="11"/>
        <v>公共部分装修</v>
      </c>
      <c r="R36" s="705" t="s">
        <v>14</v>
      </c>
      <c r="S36" s="706">
        <f t="shared" si="12"/>
        <v>100</v>
      </c>
      <c r="T36" s="705" t="s">
        <v>14</v>
      </c>
      <c r="U36" s="706">
        <f t="shared" si="13"/>
        <v>100</v>
      </c>
      <c r="V36" s="705" t="s">
        <v>14</v>
      </c>
      <c r="W36" s="706">
        <f t="shared" si="14"/>
        <v>100</v>
      </c>
      <c r="X36" s="1355"/>
      <c r="Y36" s="383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34"/>
      <c r="Q37" s="1352" t="str">
        <f t="shared" si="11"/>
        <v>成新度</v>
      </c>
      <c r="R37" s="705" t="s">
        <v>14</v>
      </c>
      <c r="S37" s="706" t="e">
        <f t="shared" si="12"/>
        <v>#N/A</v>
      </c>
      <c r="T37" s="705" t="s">
        <v>14</v>
      </c>
      <c r="U37" s="706" t="e">
        <f t="shared" si="13"/>
        <v>#N/A</v>
      </c>
      <c r="V37" s="705" t="s">
        <v>14</v>
      </c>
      <c r="W37" s="706" t="e">
        <f t="shared" si="14"/>
        <v>#N/A</v>
      </c>
      <c r="X37" s="1355"/>
      <c r="Y37" s="383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34"/>
      <c r="Q38" s="1343" t="str">
        <f t="shared" si="11"/>
        <v>写字楼等级</v>
      </c>
      <c r="R38" s="701" t="s">
        <v>14</v>
      </c>
      <c r="S38" s="702">
        <f t="shared" si="12"/>
        <v>100</v>
      </c>
      <c r="T38" s="701" t="s">
        <v>14</v>
      </c>
      <c r="U38" s="702">
        <f t="shared" si="13"/>
        <v>100</v>
      </c>
      <c r="V38" s="701" t="s">
        <v>14</v>
      </c>
      <c r="W38" s="702">
        <f t="shared" si="14"/>
        <v>100</v>
      </c>
      <c r="X38" s="703"/>
      <c r="Y38" s="383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34" t="s">
        <v>1695</v>
      </c>
      <c r="Q39" s="1352" t="str">
        <f t="shared" si="11"/>
        <v>物业管理</v>
      </c>
      <c r="R39" s="705" t="s">
        <v>14</v>
      </c>
      <c r="S39" s="706">
        <f t="shared" si="12"/>
        <v>100</v>
      </c>
      <c r="T39" s="705" t="s">
        <v>14</v>
      </c>
      <c r="U39" s="706">
        <f t="shared" si="13"/>
        <v>100</v>
      </c>
      <c r="V39" s="705" t="s">
        <v>14</v>
      </c>
      <c r="W39" s="706">
        <f t="shared" si="14"/>
        <v>100</v>
      </c>
      <c r="X39" s="1355"/>
      <c r="Y39" s="383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34"/>
      <c r="Q40" s="1352" t="str">
        <f t="shared" si="11"/>
        <v>市政基础设施</v>
      </c>
      <c r="R40" s="705" t="s">
        <v>14</v>
      </c>
      <c r="S40" s="706">
        <f t="shared" si="12"/>
        <v>100</v>
      </c>
      <c r="T40" s="705" t="s">
        <v>14</v>
      </c>
      <c r="U40" s="706">
        <f t="shared" si="13"/>
        <v>100</v>
      </c>
      <c r="V40" s="705" t="s">
        <v>14</v>
      </c>
      <c r="W40" s="706">
        <f t="shared" si="14"/>
        <v>100</v>
      </c>
      <c r="X40" s="1355"/>
      <c r="Y40" s="383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34"/>
      <c r="Q41" s="1352" t="str">
        <f t="shared" si="11"/>
        <v>层高</v>
      </c>
      <c r="R41" s="705" t="s">
        <v>14</v>
      </c>
      <c r="S41" s="706">
        <f t="shared" si="12"/>
        <v>100</v>
      </c>
      <c r="T41" s="705" t="s">
        <v>14</v>
      </c>
      <c r="U41" s="706">
        <f t="shared" si="13"/>
        <v>100</v>
      </c>
      <c r="V41" s="705" t="s">
        <v>14</v>
      </c>
      <c r="W41" s="706">
        <f t="shared" si="14"/>
        <v>100</v>
      </c>
      <c r="X41" s="1355"/>
      <c r="Y41" s="383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34"/>
      <c r="Q42" s="707" t="str">
        <f t="shared" si="11"/>
        <v>单套建筑面积</v>
      </c>
      <c r="R42" s="708" t="s">
        <v>14</v>
      </c>
      <c r="S42" s="709">
        <f t="shared" si="12"/>
        <v>100</v>
      </c>
      <c r="T42" s="708" t="s">
        <v>14</v>
      </c>
      <c r="U42" s="709">
        <f t="shared" si="13"/>
        <v>100</v>
      </c>
      <c r="V42" s="708" t="s">
        <v>14</v>
      </c>
      <c r="W42" s="709">
        <f t="shared" si="14"/>
        <v>100</v>
      </c>
      <c r="X42" s="710"/>
      <c r="Y42" s="383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34"/>
      <c r="Q43" s="1352" t="str">
        <f t="shared" si="11"/>
        <v>内部装修</v>
      </c>
      <c r="R43" s="705" t="s">
        <v>14</v>
      </c>
      <c r="S43" s="706">
        <f t="shared" si="12"/>
        <v>100</v>
      </c>
      <c r="T43" s="705" t="s">
        <v>14</v>
      </c>
      <c r="U43" s="706">
        <f t="shared" si="13"/>
        <v>100</v>
      </c>
      <c r="V43" s="705" t="s">
        <v>14</v>
      </c>
      <c r="W43" s="706">
        <f t="shared" si="14"/>
        <v>100</v>
      </c>
      <c r="X43" s="1355"/>
      <c r="Y43" s="3836"/>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34"/>
      <c r="Q44" s="1352" t="str">
        <f t="shared" si="11"/>
        <v>内部装修维护情况</v>
      </c>
      <c r="R44" s="705" t="s">
        <v>14</v>
      </c>
      <c r="S44" s="706">
        <f t="shared" si="12"/>
        <v>100</v>
      </c>
      <c r="T44" s="705" t="s">
        <v>14</v>
      </c>
      <c r="U44" s="706">
        <f t="shared" si="13"/>
        <v>100</v>
      </c>
      <c r="V44" s="705" t="s">
        <v>14</v>
      </c>
      <c r="W44" s="706">
        <f t="shared" si="14"/>
        <v>100</v>
      </c>
      <c r="X44" s="1355"/>
      <c r="Y44" s="38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34"/>
      <c r="Q45" s="1343">
        <f t="shared" si="11"/>
        <v>111</v>
      </c>
      <c r="R45" s="701" t="s">
        <v>14</v>
      </c>
      <c r="S45" s="702">
        <f t="shared" si="12"/>
        <v>100</v>
      </c>
      <c r="T45" s="701" t="s">
        <v>14</v>
      </c>
      <c r="U45" s="702">
        <f t="shared" si="13"/>
        <v>100</v>
      </c>
      <c r="V45" s="701" t="s">
        <v>14</v>
      </c>
      <c r="W45" s="702">
        <f t="shared" si="14"/>
        <v>100</v>
      </c>
      <c r="X45" s="703"/>
      <c r="Y45" s="38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34"/>
      <c r="Q46" s="1352">
        <f t="shared" si="11"/>
        <v>111</v>
      </c>
      <c r="R46" s="705" t="s">
        <v>14</v>
      </c>
      <c r="S46" s="706">
        <f t="shared" si="12"/>
        <v>100</v>
      </c>
      <c r="T46" s="705" t="s">
        <v>14</v>
      </c>
      <c r="U46" s="706">
        <f t="shared" si="13"/>
        <v>100</v>
      </c>
      <c r="V46" s="705" t="s">
        <v>14</v>
      </c>
      <c r="W46" s="706">
        <f t="shared" si="14"/>
        <v>100</v>
      </c>
      <c r="X46" s="1355"/>
      <c r="Y46" s="38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35"/>
      <c r="Q47" s="1352">
        <f t="shared" si="11"/>
        <v>111</v>
      </c>
      <c r="R47" s="705" t="s">
        <v>14</v>
      </c>
      <c r="S47" s="706">
        <f t="shared" si="12"/>
        <v>100</v>
      </c>
      <c r="T47" s="705" t="s">
        <v>14</v>
      </c>
      <c r="U47" s="706">
        <f t="shared" si="13"/>
        <v>100</v>
      </c>
      <c r="V47" s="705" t="s">
        <v>14</v>
      </c>
      <c r="W47" s="706">
        <f t="shared" si="14"/>
        <v>100</v>
      </c>
      <c r="X47" s="1355"/>
      <c r="Y47" s="3837"/>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840" t="str">
        <f>A48</f>
        <v>成交单价（元/平方米）</v>
      </c>
      <c r="Q48" s="3829"/>
      <c r="R48" s="3830">
        <f>E48</f>
        <v>0</v>
      </c>
      <c r="S48" s="3830"/>
      <c r="T48" s="3830">
        <f>G48</f>
        <v>0</v>
      </c>
      <c r="U48" s="3830"/>
      <c r="V48" s="3830">
        <f>I48</f>
        <v>0</v>
      </c>
      <c r="W48" s="383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840" t="str">
        <f>A49</f>
        <v>比较价值（元/平方米）</v>
      </c>
      <c r="Q49" s="3829"/>
      <c r="R49" s="3830" t="e">
        <f>IF(F1="售价",ROUND(PRODUCT(R48,AA7:AA47),0),ROUND(PRODUCT(R48,AA7:AA47),1))</f>
        <v>#DIV/0!</v>
      </c>
      <c r="S49" s="3830"/>
      <c r="T49" s="3830" t="e">
        <f>IF(F1="售价",ROUND(PRODUCT(T48,AB7:AB47),0),ROUND(PRODUCT(T48,AB7:AB47),1))</f>
        <v>#DIV/0!</v>
      </c>
      <c r="U49" s="3830"/>
      <c r="V49" s="3830" t="e">
        <f>IF(F1="售价",ROUND(PRODUCT(V48,AC7:AC47),0),ROUND(PRODUCT(V48,AC7:AC47),1))</f>
        <v>#DIV/0!</v>
      </c>
      <c r="W49" s="383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80" t="str">
        <f>A50</f>
        <v>估价对象XX用房的比较价值（楼面单价，元/平方米）</v>
      </c>
      <c r="Q50" s="3881"/>
      <c r="R50" s="3882" t="e">
        <f>IF(F1="售价",ROUND(IF(D49="简单平均",AVERAGE(R49:V49),R49*F49+T49*H49+V49*J49),0),ROUND(IF(D49="简单平均",AVERAGE(R49:V49),R49*F49+T49*H49+V49*J49),1))</f>
        <v>#DIV/0!</v>
      </c>
      <c r="S50" s="3882"/>
      <c r="T50" s="3882"/>
      <c r="U50" s="3882"/>
      <c r="V50" s="3882"/>
      <c r="W50" s="388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2015-4</v>
      </c>
      <c r="D59" s="1185">
        <f>EDATE(C59,-1)</f>
        <v>42064</v>
      </c>
      <c r="E59" s="1185">
        <f>EDATE(D59,-1)</f>
        <v>42036</v>
      </c>
      <c r="F59" s="1185">
        <f t="shared" ref="F59:O59" si="16">EDATE(E59,-1)</f>
        <v>42005</v>
      </c>
      <c r="G59" s="1185">
        <f t="shared" si="16"/>
        <v>41974</v>
      </c>
      <c r="H59" s="1185">
        <f t="shared" si="16"/>
        <v>41944</v>
      </c>
      <c r="I59" s="1185">
        <f t="shared" si="16"/>
        <v>41913</v>
      </c>
      <c r="J59" s="1185">
        <f t="shared" si="16"/>
        <v>41883</v>
      </c>
      <c r="K59" s="1185">
        <f t="shared" si="16"/>
        <v>41852</v>
      </c>
      <c r="L59" s="1185">
        <f t="shared" si="16"/>
        <v>41821</v>
      </c>
      <c r="M59" s="1185">
        <f t="shared" si="16"/>
        <v>41791</v>
      </c>
      <c r="N59" s="1185">
        <f t="shared" si="16"/>
        <v>41760</v>
      </c>
      <c r="O59" s="1185">
        <f t="shared" si="16"/>
        <v>41730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2015年4月9日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913"/>
      <c r="M4" s="914"/>
      <c r="N4" s="914"/>
      <c r="O4" s="914"/>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913"/>
      <c r="M5" s="914"/>
      <c r="N5" s="914"/>
      <c r="O5" s="914"/>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913"/>
      <c r="M6" s="914"/>
      <c r="N6" s="914"/>
      <c r="O6" s="914"/>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SUMIF(52:52,YEAR(E7)&amp;"-"&amp;MONTH(E7),53:53)</f>
        <v>0</v>
      </c>
      <c r="G7" s="366"/>
      <c r="H7" s="365">
        <f>SUMIF(52:52,YEAR(G7)&amp;"-"&amp;MONTH(G7),53:53)</f>
        <v>0</v>
      </c>
      <c r="I7" s="366"/>
      <c r="J7" s="365">
        <f>SUMIF(52:52,YEAR(I7)&amp;"-"&amp;MONTH(I7),53:53)</f>
        <v>0</v>
      </c>
      <c r="K7" s="560"/>
      <c r="L7" s="915"/>
      <c r="M7" s="916"/>
      <c r="N7" s="916"/>
      <c r="O7" s="916"/>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5" t="s">
        <v>1683</v>
      </c>
      <c r="Q8" s="3866"/>
      <c r="R8" s="701" t="s">
        <v>14</v>
      </c>
      <c r="S8" s="702">
        <f t="shared" si="0"/>
        <v>100</v>
      </c>
      <c r="T8" s="701" t="s">
        <v>14</v>
      </c>
      <c r="U8" s="702">
        <f t="shared" si="1"/>
        <v>100</v>
      </c>
      <c r="V8" s="701" t="s">
        <v>14</v>
      </c>
      <c r="W8" s="702">
        <f t="shared" si="2"/>
        <v>100</v>
      </c>
      <c r="X8" s="703"/>
      <c r="Y8" s="3865" t="s">
        <v>1683</v>
      </c>
      <c r="Z8" s="386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9"/>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1" t="s">
        <v>1691</v>
      </c>
      <c r="Q15" s="1352" t="str">
        <f t="shared" si="6"/>
        <v>产业集聚程度</v>
      </c>
      <c r="R15" s="705" t="s">
        <v>14</v>
      </c>
      <c r="S15" s="706">
        <f t="shared" si="0"/>
        <v>100</v>
      </c>
      <c r="T15" s="705" t="s">
        <v>14</v>
      </c>
      <c r="U15" s="706">
        <f t="shared" si="1"/>
        <v>100</v>
      </c>
      <c r="V15" s="705" t="s">
        <v>14</v>
      </c>
      <c r="W15" s="706">
        <f t="shared" si="2"/>
        <v>100</v>
      </c>
      <c r="X15" s="1355"/>
      <c r="Y15" s="38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2"/>
      <c r="Q16" s="1352"/>
      <c r="R16" s="705"/>
      <c r="S16" s="706"/>
      <c r="T16" s="705"/>
      <c r="U16" s="706"/>
      <c r="V16" s="705"/>
      <c r="W16" s="706"/>
      <c r="X16" s="1355"/>
      <c r="Y16" s="38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2"/>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2"/>
      <c r="Q18" s="1352"/>
      <c r="R18" s="705"/>
      <c r="S18" s="706"/>
      <c r="T18" s="705"/>
      <c r="U18" s="706"/>
      <c r="V18" s="705"/>
      <c r="W18" s="706"/>
      <c r="X18" s="1355"/>
      <c r="Y18" s="383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2"/>
      <c r="Q19" s="1352" t="str">
        <f>B19</f>
        <v>公共配套设施</v>
      </c>
      <c r="R19" s="705" t="s">
        <v>14</v>
      </c>
      <c r="S19" s="706">
        <f>F19</f>
        <v>100</v>
      </c>
      <c r="T19" s="705" t="s">
        <v>14</v>
      </c>
      <c r="U19" s="706">
        <f>H19</f>
        <v>100</v>
      </c>
      <c r="V19" s="705" t="s">
        <v>14</v>
      </c>
      <c r="W19" s="706">
        <f>J19</f>
        <v>100</v>
      </c>
      <c r="X19" s="1355"/>
      <c r="Y19" s="38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2"/>
      <c r="Q20" s="1352"/>
      <c r="R20" s="705"/>
      <c r="S20" s="706"/>
      <c r="T20" s="705"/>
      <c r="U20" s="706"/>
      <c r="V20" s="705"/>
      <c r="W20" s="706"/>
      <c r="X20" s="1355"/>
      <c r="Y20" s="383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2"/>
      <c r="Q21" s="1352" t="str">
        <f>B21</f>
        <v>基础设施水平</v>
      </c>
      <c r="R21" s="705" t="s">
        <v>14</v>
      </c>
      <c r="S21" s="706">
        <f>F21</f>
        <v>100</v>
      </c>
      <c r="T21" s="705" t="s">
        <v>14</v>
      </c>
      <c r="U21" s="706">
        <f>H21</f>
        <v>100</v>
      </c>
      <c r="V21" s="705" t="s">
        <v>14</v>
      </c>
      <c r="W21" s="706">
        <f>J21</f>
        <v>100</v>
      </c>
      <c r="X21" s="1355"/>
      <c r="Y21" s="38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2"/>
      <c r="Q22" s="1352"/>
      <c r="R22" s="705"/>
      <c r="S22" s="706"/>
      <c r="T22" s="705"/>
      <c r="U22" s="706"/>
      <c r="V22" s="705"/>
      <c r="W22" s="706"/>
      <c r="X22" s="1355"/>
      <c r="Y22" s="383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2"/>
      <c r="Q23" s="1352" t="str">
        <f>B23</f>
        <v>环境质量</v>
      </c>
      <c r="R23" s="705" t="s">
        <v>14</v>
      </c>
      <c r="S23" s="706">
        <f>F23</f>
        <v>100</v>
      </c>
      <c r="T23" s="705" t="s">
        <v>14</v>
      </c>
      <c r="U23" s="706">
        <f>H23</f>
        <v>100</v>
      </c>
      <c r="V23" s="705" t="s">
        <v>14</v>
      </c>
      <c r="W23" s="706">
        <f>J23</f>
        <v>100</v>
      </c>
      <c r="X23" s="1355"/>
      <c r="Y23" s="38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2"/>
      <c r="Q24" s="1352"/>
      <c r="R24" s="705"/>
      <c r="S24" s="706"/>
      <c r="T24" s="705"/>
      <c r="U24" s="706"/>
      <c r="V24" s="705"/>
      <c r="W24" s="706"/>
      <c r="X24" s="1355"/>
      <c r="Y24" s="38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2"/>
      <c r="Q25" s="1352">
        <f>B25</f>
        <v>111</v>
      </c>
      <c r="R25" s="705" t="s">
        <v>14</v>
      </c>
      <c r="S25" s="706">
        <f>F25</f>
        <v>100</v>
      </c>
      <c r="T25" s="705" t="s">
        <v>14</v>
      </c>
      <c r="U25" s="706">
        <f>H25</f>
        <v>100</v>
      </c>
      <c r="V25" s="705" t="s">
        <v>14</v>
      </c>
      <c r="W25" s="706">
        <f>J25</f>
        <v>100</v>
      </c>
      <c r="X25" s="1355"/>
      <c r="Y25" s="38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2"/>
      <c r="Q26" s="1352">
        <f t="shared" ref="Q26:Q40" si="11">B26</f>
        <v>111</v>
      </c>
      <c r="R26" s="705" t="s">
        <v>14</v>
      </c>
      <c r="S26" s="706">
        <f>F26</f>
        <v>100</v>
      </c>
      <c r="T26" s="705" t="s">
        <v>14</v>
      </c>
      <c r="U26" s="706">
        <f>H26</f>
        <v>100</v>
      </c>
      <c r="V26" s="705" t="s">
        <v>14</v>
      </c>
      <c r="W26" s="706">
        <f>J26</f>
        <v>100</v>
      </c>
      <c r="X26" s="1355"/>
      <c r="Y26" s="38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2"/>
      <c r="Q27" s="1343">
        <f t="shared" si="11"/>
        <v>111</v>
      </c>
      <c r="R27" s="701" t="s">
        <v>14</v>
      </c>
      <c r="S27" s="702">
        <f>F27</f>
        <v>100</v>
      </c>
      <c r="T27" s="701" t="s">
        <v>14</v>
      </c>
      <c r="U27" s="702">
        <f>H27</f>
        <v>100</v>
      </c>
      <c r="V27" s="701" t="s">
        <v>14</v>
      </c>
      <c r="W27" s="702">
        <f>J27</f>
        <v>100</v>
      </c>
      <c r="X27" s="703"/>
      <c r="Y27" s="38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2"/>
      <c r="Q28" s="1352">
        <f t="shared" si="11"/>
        <v>111</v>
      </c>
      <c r="R28" s="705" t="s">
        <v>14</v>
      </c>
      <c r="S28" s="706">
        <f t="shared" ref="S28:S40" si="12">F28</f>
        <v>100</v>
      </c>
      <c r="T28" s="705" t="s">
        <v>14</v>
      </c>
      <c r="U28" s="706">
        <f t="shared" ref="U28:U40" si="13">H28</f>
        <v>100</v>
      </c>
      <c r="V28" s="705" t="s">
        <v>14</v>
      </c>
      <c r="W28" s="706">
        <f t="shared" ref="W28:W40" si="14">J28</f>
        <v>100</v>
      </c>
      <c r="X28" s="1355"/>
      <c r="Y28" s="3832"/>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95" t="s">
        <v>1695</v>
      </c>
      <c r="Q29" s="1352" t="str">
        <f t="shared" si="11"/>
        <v>建筑类型</v>
      </c>
      <c r="R29" s="705" t="s">
        <v>14</v>
      </c>
      <c r="S29" s="706">
        <f t="shared" si="12"/>
        <v>100</v>
      </c>
      <c r="T29" s="705" t="s">
        <v>14</v>
      </c>
      <c r="U29" s="706">
        <f t="shared" si="13"/>
        <v>100</v>
      </c>
      <c r="V29" s="705" t="s">
        <v>14</v>
      </c>
      <c r="W29" s="706">
        <f t="shared" si="14"/>
        <v>100</v>
      </c>
      <c r="X29" s="1355"/>
      <c r="Y29" s="38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6"/>
      <c r="Q30" s="707" t="str">
        <f t="shared" si="11"/>
        <v>项目建筑规模</v>
      </c>
      <c r="R30" s="708" t="s">
        <v>14</v>
      </c>
      <c r="S30" s="709" t="e">
        <f t="shared" si="12"/>
        <v>#N/A</v>
      </c>
      <c r="T30" s="708" t="s">
        <v>14</v>
      </c>
      <c r="U30" s="709" t="e">
        <f t="shared" si="13"/>
        <v>#N/A</v>
      </c>
      <c r="V30" s="708" t="s">
        <v>14</v>
      </c>
      <c r="W30" s="709" t="e">
        <f t="shared" si="14"/>
        <v>#N/A</v>
      </c>
      <c r="X30" s="710"/>
      <c r="Y30" s="38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6"/>
      <c r="Q31" s="1352" t="str">
        <f t="shared" si="11"/>
        <v>建筑结构</v>
      </c>
      <c r="R31" s="705" t="s">
        <v>14</v>
      </c>
      <c r="S31" s="706">
        <f t="shared" si="12"/>
        <v>100</v>
      </c>
      <c r="T31" s="705" t="s">
        <v>14</v>
      </c>
      <c r="U31" s="706">
        <f t="shared" si="13"/>
        <v>100</v>
      </c>
      <c r="V31" s="705" t="s">
        <v>14</v>
      </c>
      <c r="W31" s="706">
        <f t="shared" si="14"/>
        <v>100</v>
      </c>
      <c r="X31" s="1355"/>
      <c r="Y31" s="38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6"/>
      <c r="Q32" s="1352" t="str">
        <f t="shared" si="11"/>
        <v>公共部分装修</v>
      </c>
      <c r="R32" s="705" t="s">
        <v>14</v>
      </c>
      <c r="S32" s="706">
        <f t="shared" si="12"/>
        <v>100</v>
      </c>
      <c r="T32" s="705" t="s">
        <v>14</v>
      </c>
      <c r="U32" s="706">
        <f t="shared" si="13"/>
        <v>100</v>
      </c>
      <c r="V32" s="705" t="s">
        <v>14</v>
      </c>
      <c r="W32" s="706">
        <f t="shared" si="14"/>
        <v>100</v>
      </c>
      <c r="X32" s="1355"/>
      <c r="Y32" s="38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6"/>
      <c r="Q33" s="1352" t="str">
        <f t="shared" si="11"/>
        <v>成新度</v>
      </c>
      <c r="R33" s="705" t="s">
        <v>14</v>
      </c>
      <c r="S33" s="706" t="e">
        <f t="shared" si="12"/>
        <v>#N/A</v>
      </c>
      <c r="T33" s="705" t="s">
        <v>14</v>
      </c>
      <c r="U33" s="706" t="e">
        <f t="shared" si="13"/>
        <v>#N/A</v>
      </c>
      <c r="V33" s="705" t="s">
        <v>14</v>
      </c>
      <c r="W33" s="706" t="e">
        <f t="shared" si="14"/>
        <v>#N/A</v>
      </c>
      <c r="X33" s="1355"/>
      <c r="Y33" s="38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6"/>
      <c r="Q34" s="1343" t="str">
        <f t="shared" si="11"/>
        <v>物业管理</v>
      </c>
      <c r="R34" s="701" t="s">
        <v>14</v>
      </c>
      <c r="S34" s="702">
        <f t="shared" si="12"/>
        <v>100</v>
      </c>
      <c r="T34" s="701" t="s">
        <v>14</v>
      </c>
      <c r="U34" s="702">
        <f t="shared" si="13"/>
        <v>100</v>
      </c>
      <c r="V34" s="701" t="s">
        <v>14</v>
      </c>
      <c r="W34" s="702">
        <f t="shared" si="14"/>
        <v>100</v>
      </c>
      <c r="X34" s="703"/>
      <c r="Y34" s="38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6" t="s">
        <v>1695</v>
      </c>
      <c r="Q35" s="1352" t="str">
        <f t="shared" si="11"/>
        <v>市政基础设施</v>
      </c>
      <c r="R35" s="705" t="s">
        <v>14</v>
      </c>
      <c r="S35" s="706">
        <f t="shared" si="12"/>
        <v>100</v>
      </c>
      <c r="T35" s="705" t="s">
        <v>14</v>
      </c>
      <c r="U35" s="706">
        <f t="shared" si="13"/>
        <v>100</v>
      </c>
      <c r="V35" s="705" t="s">
        <v>14</v>
      </c>
      <c r="W35" s="706">
        <f t="shared" si="14"/>
        <v>100</v>
      </c>
      <c r="X35" s="1355"/>
      <c r="Y35" s="38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6"/>
      <c r="Q36" s="1352" t="str">
        <f t="shared" si="11"/>
        <v>内部装修</v>
      </c>
      <c r="R36" s="705" t="s">
        <v>14</v>
      </c>
      <c r="S36" s="706">
        <f t="shared" si="12"/>
        <v>100</v>
      </c>
      <c r="T36" s="705" t="s">
        <v>14</v>
      </c>
      <c r="U36" s="706">
        <f t="shared" si="13"/>
        <v>100</v>
      </c>
      <c r="V36" s="705" t="s">
        <v>14</v>
      </c>
      <c r="W36" s="706">
        <f t="shared" si="14"/>
        <v>100</v>
      </c>
      <c r="X36" s="1355"/>
      <c r="Y36" s="38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6"/>
      <c r="Q37" s="1352" t="str">
        <f t="shared" si="11"/>
        <v>内部装修状况</v>
      </c>
      <c r="R37" s="705" t="s">
        <v>14</v>
      </c>
      <c r="S37" s="706">
        <f t="shared" si="12"/>
        <v>100</v>
      </c>
      <c r="T37" s="705" t="s">
        <v>14</v>
      </c>
      <c r="U37" s="706">
        <f t="shared" si="13"/>
        <v>100</v>
      </c>
      <c r="V37" s="705" t="s">
        <v>14</v>
      </c>
      <c r="W37" s="706">
        <f t="shared" si="14"/>
        <v>100</v>
      </c>
      <c r="X37" s="1355"/>
      <c r="Y37" s="38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6"/>
      <c r="Q38" s="707">
        <f t="shared" si="11"/>
        <v>111</v>
      </c>
      <c r="R38" s="708" t="s">
        <v>14</v>
      </c>
      <c r="S38" s="709">
        <f t="shared" si="12"/>
        <v>100</v>
      </c>
      <c r="T38" s="708" t="s">
        <v>14</v>
      </c>
      <c r="U38" s="709">
        <f t="shared" si="13"/>
        <v>100</v>
      </c>
      <c r="V38" s="708" t="s">
        <v>14</v>
      </c>
      <c r="W38" s="709">
        <f t="shared" si="14"/>
        <v>100</v>
      </c>
      <c r="X38" s="710"/>
      <c r="Y38" s="38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6"/>
      <c r="Q39" s="1352">
        <f t="shared" si="11"/>
        <v>111</v>
      </c>
      <c r="R39" s="705" t="s">
        <v>14</v>
      </c>
      <c r="S39" s="706">
        <f t="shared" si="12"/>
        <v>100</v>
      </c>
      <c r="T39" s="705" t="s">
        <v>14</v>
      </c>
      <c r="U39" s="706">
        <f t="shared" si="13"/>
        <v>100</v>
      </c>
      <c r="V39" s="705" t="s">
        <v>14</v>
      </c>
      <c r="W39" s="706">
        <f t="shared" si="14"/>
        <v>100</v>
      </c>
      <c r="X39" s="1355"/>
      <c r="Y39" s="38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7"/>
      <c r="Q40" s="1352">
        <f t="shared" si="11"/>
        <v>111</v>
      </c>
      <c r="R40" s="705" t="s">
        <v>14</v>
      </c>
      <c r="S40" s="706">
        <f t="shared" si="12"/>
        <v>100</v>
      </c>
      <c r="T40" s="705" t="s">
        <v>14</v>
      </c>
      <c r="U40" s="706">
        <f t="shared" si="13"/>
        <v>100</v>
      </c>
      <c r="V40" s="705" t="s">
        <v>14</v>
      </c>
      <c r="W40" s="706">
        <f t="shared" si="14"/>
        <v>100</v>
      </c>
      <c r="X40" s="1355"/>
      <c r="Y40" s="3837"/>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29" t="str">
        <f>A41</f>
        <v>成交单价（元/平方米）</v>
      </c>
      <c r="Q41" s="3829"/>
      <c r="R41" s="3830">
        <f>E41</f>
        <v>0</v>
      </c>
      <c r="S41" s="3830"/>
      <c r="T41" s="3830">
        <f>G41</f>
        <v>0</v>
      </c>
      <c r="U41" s="3830"/>
      <c r="V41" s="3830">
        <f>I41</f>
        <v>0</v>
      </c>
      <c r="W41" s="383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29" t="str">
        <f>A42</f>
        <v>比较价值（元/平方米）</v>
      </c>
      <c r="Q42" s="3829"/>
      <c r="R42" s="3830" t="e">
        <f>IF(F1="售价",ROUND(PRODUCT(R41,AA7:AA40),0),ROUND(PRODUCT(R41,AA7:AA40),1))</f>
        <v>#DIV/0!</v>
      </c>
      <c r="S42" s="3830"/>
      <c r="T42" s="3830" t="e">
        <f>IF(F1="售价",ROUND(PRODUCT(T41,AB7:AB40),0),ROUND(PRODUCT(T41,AB7:AB40),1))</f>
        <v>#DIV/0!</v>
      </c>
      <c r="U42" s="3830"/>
      <c r="V42" s="3830" t="e">
        <f>IF(F1="售价",ROUND(PRODUCT(V41,AC7:AC40),0),ROUND(PRODUCT(V41,AC7:AC40),1))</f>
        <v>#DIV/0!</v>
      </c>
      <c r="W42" s="383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26" t="str">
        <f>A43</f>
        <v>估价对象XX用房的比较价值（楼面单价，元/平方米）</v>
      </c>
      <c r="Q43" s="3827"/>
      <c r="R43" s="3828" t="e">
        <f>IF(F1="售价",ROUND(IF(D42="简单平均",AVERAGE(R42:V42),R42*F42+T42*H42+V42*J42),0),ROUND(IF(D42="简单平均",AVERAGE(R42:V42),R42*F42+T42*H42+V42*J42),1))</f>
        <v>#DIV/0!</v>
      </c>
      <c r="S43" s="3828"/>
      <c r="T43" s="3828"/>
      <c r="U43" s="3828"/>
      <c r="V43" s="3828"/>
      <c r="W43" s="38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2015-4</v>
      </c>
      <c r="D52" s="1185">
        <f>EDATE(C52,-1)</f>
        <v>42064</v>
      </c>
      <c r="E52" s="1185">
        <f t="shared" ref="E52:O52" si="16">EDATE(D52,-1)</f>
        <v>42036</v>
      </c>
      <c r="F52" s="1185">
        <f t="shared" si="16"/>
        <v>42005</v>
      </c>
      <c r="G52" s="1185">
        <f t="shared" si="16"/>
        <v>41974</v>
      </c>
      <c r="H52" s="1185">
        <f t="shared" si="16"/>
        <v>41944</v>
      </c>
      <c r="I52" s="1185">
        <f t="shared" si="16"/>
        <v>41913</v>
      </c>
      <c r="J52" s="1185">
        <f t="shared" si="16"/>
        <v>41883</v>
      </c>
      <c r="K52" s="1185">
        <f t="shared" si="16"/>
        <v>41852</v>
      </c>
      <c r="L52" s="1185">
        <f t="shared" si="16"/>
        <v>41821</v>
      </c>
      <c r="M52" s="1185">
        <f t="shared" si="16"/>
        <v>41791</v>
      </c>
      <c r="N52" s="1185">
        <f t="shared" si="16"/>
        <v>41760</v>
      </c>
      <c r="O52" s="1185">
        <f t="shared" si="16"/>
        <v>41730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5" t="s">
        <v>1680</v>
      </c>
      <c r="Q7" s="3867"/>
      <c r="R7" s="701" t="s">
        <v>14</v>
      </c>
      <c r="S7" s="702">
        <f t="shared" ref="S7:S14" si="0">F7</f>
        <v>0</v>
      </c>
      <c r="T7" s="701" t="s">
        <v>14</v>
      </c>
      <c r="U7" s="702">
        <f t="shared" ref="U7:U14" si="1">H7</f>
        <v>0</v>
      </c>
      <c r="V7" s="701" t="s">
        <v>14</v>
      </c>
      <c r="W7" s="702">
        <f t="shared" ref="W7:W14"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29" t="s">
        <v>1686</v>
      </c>
      <c r="Q9" s="1343" t="str">
        <f t="shared" ref="Q9:Q14" si="6">B9</f>
        <v>用途</v>
      </c>
      <c r="R9" s="701" t="s">
        <v>14</v>
      </c>
      <c r="S9" s="702">
        <f t="shared" si="0"/>
        <v>100</v>
      </c>
      <c r="T9" s="701" t="s">
        <v>14</v>
      </c>
      <c r="U9" s="702">
        <f t="shared" si="1"/>
        <v>100</v>
      </c>
      <c r="V9" s="701" t="s">
        <v>14</v>
      </c>
      <c r="W9" s="702">
        <f t="shared" si="2"/>
        <v>100</v>
      </c>
      <c r="X9" s="703"/>
      <c r="Y9" s="370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2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31" t="s">
        <v>1691</v>
      </c>
      <c r="Q14" s="1352" t="str">
        <f t="shared" si="6"/>
        <v>交通便捷度</v>
      </c>
      <c r="R14" s="705" t="s">
        <v>14</v>
      </c>
      <c r="S14" s="706">
        <f t="shared" si="0"/>
        <v>100</v>
      </c>
      <c r="T14" s="705" t="s">
        <v>14</v>
      </c>
      <c r="U14" s="706">
        <f t="shared" si="1"/>
        <v>100</v>
      </c>
      <c r="V14" s="705" t="s">
        <v>14</v>
      </c>
      <c r="W14" s="706">
        <f t="shared" si="2"/>
        <v>100</v>
      </c>
      <c r="X14" s="1355"/>
      <c r="Y14" s="38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32"/>
      <c r="Q15" s="1352"/>
      <c r="R15" s="705"/>
      <c r="S15" s="706"/>
      <c r="T15" s="705"/>
      <c r="U15" s="706"/>
      <c r="V15" s="705"/>
      <c r="W15" s="706"/>
      <c r="X15" s="1355"/>
      <c r="Y15" s="383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32"/>
      <c r="Q16" s="1352" t="str">
        <f>B16</f>
        <v>公共配套设施</v>
      </c>
      <c r="R16" s="705" t="s">
        <v>14</v>
      </c>
      <c r="S16" s="706">
        <f>F16</f>
        <v>100</v>
      </c>
      <c r="T16" s="705" t="s">
        <v>14</v>
      </c>
      <c r="U16" s="706">
        <f>H16</f>
        <v>100</v>
      </c>
      <c r="V16" s="705" t="s">
        <v>14</v>
      </c>
      <c r="W16" s="706">
        <f>J16</f>
        <v>100</v>
      </c>
      <c r="X16" s="1355"/>
      <c r="Y16" s="38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32"/>
      <c r="Q17" s="1352"/>
      <c r="R17" s="705"/>
      <c r="S17" s="706"/>
      <c r="T17" s="705"/>
      <c r="U17" s="706"/>
      <c r="V17" s="705"/>
      <c r="W17" s="706"/>
      <c r="X17" s="1355"/>
      <c r="Y17" s="383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32"/>
      <c r="Q18" s="1352" t="str">
        <f>B18</f>
        <v>基础设施水平</v>
      </c>
      <c r="R18" s="705" t="s">
        <v>14</v>
      </c>
      <c r="S18" s="706">
        <f>F18</f>
        <v>100</v>
      </c>
      <c r="T18" s="705" t="s">
        <v>14</v>
      </c>
      <c r="U18" s="706">
        <f>H18</f>
        <v>100</v>
      </c>
      <c r="V18" s="705" t="s">
        <v>14</v>
      </c>
      <c r="W18" s="706">
        <f>J18</f>
        <v>100</v>
      </c>
      <c r="X18" s="1355"/>
      <c r="Y18" s="38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32"/>
      <c r="Q19" s="1352"/>
      <c r="R19" s="705"/>
      <c r="S19" s="706"/>
      <c r="T19" s="705"/>
      <c r="U19" s="706"/>
      <c r="V19" s="705"/>
      <c r="W19" s="706"/>
      <c r="X19" s="1355"/>
      <c r="Y19" s="3832"/>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32"/>
      <c r="Q20" s="1352" t="str">
        <f>B20</f>
        <v>自然及人文环境</v>
      </c>
      <c r="R20" s="705" t="s">
        <v>14</v>
      </c>
      <c r="S20" s="706">
        <f>F20</f>
        <v>100</v>
      </c>
      <c r="T20" s="705" t="s">
        <v>14</v>
      </c>
      <c r="U20" s="706">
        <f>H20</f>
        <v>100</v>
      </c>
      <c r="V20" s="705" t="s">
        <v>14</v>
      </c>
      <c r="W20" s="706">
        <f>J20</f>
        <v>100</v>
      </c>
      <c r="X20" s="1355"/>
      <c r="Y20" s="38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32"/>
      <c r="Q21" s="1352"/>
      <c r="R21" s="705"/>
      <c r="S21" s="706"/>
      <c r="T21" s="705"/>
      <c r="U21" s="706"/>
      <c r="V21" s="705"/>
      <c r="W21" s="706"/>
      <c r="X21" s="1355"/>
      <c r="Y21" s="38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32"/>
      <c r="Q22" s="1352" t="str">
        <f>B22</f>
        <v>楼层</v>
      </c>
      <c r="R22" s="705" t="s">
        <v>14</v>
      </c>
      <c r="S22" s="706">
        <f>F22</f>
        <v>100</v>
      </c>
      <c r="T22" s="705" t="s">
        <v>14</v>
      </c>
      <c r="U22" s="706">
        <f>H22</f>
        <v>100</v>
      </c>
      <c r="V22" s="705" t="s">
        <v>14</v>
      </c>
      <c r="W22" s="706">
        <f>J22</f>
        <v>100</v>
      </c>
      <c r="X22" s="1355"/>
      <c r="Y22" s="38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32"/>
      <c r="Q23" s="1352">
        <f>B23</f>
        <v>111</v>
      </c>
      <c r="R23" s="705" t="s">
        <v>14</v>
      </c>
      <c r="S23" s="706">
        <f>F23</f>
        <v>100</v>
      </c>
      <c r="T23" s="705" t="s">
        <v>14</v>
      </c>
      <c r="U23" s="706">
        <f>H23</f>
        <v>100</v>
      </c>
      <c r="V23" s="705" t="s">
        <v>14</v>
      </c>
      <c r="W23" s="706">
        <f>J23</f>
        <v>100</v>
      </c>
      <c r="X23" s="1355"/>
      <c r="Y23" s="38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32"/>
      <c r="Q24" s="1352">
        <f t="shared" ref="Q24:Q36" si="11">B24</f>
        <v>111</v>
      </c>
      <c r="R24" s="705" t="s">
        <v>14</v>
      </c>
      <c r="S24" s="706">
        <f>F24</f>
        <v>100</v>
      </c>
      <c r="T24" s="705" t="s">
        <v>14</v>
      </c>
      <c r="U24" s="706">
        <f>H24</f>
        <v>100</v>
      </c>
      <c r="V24" s="705" t="s">
        <v>14</v>
      </c>
      <c r="W24" s="706">
        <f>J24</f>
        <v>100</v>
      </c>
      <c r="X24" s="1355"/>
      <c r="Y24" s="38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32"/>
      <c r="Q25" s="1343">
        <f t="shared" si="11"/>
        <v>111</v>
      </c>
      <c r="R25" s="701" t="s">
        <v>14</v>
      </c>
      <c r="S25" s="702">
        <f>F25</f>
        <v>100</v>
      </c>
      <c r="T25" s="701" t="s">
        <v>14</v>
      </c>
      <c r="U25" s="702">
        <f>H25</f>
        <v>100</v>
      </c>
      <c r="V25" s="701" t="s">
        <v>14</v>
      </c>
      <c r="W25" s="702">
        <f>J25</f>
        <v>100</v>
      </c>
      <c r="X25" s="703"/>
      <c r="Y25" s="3832"/>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9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36"/>
      <c r="Q27" s="707" t="str">
        <f t="shared" si="11"/>
        <v>项目停车位配比</v>
      </c>
      <c r="R27" s="708" t="s">
        <v>14</v>
      </c>
      <c r="S27" s="709">
        <f t="shared" si="12"/>
        <v>100</v>
      </c>
      <c r="T27" s="708" t="s">
        <v>14</v>
      </c>
      <c r="U27" s="709">
        <f t="shared" si="13"/>
        <v>100</v>
      </c>
      <c r="V27" s="708" t="s">
        <v>14</v>
      </c>
      <c r="W27" s="709">
        <f t="shared" si="14"/>
        <v>100</v>
      </c>
      <c r="X27" s="710"/>
      <c r="Y27" s="38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36"/>
      <c r="Q28" s="1352" t="str">
        <f t="shared" si="11"/>
        <v>公共部分装修</v>
      </c>
      <c r="R28" s="705" t="s">
        <v>14</v>
      </c>
      <c r="S28" s="706">
        <f t="shared" si="12"/>
        <v>100</v>
      </c>
      <c r="T28" s="705" t="s">
        <v>14</v>
      </c>
      <c r="U28" s="706">
        <f t="shared" si="13"/>
        <v>100</v>
      </c>
      <c r="V28" s="705" t="s">
        <v>14</v>
      </c>
      <c r="W28" s="706">
        <f t="shared" si="14"/>
        <v>100</v>
      </c>
      <c r="X28" s="1355"/>
      <c r="Y28" s="38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36"/>
      <c r="Q29" s="1352" t="str">
        <f t="shared" si="11"/>
        <v>成新率</v>
      </c>
      <c r="R29" s="705" t="s">
        <v>14</v>
      </c>
      <c r="S29" s="706" t="e">
        <f t="shared" si="12"/>
        <v>#N/A</v>
      </c>
      <c r="T29" s="705" t="s">
        <v>14</v>
      </c>
      <c r="U29" s="706" t="e">
        <f t="shared" si="13"/>
        <v>#N/A</v>
      </c>
      <c r="V29" s="705" t="s">
        <v>14</v>
      </c>
      <c r="W29" s="706" t="e">
        <f t="shared" si="14"/>
        <v>#N/A</v>
      </c>
      <c r="X29" s="1355"/>
      <c r="Y29" s="38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36"/>
      <c r="Q30" s="1352" t="str">
        <f t="shared" si="11"/>
        <v>物业等级</v>
      </c>
      <c r="R30" s="705" t="s">
        <v>14</v>
      </c>
      <c r="S30" s="706">
        <f t="shared" si="12"/>
        <v>100</v>
      </c>
      <c r="T30" s="705" t="s">
        <v>14</v>
      </c>
      <c r="U30" s="706">
        <f t="shared" si="13"/>
        <v>100</v>
      </c>
      <c r="V30" s="705" t="s">
        <v>14</v>
      </c>
      <c r="W30" s="706">
        <f t="shared" si="14"/>
        <v>100</v>
      </c>
      <c r="X30" s="1355"/>
      <c r="Y30" s="38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36"/>
      <c r="Q31" s="1343" t="str">
        <f t="shared" si="11"/>
        <v>停车位面积</v>
      </c>
      <c r="R31" s="701" t="s">
        <v>14</v>
      </c>
      <c r="S31" s="702" t="e">
        <f t="shared" si="12"/>
        <v>#N/A</v>
      </c>
      <c r="T31" s="701" t="s">
        <v>14</v>
      </c>
      <c r="U31" s="702" t="e">
        <f t="shared" si="13"/>
        <v>#N/A</v>
      </c>
      <c r="V31" s="701" t="s">
        <v>14</v>
      </c>
      <c r="W31" s="702" t="e">
        <f t="shared" si="14"/>
        <v>#N/A</v>
      </c>
      <c r="X31" s="703"/>
      <c r="Y31" s="38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36" t="s">
        <v>1695</v>
      </c>
      <c r="Q32" s="1352" t="str">
        <f t="shared" si="11"/>
        <v>车位类型</v>
      </c>
      <c r="R32" s="705" t="s">
        <v>14</v>
      </c>
      <c r="S32" s="706">
        <f t="shared" si="12"/>
        <v>100</v>
      </c>
      <c r="T32" s="705" t="s">
        <v>14</v>
      </c>
      <c r="U32" s="706">
        <f t="shared" si="13"/>
        <v>100</v>
      </c>
      <c r="V32" s="705" t="s">
        <v>14</v>
      </c>
      <c r="W32" s="706">
        <f t="shared" si="14"/>
        <v>100</v>
      </c>
      <c r="X32" s="1355"/>
      <c r="Y32" s="38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36"/>
      <c r="Q33" s="1352" t="str">
        <f t="shared" si="11"/>
        <v>是否直接入户</v>
      </c>
      <c r="R33" s="705" t="s">
        <v>14</v>
      </c>
      <c r="S33" s="706">
        <f t="shared" si="12"/>
        <v>100</v>
      </c>
      <c r="T33" s="705" t="s">
        <v>14</v>
      </c>
      <c r="U33" s="706">
        <f t="shared" si="13"/>
        <v>100</v>
      </c>
      <c r="V33" s="705" t="s">
        <v>14</v>
      </c>
      <c r="W33" s="706">
        <f t="shared" si="14"/>
        <v>100</v>
      </c>
      <c r="X33" s="1355"/>
      <c r="Y33" s="38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36"/>
      <c r="Q34" s="1352">
        <f t="shared" si="11"/>
        <v>111</v>
      </c>
      <c r="R34" s="705" t="s">
        <v>14</v>
      </c>
      <c r="S34" s="706">
        <f t="shared" si="12"/>
        <v>100</v>
      </c>
      <c r="T34" s="705" t="s">
        <v>14</v>
      </c>
      <c r="U34" s="706">
        <f t="shared" si="13"/>
        <v>100</v>
      </c>
      <c r="V34" s="705" t="s">
        <v>14</v>
      </c>
      <c r="W34" s="706">
        <f t="shared" si="14"/>
        <v>100</v>
      </c>
      <c r="X34" s="1355"/>
      <c r="Y34" s="38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36"/>
      <c r="Q35" s="707">
        <f t="shared" si="11"/>
        <v>111</v>
      </c>
      <c r="R35" s="708" t="s">
        <v>14</v>
      </c>
      <c r="S35" s="709">
        <f t="shared" si="12"/>
        <v>100</v>
      </c>
      <c r="T35" s="708" t="s">
        <v>14</v>
      </c>
      <c r="U35" s="709">
        <f t="shared" si="13"/>
        <v>100</v>
      </c>
      <c r="V35" s="708" t="s">
        <v>14</v>
      </c>
      <c r="W35" s="709">
        <f t="shared" si="14"/>
        <v>100</v>
      </c>
      <c r="X35" s="710"/>
      <c r="Y35" s="38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36"/>
      <c r="Q36" s="1352">
        <f t="shared" si="11"/>
        <v>111</v>
      </c>
      <c r="R36" s="705" t="s">
        <v>14</v>
      </c>
      <c r="S36" s="706">
        <f t="shared" si="12"/>
        <v>100</v>
      </c>
      <c r="T36" s="705" t="s">
        <v>14</v>
      </c>
      <c r="U36" s="706">
        <f t="shared" si="13"/>
        <v>100</v>
      </c>
      <c r="V36" s="705" t="s">
        <v>14</v>
      </c>
      <c r="W36" s="706">
        <f t="shared" si="14"/>
        <v>100</v>
      </c>
      <c r="X36" s="1355"/>
      <c r="Y36" s="3836"/>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829" t="str">
        <f>A37</f>
        <v>成交单价</v>
      </c>
      <c r="Q37" s="3829"/>
      <c r="R37" s="3830">
        <f>E37</f>
        <v>0</v>
      </c>
      <c r="S37" s="3830"/>
      <c r="T37" s="3830">
        <f>G37</f>
        <v>0</v>
      </c>
      <c r="U37" s="3830"/>
      <c r="V37" s="3830">
        <f>I37</f>
        <v>0</v>
      </c>
      <c r="W37" s="383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829" t="str">
        <f>A38</f>
        <v>比较价值（元/平方米）</v>
      </c>
      <c r="Q38" s="3829"/>
      <c r="R38" s="3830" t="e">
        <f>IF(F1="售价",ROUND(PRODUCT(R37,AA7:AA36),0),ROUND(PRODUCT(R37,AA7:AA36),1))</f>
        <v>#DIV/0!</v>
      </c>
      <c r="S38" s="3830"/>
      <c r="T38" s="3830" t="e">
        <f>IF(F1="售价",ROUND(PRODUCT(T37,AB7:AB36),0),ROUND(PRODUCT(T37,AB7:AB36),1))</f>
        <v>#DIV/0!</v>
      </c>
      <c r="U38" s="3830"/>
      <c r="V38" s="3830" t="e">
        <f>IF(F1="售价",ROUND(PRODUCT(V37,AC7:AC36),0),ROUND(PRODUCT(V37,AC7:AC36),1))</f>
        <v>#DIV/0!</v>
      </c>
      <c r="W38" s="383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826" t="str">
        <f>A39</f>
        <v>估价对象XX用房的比较价值（楼面单价，元/平方米）</v>
      </c>
      <c r="Q39" s="3827"/>
      <c r="R39" s="3896" t="e">
        <f>IF(F1="售价",ROUND(IF(D38="简单平均",AVERAGE(R38:W38),R38*F38+T38*H38+V38*J38),0),ROUND(IF(D38="简单平均",AVERAGE(R38:V38),R38*F38+T38*H38+V38*J38),1))</f>
        <v>#DIV/0!</v>
      </c>
      <c r="S39" s="3896"/>
      <c r="T39" s="3896"/>
      <c r="U39" s="3896"/>
      <c r="V39" s="3896"/>
      <c r="W39" s="389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2015-4</v>
      </c>
      <c r="D48" s="1185">
        <f>EDATE(C48,-1)</f>
        <v>42064</v>
      </c>
      <c r="E48" s="1185">
        <f t="shared" ref="E48:O48" si="16">EDATE(D48,-1)</f>
        <v>42036</v>
      </c>
      <c r="F48" s="1185">
        <f t="shared" si="16"/>
        <v>42005</v>
      </c>
      <c r="G48" s="1185">
        <f t="shared" si="16"/>
        <v>41974</v>
      </c>
      <c r="H48" s="1185">
        <f t="shared" si="16"/>
        <v>41944</v>
      </c>
      <c r="I48" s="1185">
        <f t="shared" si="16"/>
        <v>41913</v>
      </c>
      <c r="J48" s="1185">
        <f t="shared" si="16"/>
        <v>41883</v>
      </c>
      <c r="K48" s="1185">
        <f t="shared" si="16"/>
        <v>41852</v>
      </c>
      <c r="L48" s="1185">
        <f t="shared" si="16"/>
        <v>41821</v>
      </c>
      <c r="M48" s="1185">
        <f t="shared" si="16"/>
        <v>41791</v>
      </c>
      <c r="N48" s="1185">
        <f t="shared" si="16"/>
        <v>41760</v>
      </c>
      <c r="O48" s="1185">
        <f t="shared" si="16"/>
        <v>41730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5" t="s">
        <v>1680</v>
      </c>
      <c r="Q7" s="3867"/>
      <c r="R7" s="701" t="s">
        <v>14</v>
      </c>
      <c r="S7" s="702">
        <f t="shared" ref="S7:S14" si="0">F7</f>
        <v>0</v>
      </c>
      <c r="T7" s="701" t="s">
        <v>14</v>
      </c>
      <c r="U7" s="702">
        <f t="shared" ref="U7:U14" si="1">H7</f>
        <v>0</v>
      </c>
      <c r="V7" s="701" t="s">
        <v>14</v>
      </c>
      <c r="W7" s="702">
        <f t="shared" ref="W7:W14" si="2">J7</f>
        <v>0</v>
      </c>
      <c r="X7" s="703"/>
      <c r="Y7" s="3865" t="s">
        <v>1680</v>
      </c>
      <c r="Z7" s="386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5" t="s">
        <v>1683</v>
      </c>
      <c r="Q8" s="3866"/>
      <c r="R8" s="701" t="s">
        <v>14</v>
      </c>
      <c r="S8" s="702">
        <f t="shared" si="0"/>
        <v>100</v>
      </c>
      <c r="T8" s="701" t="s">
        <v>14</v>
      </c>
      <c r="U8" s="702">
        <f t="shared" si="1"/>
        <v>100</v>
      </c>
      <c r="V8" s="701" t="s">
        <v>14</v>
      </c>
      <c r="W8" s="702">
        <f t="shared" si="2"/>
        <v>100</v>
      </c>
      <c r="X8" s="703"/>
      <c r="Y8" s="3865" t="s">
        <v>1683</v>
      </c>
      <c r="Z8" s="386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29" t="s">
        <v>1686</v>
      </c>
      <c r="Q9" s="1343" t="str">
        <f t="shared" ref="Q9:Q14" si="6">B9</f>
        <v>用途</v>
      </c>
      <c r="R9" s="701" t="s">
        <v>14</v>
      </c>
      <c r="S9" s="702">
        <f t="shared" si="0"/>
        <v>100</v>
      </c>
      <c r="T9" s="701" t="s">
        <v>14</v>
      </c>
      <c r="U9" s="702">
        <f t="shared" si="1"/>
        <v>100</v>
      </c>
      <c r="V9" s="701" t="s">
        <v>14</v>
      </c>
      <c r="W9" s="702">
        <f t="shared" si="2"/>
        <v>100</v>
      </c>
      <c r="X9" s="703"/>
      <c r="Y9" s="370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2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2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31" t="s">
        <v>1691</v>
      </c>
      <c r="Q14" s="1352" t="str">
        <f t="shared" si="6"/>
        <v>交通便捷度</v>
      </c>
      <c r="R14" s="705" t="s">
        <v>14</v>
      </c>
      <c r="S14" s="706">
        <f t="shared" si="0"/>
        <v>100</v>
      </c>
      <c r="T14" s="705" t="s">
        <v>14</v>
      </c>
      <c r="U14" s="706">
        <f t="shared" si="1"/>
        <v>100</v>
      </c>
      <c r="V14" s="705" t="s">
        <v>14</v>
      </c>
      <c r="W14" s="706">
        <f t="shared" si="2"/>
        <v>100</v>
      </c>
      <c r="X14" s="1355"/>
      <c r="Y14" s="38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32"/>
      <c r="Q15" s="1352"/>
      <c r="R15" s="705"/>
      <c r="S15" s="706"/>
      <c r="T15" s="705"/>
      <c r="U15" s="706"/>
      <c r="V15" s="705"/>
      <c r="W15" s="706"/>
      <c r="X15" s="1355"/>
      <c r="Y15" s="383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32"/>
      <c r="Q16" s="1352" t="str">
        <f>B16</f>
        <v>公共配套设施</v>
      </c>
      <c r="R16" s="705" t="s">
        <v>14</v>
      </c>
      <c r="S16" s="706">
        <f>F16</f>
        <v>100</v>
      </c>
      <c r="T16" s="705" t="s">
        <v>14</v>
      </c>
      <c r="U16" s="706">
        <f>H16</f>
        <v>100</v>
      </c>
      <c r="V16" s="705" t="s">
        <v>14</v>
      </c>
      <c r="W16" s="706">
        <f>J16</f>
        <v>100</v>
      </c>
      <c r="X16" s="1355"/>
      <c r="Y16" s="38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32"/>
      <c r="Q17" s="1352"/>
      <c r="R17" s="705"/>
      <c r="S17" s="706"/>
      <c r="T17" s="705"/>
      <c r="U17" s="706"/>
      <c r="V17" s="705"/>
      <c r="W17" s="706"/>
      <c r="X17" s="1355"/>
      <c r="Y17" s="383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32"/>
      <c r="Q18" s="1352" t="str">
        <f>B18</f>
        <v>基础设施水平</v>
      </c>
      <c r="R18" s="705" t="s">
        <v>14</v>
      </c>
      <c r="S18" s="706">
        <f>F18</f>
        <v>100</v>
      </c>
      <c r="T18" s="705" t="s">
        <v>14</v>
      </c>
      <c r="U18" s="706">
        <f>H18</f>
        <v>100</v>
      </c>
      <c r="V18" s="705" t="s">
        <v>14</v>
      </c>
      <c r="W18" s="706">
        <f>J18</f>
        <v>100</v>
      </c>
      <c r="X18" s="1355"/>
      <c r="Y18" s="38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32"/>
      <c r="Q19" s="1352"/>
      <c r="R19" s="705"/>
      <c r="S19" s="706"/>
      <c r="T19" s="705"/>
      <c r="U19" s="706"/>
      <c r="V19" s="705"/>
      <c r="W19" s="706"/>
      <c r="X19" s="1355"/>
      <c r="Y19" s="3832"/>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32"/>
      <c r="Q20" s="1352" t="str">
        <f>B20</f>
        <v>自然及人文环境</v>
      </c>
      <c r="R20" s="705" t="s">
        <v>14</v>
      </c>
      <c r="S20" s="706">
        <f>F20</f>
        <v>100</v>
      </c>
      <c r="T20" s="705" t="s">
        <v>14</v>
      </c>
      <c r="U20" s="706">
        <f>H20</f>
        <v>100</v>
      </c>
      <c r="V20" s="705" t="s">
        <v>14</v>
      </c>
      <c r="W20" s="706">
        <f>J20</f>
        <v>100</v>
      </c>
      <c r="X20" s="1355"/>
      <c r="Y20" s="38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32"/>
      <c r="Q21" s="1352"/>
      <c r="R21" s="705"/>
      <c r="S21" s="706"/>
      <c r="T21" s="705"/>
      <c r="U21" s="706"/>
      <c r="V21" s="705"/>
      <c r="W21" s="706"/>
      <c r="X21" s="1355"/>
      <c r="Y21" s="38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32"/>
      <c r="Q22" s="1352" t="str">
        <f>B22</f>
        <v>楼层</v>
      </c>
      <c r="R22" s="705" t="s">
        <v>14</v>
      </c>
      <c r="S22" s="706">
        <f>F22</f>
        <v>100</v>
      </c>
      <c r="T22" s="705" t="s">
        <v>14</v>
      </c>
      <c r="U22" s="706">
        <f>H22</f>
        <v>100</v>
      </c>
      <c r="V22" s="705" t="s">
        <v>14</v>
      </c>
      <c r="W22" s="706">
        <f>J22</f>
        <v>100</v>
      </c>
      <c r="X22" s="1355"/>
      <c r="Y22" s="38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32"/>
      <c r="Q23" s="1352">
        <f>B23</f>
        <v>111</v>
      </c>
      <c r="R23" s="705" t="s">
        <v>14</v>
      </c>
      <c r="S23" s="706">
        <f>F23</f>
        <v>100</v>
      </c>
      <c r="T23" s="705" t="s">
        <v>14</v>
      </c>
      <c r="U23" s="706">
        <f>H23</f>
        <v>100</v>
      </c>
      <c r="V23" s="705" t="s">
        <v>14</v>
      </c>
      <c r="W23" s="706">
        <f>J23</f>
        <v>100</v>
      </c>
      <c r="X23" s="1355"/>
      <c r="Y23" s="38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32"/>
      <c r="Q24" s="1352">
        <f t="shared" ref="Q24:Q34" si="11">B24</f>
        <v>111</v>
      </c>
      <c r="R24" s="705" t="s">
        <v>14</v>
      </c>
      <c r="S24" s="706">
        <f>F24</f>
        <v>100</v>
      </c>
      <c r="T24" s="705" t="s">
        <v>14</v>
      </c>
      <c r="U24" s="706">
        <f>H24</f>
        <v>100</v>
      </c>
      <c r="V24" s="705" t="s">
        <v>14</v>
      </c>
      <c r="W24" s="706">
        <f>J24</f>
        <v>100</v>
      </c>
      <c r="X24" s="1355"/>
      <c r="Y24" s="38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32"/>
      <c r="Q25" s="1343">
        <f t="shared" si="11"/>
        <v>111</v>
      </c>
      <c r="R25" s="701" t="s">
        <v>14</v>
      </c>
      <c r="S25" s="702">
        <f>F25</f>
        <v>100</v>
      </c>
      <c r="T25" s="701" t="s">
        <v>14</v>
      </c>
      <c r="U25" s="702">
        <f>H25</f>
        <v>100</v>
      </c>
      <c r="V25" s="701" t="s">
        <v>14</v>
      </c>
      <c r="W25" s="702">
        <f>J25</f>
        <v>100</v>
      </c>
      <c r="X25" s="703"/>
      <c r="Y25" s="3832"/>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9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36"/>
      <c r="Q27" s="707" t="str">
        <f t="shared" si="11"/>
        <v>成新率</v>
      </c>
      <c r="R27" s="708" t="s">
        <v>14</v>
      </c>
      <c r="S27" s="709" t="e">
        <f t="shared" si="12"/>
        <v>#N/A</v>
      </c>
      <c r="T27" s="708" t="s">
        <v>14</v>
      </c>
      <c r="U27" s="709" t="e">
        <f t="shared" si="13"/>
        <v>#N/A</v>
      </c>
      <c r="V27" s="708" t="s">
        <v>14</v>
      </c>
      <c r="W27" s="709" t="e">
        <f t="shared" si="14"/>
        <v>#N/A</v>
      </c>
      <c r="X27" s="710"/>
      <c r="Y27" s="38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36"/>
      <c r="Q28" s="1352" t="str">
        <f t="shared" si="11"/>
        <v>物业等级</v>
      </c>
      <c r="R28" s="705" t="s">
        <v>14</v>
      </c>
      <c r="S28" s="706">
        <f t="shared" si="12"/>
        <v>100</v>
      </c>
      <c r="T28" s="705" t="s">
        <v>14</v>
      </c>
      <c r="U28" s="706">
        <f t="shared" si="13"/>
        <v>100</v>
      </c>
      <c r="V28" s="705" t="s">
        <v>14</v>
      </c>
      <c r="W28" s="706">
        <f t="shared" si="14"/>
        <v>100</v>
      </c>
      <c r="X28" s="1355"/>
      <c r="Y28" s="38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36"/>
      <c r="Q29" s="1352" t="str">
        <f t="shared" si="11"/>
        <v>有无电梯</v>
      </c>
      <c r="R29" s="705" t="s">
        <v>14</v>
      </c>
      <c r="S29" s="706">
        <f t="shared" si="12"/>
        <v>100</v>
      </c>
      <c r="T29" s="705" t="s">
        <v>14</v>
      </c>
      <c r="U29" s="706">
        <f t="shared" si="13"/>
        <v>100</v>
      </c>
      <c r="V29" s="705" t="s">
        <v>14</v>
      </c>
      <c r="W29" s="706">
        <f t="shared" si="14"/>
        <v>100</v>
      </c>
      <c r="X29" s="1355"/>
      <c r="Y29" s="38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36"/>
      <c r="Q30" s="1352" t="str">
        <f t="shared" si="11"/>
        <v>建筑面积</v>
      </c>
      <c r="R30" s="705" t="s">
        <v>14</v>
      </c>
      <c r="S30" s="706" t="e">
        <f t="shared" si="12"/>
        <v>#N/A</v>
      </c>
      <c r="T30" s="705" t="s">
        <v>14</v>
      </c>
      <c r="U30" s="706" t="e">
        <f t="shared" si="13"/>
        <v>#N/A</v>
      </c>
      <c r="V30" s="705" t="s">
        <v>14</v>
      </c>
      <c r="W30" s="706" t="e">
        <f t="shared" si="14"/>
        <v>#N/A</v>
      </c>
      <c r="X30" s="1355"/>
      <c r="Y30" s="38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36"/>
      <c r="Q31" s="1343" t="str">
        <f t="shared" si="11"/>
        <v>是否封闭</v>
      </c>
      <c r="R31" s="701" t="s">
        <v>14</v>
      </c>
      <c r="S31" s="702">
        <f t="shared" si="12"/>
        <v>100</v>
      </c>
      <c r="T31" s="701" t="s">
        <v>14</v>
      </c>
      <c r="U31" s="702">
        <f t="shared" si="13"/>
        <v>100</v>
      </c>
      <c r="V31" s="701" t="s">
        <v>14</v>
      </c>
      <c r="W31" s="702">
        <f t="shared" si="14"/>
        <v>100</v>
      </c>
      <c r="X31" s="703"/>
      <c r="Y31" s="38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36" t="s">
        <v>1695</v>
      </c>
      <c r="Q32" s="1352">
        <f t="shared" si="11"/>
        <v>111</v>
      </c>
      <c r="R32" s="705" t="s">
        <v>14</v>
      </c>
      <c r="S32" s="706">
        <f t="shared" si="12"/>
        <v>100</v>
      </c>
      <c r="T32" s="705" t="s">
        <v>14</v>
      </c>
      <c r="U32" s="706">
        <f t="shared" si="13"/>
        <v>100</v>
      </c>
      <c r="V32" s="705" t="s">
        <v>14</v>
      </c>
      <c r="W32" s="706">
        <f t="shared" si="14"/>
        <v>100</v>
      </c>
      <c r="X32" s="1355"/>
      <c r="Y32" s="383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36"/>
      <c r="Q33" s="1352">
        <f t="shared" si="11"/>
        <v>111</v>
      </c>
      <c r="R33" s="705" t="s">
        <v>14</v>
      </c>
      <c r="S33" s="706">
        <f t="shared" si="12"/>
        <v>100</v>
      </c>
      <c r="T33" s="705" t="s">
        <v>14</v>
      </c>
      <c r="U33" s="706">
        <f t="shared" si="13"/>
        <v>100</v>
      </c>
      <c r="V33" s="705" t="s">
        <v>14</v>
      </c>
      <c r="W33" s="706">
        <f t="shared" si="14"/>
        <v>100</v>
      </c>
      <c r="X33" s="1355"/>
      <c r="Y33" s="38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36"/>
      <c r="Q34" s="1352">
        <f t="shared" si="11"/>
        <v>111</v>
      </c>
      <c r="R34" s="705" t="s">
        <v>14</v>
      </c>
      <c r="S34" s="706">
        <f t="shared" si="12"/>
        <v>100</v>
      </c>
      <c r="T34" s="705" t="s">
        <v>14</v>
      </c>
      <c r="U34" s="706">
        <f t="shared" si="13"/>
        <v>100</v>
      </c>
      <c r="V34" s="705" t="s">
        <v>14</v>
      </c>
      <c r="W34" s="706">
        <f t="shared" si="14"/>
        <v>100</v>
      </c>
      <c r="X34" s="1355"/>
      <c r="Y34" s="3836"/>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829" t="str">
        <f>A35</f>
        <v>成交单价（元/平方米）</v>
      </c>
      <c r="Q35" s="3829"/>
      <c r="R35" s="3830">
        <f>E35</f>
        <v>0</v>
      </c>
      <c r="S35" s="3830"/>
      <c r="T35" s="3830">
        <f>G35</f>
        <v>0</v>
      </c>
      <c r="U35" s="3830"/>
      <c r="V35" s="3830">
        <f>I35</f>
        <v>0</v>
      </c>
      <c r="W35" s="383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829" t="str">
        <f>A36</f>
        <v>比较价值（元/平方米）</v>
      </c>
      <c r="Q36" s="3829"/>
      <c r="R36" s="3830" t="e">
        <f>IF(F1="售价",ROUND(PRODUCT(R35,AA7:AA34),0),ROUND(PRODUCT(R35,AA7:AA34),1))</f>
        <v>#DIV/0!</v>
      </c>
      <c r="S36" s="3830"/>
      <c r="T36" s="3830" t="e">
        <f>IF(F1="售价",ROUND(PRODUCT(T35,AB7:AB34),0),ROUND(PRODUCT(T35,AB7:AB34),1))</f>
        <v>#DIV/0!</v>
      </c>
      <c r="U36" s="3830"/>
      <c r="V36" s="3830" t="e">
        <f>IF(F1="售价",ROUND(PRODUCT(V35,AC7:AC34),0),ROUND(PRODUCT(V35,AC7:AC34),1))</f>
        <v>#DIV/0!</v>
      </c>
      <c r="W36" s="383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826" t="str">
        <f>A37</f>
        <v>估价对象XX用房的比较价值（楼面单价，元/平方米）</v>
      </c>
      <c r="Q37" s="3827"/>
      <c r="R37" s="3896" t="e">
        <f>IF(F1="售价",ROUND(IF(D36="简单平均",AVERAGE(R36:W36),R36*F36+T36*H36+V36*J36),0),ROUND(IF(D36="简单平均",AVERAGE(R36:V36),R36*F36+T36*H36+V36*J36),1))</f>
        <v>#DIV/0!</v>
      </c>
      <c r="S37" s="3896"/>
      <c r="T37" s="3896"/>
      <c r="U37" s="3896"/>
      <c r="V37" s="3896"/>
      <c r="W37" s="389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2015-4</v>
      </c>
      <c r="D46" s="1185">
        <f>EDATE(C46,-1)</f>
        <v>42064</v>
      </c>
      <c r="E46" s="1185">
        <f t="shared" ref="E46:O46" si="16">EDATE(D46,-1)</f>
        <v>42036</v>
      </c>
      <c r="F46" s="1185">
        <f t="shared" si="16"/>
        <v>42005</v>
      </c>
      <c r="G46" s="1185">
        <f t="shared" si="16"/>
        <v>41974</v>
      </c>
      <c r="H46" s="1185">
        <f t="shared" si="16"/>
        <v>41944</v>
      </c>
      <c r="I46" s="1185">
        <f t="shared" si="16"/>
        <v>41913</v>
      </c>
      <c r="J46" s="1185">
        <f t="shared" si="16"/>
        <v>41883</v>
      </c>
      <c r="K46" s="1185">
        <f t="shared" si="16"/>
        <v>41852</v>
      </c>
      <c r="L46" s="1185">
        <f t="shared" si="16"/>
        <v>41821</v>
      </c>
      <c r="M46" s="1185">
        <f t="shared" si="16"/>
        <v>41791</v>
      </c>
      <c r="N46" s="1185">
        <f t="shared" si="16"/>
        <v>41760</v>
      </c>
      <c r="O46" s="1185">
        <f t="shared" si="16"/>
        <v>41730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30">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30" ht="15" thickBot="1">
      <c r="A6" s="360"/>
      <c r="B6" s="361"/>
      <c r="C6" s="3875" t="s">
        <v>1677</v>
      </c>
      <c r="D6" s="3862"/>
      <c r="E6" s="3877" t="s">
        <v>1677</v>
      </c>
      <c r="F6" s="3871"/>
      <c r="G6" s="3875" t="s">
        <v>1677</v>
      </c>
      <c r="H6" s="3862"/>
      <c r="I6" s="3875" t="s">
        <v>1677</v>
      </c>
      <c r="J6" s="3862"/>
      <c r="K6" s="559" t="s">
        <v>1678</v>
      </c>
      <c r="L6" s="2715"/>
      <c r="M6" s="2716"/>
      <c r="N6" s="2716"/>
      <c r="O6" s="2716"/>
      <c r="P6" s="3852"/>
      <c r="Q6" s="3853"/>
      <c r="R6" s="3856"/>
      <c r="S6" s="3857"/>
      <c r="T6" s="3858"/>
      <c r="U6" s="3859"/>
      <c r="V6" s="3860"/>
      <c r="W6" s="3860"/>
      <c r="X6" s="1355"/>
      <c r="Y6" s="3858"/>
      <c r="Z6" s="3859"/>
      <c r="AA6" s="3843"/>
      <c r="AB6" s="3843"/>
      <c r="AC6" s="3843"/>
    </row>
    <row r="7" spans="1:30" s="108" customFormat="1" ht="15" thickBot="1">
      <c r="A7" s="362" t="s">
        <v>1679</v>
      </c>
      <c r="B7" s="363"/>
      <c r="C7" s="364">
        <f>'数据-取费表'!B2</f>
        <v>42103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5" t="s">
        <v>1683</v>
      </c>
      <c r="Q8" s="3866"/>
      <c r="R8" s="701" t="s">
        <v>14</v>
      </c>
      <c r="S8" s="702">
        <f t="shared" si="0"/>
        <v>0</v>
      </c>
      <c r="T8" s="701" t="s">
        <v>14</v>
      </c>
      <c r="U8" s="702">
        <f t="shared" si="1"/>
        <v>0</v>
      </c>
      <c r="V8" s="701" t="s">
        <v>14</v>
      </c>
      <c r="W8" s="702">
        <f t="shared" si="2"/>
        <v>0</v>
      </c>
      <c r="X8" s="703"/>
      <c r="Y8" s="3865" t="s">
        <v>1683</v>
      </c>
      <c r="Z8" s="386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29"/>
      <c r="Q10" s="1343" t="str">
        <f t="shared" si="6"/>
        <v>土地使用年限（年）</v>
      </c>
      <c r="R10" s="701" t="s">
        <v>14</v>
      </c>
      <c r="S10" s="702" t="e">
        <f t="shared" si="0"/>
        <v>#DIV/0!</v>
      </c>
      <c r="T10" s="701" t="s">
        <v>14</v>
      </c>
      <c r="U10" s="702" t="e">
        <f t="shared" si="1"/>
        <v>#DIV/0!</v>
      </c>
      <c r="V10" s="701" t="s">
        <v>14</v>
      </c>
      <c r="W10" s="702" t="e">
        <f t="shared" si="2"/>
        <v>#DIV/0!</v>
      </c>
      <c r="X10" s="703"/>
      <c r="Y10" s="370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2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29"/>
      <c r="Q12" s="1343" t="str">
        <f t="shared" si="6"/>
        <v>配建</v>
      </c>
      <c r="R12" s="701" t="s">
        <v>14</v>
      </c>
      <c r="S12" s="702">
        <f t="shared" si="0"/>
        <v>100</v>
      </c>
      <c r="T12" s="701" t="s">
        <v>14</v>
      </c>
      <c r="U12" s="702">
        <f t="shared" si="1"/>
        <v>100</v>
      </c>
      <c r="V12" s="701" t="s">
        <v>14</v>
      </c>
      <c r="W12" s="702">
        <f t="shared" si="2"/>
        <v>100</v>
      </c>
      <c r="X12" s="703"/>
      <c r="Y12" s="370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31" t="s">
        <v>1691</v>
      </c>
      <c r="Q15" s="1352" t="str">
        <f t="shared" si="6"/>
        <v>居住社区成熟度</v>
      </c>
      <c r="R15" s="705" t="s">
        <v>14</v>
      </c>
      <c r="S15" s="706">
        <f t="shared" si="0"/>
        <v>100</v>
      </c>
      <c r="T15" s="705" t="s">
        <v>14</v>
      </c>
      <c r="U15" s="706">
        <f t="shared" si="1"/>
        <v>100</v>
      </c>
      <c r="V15" s="705" t="s">
        <v>14</v>
      </c>
      <c r="W15" s="706">
        <f t="shared" si="2"/>
        <v>100</v>
      </c>
      <c r="X15" s="1355"/>
      <c r="Y15" s="38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32"/>
      <c r="Q16" s="1352"/>
      <c r="R16" s="705"/>
      <c r="S16" s="706"/>
      <c r="T16" s="705"/>
      <c r="U16" s="706"/>
      <c r="V16" s="705"/>
      <c r="W16" s="706"/>
      <c r="X16" s="1355"/>
      <c r="Y16" s="383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32"/>
      <c r="Q17" s="1352" t="str">
        <f>B17</f>
        <v>商业繁华度</v>
      </c>
      <c r="R17" s="705" t="s">
        <v>14</v>
      </c>
      <c r="S17" s="706">
        <f>F17</f>
        <v>100</v>
      </c>
      <c r="T17" s="705" t="s">
        <v>14</v>
      </c>
      <c r="U17" s="706">
        <f>H17</f>
        <v>100</v>
      </c>
      <c r="V17" s="705" t="s">
        <v>14</v>
      </c>
      <c r="W17" s="706">
        <f>J17</f>
        <v>100</v>
      </c>
      <c r="X17" s="1355"/>
      <c r="Y17" s="38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32"/>
      <c r="Q18" s="1352"/>
      <c r="R18" s="705"/>
      <c r="S18" s="706"/>
      <c r="T18" s="705"/>
      <c r="U18" s="706"/>
      <c r="V18" s="705"/>
      <c r="W18" s="706"/>
      <c r="X18" s="1355"/>
      <c r="Y18" s="383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32"/>
      <c r="Q19" s="1352" t="str">
        <f>B19</f>
        <v>办公集聚程度</v>
      </c>
      <c r="R19" s="705" t="s">
        <v>14</v>
      </c>
      <c r="S19" s="706">
        <f>F19</f>
        <v>100</v>
      </c>
      <c r="T19" s="705" t="s">
        <v>14</v>
      </c>
      <c r="U19" s="706">
        <f>H19</f>
        <v>100</v>
      </c>
      <c r="V19" s="705" t="s">
        <v>14</v>
      </c>
      <c r="W19" s="706">
        <f>J19</f>
        <v>100</v>
      </c>
      <c r="X19" s="1355"/>
      <c r="Y19" s="38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32"/>
      <c r="Q20" s="1352"/>
      <c r="R20" s="705"/>
      <c r="S20" s="706"/>
      <c r="T20" s="705"/>
      <c r="U20" s="706"/>
      <c r="V20" s="705"/>
      <c r="W20" s="706"/>
      <c r="X20" s="1355"/>
      <c r="Y20" s="383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32"/>
      <c r="Q21" s="1352" t="str">
        <f>B21</f>
        <v>交通便捷度</v>
      </c>
      <c r="R21" s="705" t="s">
        <v>14</v>
      </c>
      <c r="S21" s="706">
        <f>F21</f>
        <v>100</v>
      </c>
      <c r="T21" s="705" t="s">
        <v>14</v>
      </c>
      <c r="U21" s="706">
        <f>H21</f>
        <v>100</v>
      </c>
      <c r="V21" s="705" t="s">
        <v>14</v>
      </c>
      <c r="W21" s="706">
        <f>J21</f>
        <v>100</v>
      </c>
      <c r="X21" s="1355"/>
      <c r="Y21" s="38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32"/>
      <c r="Q22" s="1352"/>
      <c r="R22" s="705"/>
      <c r="S22" s="706"/>
      <c r="T22" s="705"/>
      <c r="U22" s="706"/>
      <c r="V22" s="705"/>
      <c r="W22" s="706"/>
      <c r="X22" s="1355"/>
      <c r="Y22" s="383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32"/>
      <c r="Q23" s="1352" t="str">
        <f t="shared" ref="Q23:Q37" si="8">B23</f>
        <v>区域土地利用方向</v>
      </c>
      <c r="R23" s="705" t="s">
        <v>14</v>
      </c>
      <c r="S23" s="706">
        <f>F23</f>
        <v>100</v>
      </c>
      <c r="T23" s="705" t="s">
        <v>14</v>
      </c>
      <c r="U23" s="706">
        <f>H23</f>
        <v>100</v>
      </c>
      <c r="V23" s="705" t="s">
        <v>14</v>
      </c>
      <c r="W23" s="706">
        <f>J23</f>
        <v>100</v>
      </c>
      <c r="X23" s="1355"/>
      <c r="Y23" s="38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32"/>
      <c r="Q24" s="1352"/>
      <c r="R24" s="705"/>
      <c r="S24" s="706"/>
      <c r="T24" s="705"/>
      <c r="U24" s="706"/>
      <c r="V24" s="705"/>
      <c r="W24" s="706"/>
      <c r="X24" s="1355"/>
      <c r="Y24" s="3832"/>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32"/>
      <c r="Q25" s="1352" t="str">
        <f t="shared" si="8"/>
        <v>自然及人文环境状况</v>
      </c>
      <c r="R25" s="705" t="s">
        <v>14</v>
      </c>
      <c r="S25" s="706">
        <f>F25</f>
        <v>100</v>
      </c>
      <c r="T25" s="705" t="s">
        <v>14</v>
      </c>
      <c r="U25" s="706">
        <f>H25</f>
        <v>100</v>
      </c>
      <c r="V25" s="705" t="s">
        <v>14</v>
      </c>
      <c r="W25" s="706">
        <f>J25</f>
        <v>100</v>
      </c>
      <c r="X25" s="1355"/>
      <c r="Y25" s="38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32"/>
      <c r="Q26" s="1352"/>
      <c r="R26" s="705"/>
      <c r="S26" s="706"/>
      <c r="T26" s="705"/>
      <c r="U26" s="706"/>
      <c r="V26" s="705"/>
      <c r="W26" s="706"/>
      <c r="X26" s="1355"/>
      <c r="Y26" s="383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32"/>
      <c r="Q27" s="1343" t="str">
        <f t="shared" si="8"/>
        <v>公共配套设施</v>
      </c>
      <c r="R27" s="701" t="s">
        <v>14</v>
      </c>
      <c r="S27" s="702">
        <f>F27</f>
        <v>100</v>
      </c>
      <c r="T27" s="701" t="s">
        <v>14</v>
      </c>
      <c r="U27" s="702">
        <f>H27</f>
        <v>100</v>
      </c>
      <c r="V27" s="701" t="s">
        <v>14</v>
      </c>
      <c r="W27" s="702">
        <f>J27</f>
        <v>100</v>
      </c>
      <c r="X27" s="703"/>
      <c r="Y27" s="38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32"/>
      <c r="Q28" s="1343"/>
      <c r="R28" s="701"/>
      <c r="S28" s="702"/>
      <c r="T28" s="701"/>
      <c r="U28" s="702"/>
      <c r="V28" s="701"/>
      <c r="W28" s="702"/>
      <c r="X28" s="703"/>
      <c r="Y28" s="383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32"/>
      <c r="Q29" s="1343" t="str">
        <f t="shared" ref="Q29" si="9">B29</f>
        <v>基础设施水平</v>
      </c>
      <c r="R29" s="701" t="s">
        <v>14</v>
      </c>
      <c r="S29" s="702">
        <f>F29</f>
        <v>100</v>
      </c>
      <c r="T29" s="701" t="s">
        <v>14</v>
      </c>
      <c r="U29" s="702">
        <f>H29</f>
        <v>100</v>
      </c>
      <c r="V29" s="701" t="s">
        <v>14</v>
      </c>
      <c r="W29" s="702">
        <f>J29</f>
        <v>100</v>
      </c>
      <c r="X29" s="703"/>
      <c r="Y29" s="38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32"/>
      <c r="Q30" s="1343"/>
      <c r="R30" s="701"/>
      <c r="S30" s="702"/>
      <c r="T30" s="701"/>
      <c r="U30" s="702"/>
      <c r="V30" s="701"/>
      <c r="W30" s="702"/>
      <c r="X30" s="703"/>
      <c r="Y30" s="38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32"/>
      <c r="Q32" s="1352" t="str">
        <f t="shared" si="8"/>
        <v>毗邻道路的类型与等级</v>
      </c>
      <c r="R32" s="705" t="s">
        <v>14</v>
      </c>
      <c r="S32" s="706">
        <f t="shared" si="10"/>
        <v>100</v>
      </c>
      <c r="T32" s="705" t="s">
        <v>14</v>
      </c>
      <c r="U32" s="706">
        <f t="shared" si="11"/>
        <v>100</v>
      </c>
      <c r="V32" s="705" t="s">
        <v>14</v>
      </c>
      <c r="W32" s="706">
        <f t="shared" si="12"/>
        <v>100</v>
      </c>
      <c r="X32" s="1355"/>
      <c r="Y32" s="38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32"/>
      <c r="Q33" s="1352"/>
      <c r="R33" s="705"/>
      <c r="S33" s="706"/>
      <c r="T33" s="705"/>
      <c r="U33" s="706"/>
      <c r="V33" s="705"/>
      <c r="W33" s="706"/>
      <c r="X33" s="1355"/>
      <c r="Y33" s="38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32"/>
      <c r="Q34" s="1352" t="str">
        <f t="shared" si="8"/>
        <v>土地级别</v>
      </c>
      <c r="R34" s="705" t="s">
        <v>14</v>
      </c>
      <c r="S34" s="706">
        <f t="shared" si="10"/>
        <v>100</v>
      </c>
      <c r="T34" s="705" t="s">
        <v>14</v>
      </c>
      <c r="U34" s="706">
        <f t="shared" si="11"/>
        <v>100</v>
      </c>
      <c r="V34" s="705" t="s">
        <v>14</v>
      </c>
      <c r="W34" s="706">
        <f t="shared" si="12"/>
        <v>100</v>
      </c>
      <c r="X34" s="1355"/>
      <c r="Y34" s="38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32"/>
      <c r="Q35" s="1352">
        <f t="shared" si="8"/>
        <v>111</v>
      </c>
      <c r="R35" s="705" t="s">
        <v>14</v>
      </c>
      <c r="S35" s="706">
        <f t="shared" si="10"/>
        <v>100</v>
      </c>
      <c r="T35" s="705" t="s">
        <v>14</v>
      </c>
      <c r="U35" s="706">
        <f t="shared" si="11"/>
        <v>100</v>
      </c>
      <c r="V35" s="705" t="s">
        <v>14</v>
      </c>
      <c r="W35" s="706">
        <f t="shared" si="12"/>
        <v>100</v>
      </c>
      <c r="X35" s="1355"/>
      <c r="Y35" s="38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95" t="s">
        <v>1695</v>
      </c>
      <c r="Q36" s="1352">
        <f t="shared" si="8"/>
        <v>111</v>
      </c>
      <c r="R36" s="705" t="s">
        <v>14</v>
      </c>
      <c r="S36" s="706">
        <f t="shared" si="10"/>
        <v>100</v>
      </c>
      <c r="T36" s="705" t="s">
        <v>14</v>
      </c>
      <c r="U36" s="706">
        <f t="shared" si="11"/>
        <v>100</v>
      </c>
      <c r="V36" s="705" t="s">
        <v>14</v>
      </c>
      <c r="W36" s="706">
        <f t="shared" si="12"/>
        <v>100</v>
      </c>
      <c r="X36" s="1355"/>
      <c r="Y36" s="3836"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36"/>
      <c r="Q37" s="1352">
        <f t="shared" si="8"/>
        <v>111</v>
      </c>
      <c r="R37" s="708" t="s">
        <v>14</v>
      </c>
      <c r="S37" s="709">
        <f t="shared" si="10"/>
        <v>100</v>
      </c>
      <c r="T37" s="708" t="s">
        <v>14</v>
      </c>
      <c r="U37" s="709">
        <f t="shared" si="11"/>
        <v>100</v>
      </c>
      <c r="V37" s="708" t="s">
        <v>14</v>
      </c>
      <c r="W37" s="709">
        <f t="shared" si="12"/>
        <v>100</v>
      </c>
      <c r="X37" s="710"/>
      <c r="Y37" s="3836"/>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36"/>
      <c r="Q38" s="1352" t="str">
        <f>B38</f>
        <v>宗地面积</v>
      </c>
      <c r="R38" s="705" t="s">
        <v>14</v>
      </c>
      <c r="S38" s="706" t="e">
        <f t="shared" si="10"/>
        <v>#N/A</v>
      </c>
      <c r="T38" s="705" t="s">
        <v>14</v>
      </c>
      <c r="U38" s="706" t="e">
        <f t="shared" si="11"/>
        <v>#N/A</v>
      </c>
      <c r="V38" s="705" t="s">
        <v>14</v>
      </c>
      <c r="W38" s="706" t="e">
        <f t="shared" si="12"/>
        <v>#N/A</v>
      </c>
      <c r="X38" s="1355"/>
      <c r="Y38" s="383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36"/>
      <c r="Q39" s="1352" t="str">
        <f t="shared" ref="Q39:Q45" si="14">B39</f>
        <v>宗地形状</v>
      </c>
      <c r="R39" s="705" t="s">
        <v>14</v>
      </c>
      <c r="S39" s="706">
        <f t="shared" si="10"/>
        <v>100</v>
      </c>
      <c r="T39" s="705" t="s">
        <v>14</v>
      </c>
      <c r="U39" s="706">
        <f t="shared" si="11"/>
        <v>100</v>
      </c>
      <c r="V39" s="705" t="s">
        <v>14</v>
      </c>
      <c r="W39" s="706">
        <f t="shared" si="12"/>
        <v>100</v>
      </c>
      <c r="X39" s="1355"/>
      <c r="Y39" s="383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36"/>
      <c r="Q40" s="1352" t="str">
        <f t="shared" si="14"/>
        <v>临街宽度及深度</v>
      </c>
      <c r="R40" s="705" t="s">
        <v>14</v>
      </c>
      <c r="S40" s="706">
        <f t="shared" si="10"/>
        <v>100</v>
      </c>
      <c r="T40" s="705" t="s">
        <v>14</v>
      </c>
      <c r="U40" s="706">
        <f t="shared" si="11"/>
        <v>100</v>
      </c>
      <c r="V40" s="705" t="s">
        <v>14</v>
      </c>
      <c r="W40" s="706">
        <f t="shared" si="12"/>
        <v>100</v>
      </c>
      <c r="X40" s="1355"/>
      <c r="Y40" s="383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36"/>
      <c r="Q41" s="1352" t="str">
        <f t="shared" si="14"/>
        <v>宗地开发程度</v>
      </c>
      <c r="R41" s="701" t="s">
        <v>14</v>
      </c>
      <c r="S41" s="702">
        <f t="shared" si="10"/>
        <v>100</v>
      </c>
      <c r="T41" s="701" t="s">
        <v>14</v>
      </c>
      <c r="U41" s="702">
        <f t="shared" si="11"/>
        <v>100</v>
      </c>
      <c r="V41" s="701" t="s">
        <v>14</v>
      </c>
      <c r="W41" s="702">
        <f t="shared" si="12"/>
        <v>100</v>
      </c>
      <c r="X41" s="703"/>
      <c r="Y41" s="383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36" t="s">
        <v>1695</v>
      </c>
      <c r="Q42" s="1352" t="str">
        <f t="shared" si="14"/>
        <v>工程地质条件</v>
      </c>
      <c r="R42" s="705" t="s">
        <v>14</v>
      </c>
      <c r="S42" s="706">
        <f t="shared" si="10"/>
        <v>100</v>
      </c>
      <c r="T42" s="705" t="s">
        <v>14</v>
      </c>
      <c r="U42" s="706">
        <f t="shared" si="11"/>
        <v>100</v>
      </c>
      <c r="V42" s="705" t="s">
        <v>14</v>
      </c>
      <c r="W42" s="706">
        <f t="shared" si="12"/>
        <v>100</v>
      </c>
      <c r="X42" s="1355"/>
      <c r="Y42" s="38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36"/>
      <c r="Q43" s="1352">
        <f t="shared" si="14"/>
        <v>111</v>
      </c>
      <c r="R43" s="705" t="s">
        <v>14</v>
      </c>
      <c r="S43" s="706">
        <f t="shared" si="10"/>
        <v>100</v>
      </c>
      <c r="T43" s="705" t="s">
        <v>14</v>
      </c>
      <c r="U43" s="706">
        <f t="shared" si="11"/>
        <v>100</v>
      </c>
      <c r="V43" s="705" t="s">
        <v>14</v>
      </c>
      <c r="W43" s="706">
        <f t="shared" si="12"/>
        <v>100</v>
      </c>
      <c r="X43" s="1355"/>
      <c r="Y43" s="38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36"/>
      <c r="Q44" s="1352">
        <f t="shared" si="14"/>
        <v>111</v>
      </c>
      <c r="R44" s="705" t="s">
        <v>14</v>
      </c>
      <c r="S44" s="706">
        <f t="shared" si="10"/>
        <v>100</v>
      </c>
      <c r="T44" s="705" t="s">
        <v>14</v>
      </c>
      <c r="U44" s="706">
        <f t="shared" si="11"/>
        <v>100</v>
      </c>
      <c r="V44" s="705" t="s">
        <v>14</v>
      </c>
      <c r="W44" s="706">
        <f t="shared" si="12"/>
        <v>100</v>
      </c>
      <c r="X44" s="1355"/>
      <c r="Y44" s="38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36"/>
      <c r="Q45" s="1352">
        <f t="shared" si="14"/>
        <v>111</v>
      </c>
      <c r="R45" s="708" t="s">
        <v>14</v>
      </c>
      <c r="S45" s="709">
        <f t="shared" si="10"/>
        <v>100</v>
      </c>
      <c r="T45" s="708" t="s">
        <v>14</v>
      </c>
      <c r="U45" s="709">
        <f t="shared" si="11"/>
        <v>100</v>
      </c>
      <c r="V45" s="708" t="s">
        <v>14</v>
      </c>
      <c r="W45" s="709">
        <f t="shared" si="12"/>
        <v>100</v>
      </c>
      <c r="X45" s="710"/>
      <c r="Y45" s="383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829" t="str">
        <f>A46</f>
        <v>成交单价</v>
      </c>
      <c r="Q46" s="3829"/>
      <c r="R46" s="3860">
        <f>E46</f>
        <v>0</v>
      </c>
      <c r="S46" s="3860"/>
      <c r="T46" s="3860">
        <f>G46</f>
        <v>0</v>
      </c>
      <c r="U46" s="3860"/>
      <c r="V46" s="3860">
        <f>I46</f>
        <v>0</v>
      </c>
      <c r="W46" s="3860"/>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829" t="str">
        <f>A47</f>
        <v>比较价值（元/平方米）</v>
      </c>
      <c r="Q47" s="3829"/>
      <c r="R47" s="3897" t="e">
        <f>ROUND(PRODUCT(R46,AA7:AA45),0)</f>
        <v>#DIV/0!</v>
      </c>
      <c r="S47" s="3897"/>
      <c r="T47" s="3897" t="e">
        <f>ROUND(PRODUCT(T46,AB7:AB45),0)</f>
        <v>#DIV/0!</v>
      </c>
      <c r="U47" s="3897"/>
      <c r="V47" s="3897" t="e">
        <f>ROUND(PRODUCT(V46,AC7:AC45),0)</f>
        <v>#DIV/0!</v>
      </c>
      <c r="W47" s="3897"/>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826" t="str">
        <f>A48</f>
        <v>估价对象XX用房的比较价值（楼面单价，元/平方米）</v>
      </c>
      <c r="Q48" s="3827"/>
      <c r="R48" s="3898" t="e">
        <f>ROUND(IF(D47="简单平均",AVERAGE(R47:W47),R47*F47+T47*H47+V47*J47),0)</f>
        <v>#DIV/0!</v>
      </c>
      <c r="S48" s="3898"/>
      <c r="T48" s="3898"/>
      <c r="U48" s="3898"/>
      <c r="V48" s="3898"/>
      <c r="W48" s="389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44" t="s">
        <v>1886</v>
      </c>
      <c r="H55" s="3899"/>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74.98</v>
      </c>
      <c r="F56" s="886" t="e">
        <f t="shared" ref="F56:F64" si="15">ROUND(B56*E56/10000,0)</f>
        <v>#DIV/0!</v>
      </c>
      <c r="G56" s="3840"/>
      <c r="H56" s="38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2015-4-1</v>
      </c>
      <c r="D67" s="692">
        <f>EDATE(C67,-3)</f>
        <v>42005</v>
      </c>
      <c r="E67" s="692">
        <f>EDATE(D67,-3)</f>
        <v>41913</v>
      </c>
      <c r="F67" s="692">
        <f t="shared" ref="F67:O67" si="18">EDATE(E67,-3)</f>
        <v>41821</v>
      </c>
      <c r="G67" s="692">
        <f t="shared" si="18"/>
        <v>41730</v>
      </c>
      <c r="H67" s="692">
        <f t="shared" si="18"/>
        <v>41640</v>
      </c>
      <c r="I67" s="692">
        <f t="shared" si="18"/>
        <v>41548</v>
      </c>
      <c r="J67" s="692">
        <f t="shared" si="18"/>
        <v>41456</v>
      </c>
      <c r="K67" s="692">
        <f t="shared" si="18"/>
        <v>41365</v>
      </c>
      <c r="L67" s="692">
        <f t="shared" si="18"/>
        <v>41275</v>
      </c>
      <c r="M67" s="692">
        <f t="shared" si="18"/>
        <v>41183</v>
      </c>
      <c r="N67" s="692">
        <f t="shared" si="18"/>
        <v>41091</v>
      </c>
      <c r="O67" s="692">
        <f t="shared" si="18"/>
        <v>41000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2015-2</v>
      </c>
      <c r="D69" s="1182" t="str">
        <f>YEAR(D67)&amp;"-"&amp;ROUNDUP(MONTH(D67)/3,0)</f>
        <v>2015-1</v>
      </c>
      <c r="E69" s="1182" t="str">
        <f t="shared" ref="E69:O69" si="19">YEAR(E67)&amp;"-"&amp;ROUNDUP(MONTH(E67)/3,0)</f>
        <v>2014-4</v>
      </c>
      <c r="F69" s="1182" t="str">
        <f t="shared" si="19"/>
        <v>2014-3</v>
      </c>
      <c r="G69" s="1182" t="str">
        <f t="shared" si="19"/>
        <v>2014-2</v>
      </c>
      <c r="H69" s="1182" t="str">
        <f t="shared" si="19"/>
        <v>2014-1</v>
      </c>
      <c r="I69" s="1182" t="str">
        <f t="shared" si="19"/>
        <v>2013-4</v>
      </c>
      <c r="J69" s="1182" t="str">
        <f t="shared" si="19"/>
        <v>2013-3</v>
      </c>
      <c r="K69" s="1182" t="str">
        <f t="shared" si="19"/>
        <v>2013-2</v>
      </c>
      <c r="L69" s="1182" t="str">
        <f t="shared" si="19"/>
        <v>2013-1</v>
      </c>
      <c r="M69" s="1182" t="str">
        <f t="shared" si="19"/>
        <v>2012-4</v>
      </c>
      <c r="N69" s="1182" t="str">
        <f t="shared" si="19"/>
        <v>2012-3</v>
      </c>
      <c r="O69" s="1182" t="str">
        <f t="shared" si="19"/>
        <v>2012-2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北京市平均增长率1.32%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44" t="s">
        <v>1769</v>
      </c>
      <c r="D4" s="3845"/>
      <c r="E4" s="3846" t="s">
        <v>1770</v>
      </c>
      <c r="F4" s="3847"/>
      <c r="G4" s="3844" t="s">
        <v>1771</v>
      </c>
      <c r="H4" s="3845"/>
      <c r="I4" s="3844" t="s">
        <v>1772</v>
      </c>
      <c r="J4" s="3845"/>
      <c r="K4" s="559" t="s">
        <v>1773</v>
      </c>
      <c r="L4" s="2715"/>
      <c r="M4" s="2716"/>
      <c r="N4" s="2716"/>
      <c r="O4" s="2716"/>
      <c r="P4" s="3848" t="s">
        <v>1774</v>
      </c>
      <c r="Q4" s="3849"/>
      <c r="R4" s="3854" t="s">
        <v>1770</v>
      </c>
      <c r="S4" s="3855"/>
      <c r="T4" s="3854" t="s">
        <v>1771</v>
      </c>
      <c r="U4" s="3855"/>
      <c r="V4" s="3860" t="s">
        <v>1772</v>
      </c>
      <c r="W4" s="3860"/>
      <c r="X4" s="1355"/>
      <c r="Y4" s="3854" t="s">
        <v>1774</v>
      </c>
      <c r="Z4" s="3855"/>
      <c r="AA4" s="3841" t="s">
        <v>1770</v>
      </c>
      <c r="AB4" s="3842" t="s">
        <v>1771</v>
      </c>
      <c r="AC4" s="3841" t="s">
        <v>1772</v>
      </c>
    </row>
    <row r="5" spans="1:29">
      <c r="A5" s="358"/>
      <c r="B5" s="359"/>
      <c r="C5" s="3876" t="s">
        <v>1673</v>
      </c>
      <c r="D5" s="3869"/>
      <c r="E5" s="3878" t="s">
        <v>1674</v>
      </c>
      <c r="F5" s="3879"/>
      <c r="G5" s="3876" t="s">
        <v>1675</v>
      </c>
      <c r="H5" s="3869"/>
      <c r="I5" s="3876" t="s">
        <v>1676</v>
      </c>
      <c r="J5" s="3869"/>
      <c r="K5" s="559"/>
      <c r="L5" s="2715"/>
      <c r="M5" s="2716"/>
      <c r="N5" s="2716"/>
      <c r="O5" s="2716"/>
      <c r="P5" s="3850"/>
      <c r="Q5" s="3851"/>
      <c r="R5" s="3856"/>
      <c r="S5" s="3857"/>
      <c r="T5" s="3856"/>
      <c r="U5" s="3857"/>
      <c r="V5" s="3860"/>
      <c r="W5" s="3860"/>
      <c r="X5" s="1355"/>
      <c r="Y5" s="3856"/>
      <c r="Z5" s="3857"/>
      <c r="AA5" s="3842"/>
      <c r="AB5" s="3842"/>
      <c r="AC5" s="3842"/>
    </row>
    <row r="6" spans="1:29" ht="15" thickBot="1">
      <c r="A6" s="360"/>
      <c r="B6" s="361"/>
      <c r="C6" s="3900" t="s">
        <v>1918</v>
      </c>
      <c r="D6" s="3901"/>
      <c r="E6" s="3902" t="s">
        <v>1918</v>
      </c>
      <c r="F6" s="3903"/>
      <c r="G6" s="3900" t="s">
        <v>1918</v>
      </c>
      <c r="H6" s="3901"/>
      <c r="I6" s="3900" t="s">
        <v>1918</v>
      </c>
      <c r="J6" s="3901"/>
      <c r="K6" s="559" t="s">
        <v>1678</v>
      </c>
      <c r="L6" s="2715"/>
      <c r="M6" s="2716"/>
      <c r="N6" s="2716"/>
      <c r="O6" s="2716"/>
      <c r="P6" s="3852"/>
      <c r="Q6" s="3853"/>
      <c r="R6" s="3856"/>
      <c r="S6" s="3857"/>
      <c r="T6" s="3858"/>
      <c r="U6" s="3859"/>
      <c r="V6" s="3860"/>
      <c r="W6" s="3860"/>
      <c r="X6" s="1355"/>
      <c r="Y6" s="3858"/>
      <c r="Z6" s="3859"/>
      <c r="AA6" s="3843"/>
      <c r="AB6" s="3843"/>
      <c r="AC6" s="3843"/>
    </row>
    <row r="7" spans="1:29" s="108" customFormat="1" ht="15" thickBot="1">
      <c r="A7" s="362" t="s">
        <v>1679</v>
      </c>
      <c r="B7" s="363"/>
      <c r="C7" s="364">
        <f>'数据-取费表'!B2</f>
        <v>42103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5" t="s">
        <v>1680</v>
      </c>
      <c r="Q7" s="3867"/>
      <c r="R7" s="701" t="s">
        <v>14</v>
      </c>
      <c r="S7" s="702">
        <f t="shared" ref="S7:S15" si="0">F7</f>
        <v>0</v>
      </c>
      <c r="T7" s="701" t="s">
        <v>14</v>
      </c>
      <c r="U7" s="702">
        <f t="shared" ref="U7:U15" si="1">H7</f>
        <v>0</v>
      </c>
      <c r="V7" s="701" t="s">
        <v>14</v>
      </c>
      <c r="W7" s="702">
        <f t="shared" ref="W7:W15" si="2">J7</f>
        <v>0</v>
      </c>
      <c r="X7" s="703"/>
      <c r="Y7" s="3865" t="s">
        <v>1680</v>
      </c>
      <c r="Z7" s="386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5" t="s">
        <v>1683</v>
      </c>
      <c r="Q8" s="3866"/>
      <c r="R8" s="701" t="s">
        <v>14</v>
      </c>
      <c r="S8" s="702">
        <f t="shared" si="0"/>
        <v>0</v>
      </c>
      <c r="T8" s="701" t="s">
        <v>14</v>
      </c>
      <c r="U8" s="702">
        <f t="shared" si="1"/>
        <v>0</v>
      </c>
      <c r="V8" s="701" t="s">
        <v>14</v>
      </c>
      <c r="W8" s="702">
        <f t="shared" si="2"/>
        <v>0</v>
      </c>
      <c r="X8" s="703"/>
      <c r="Y8" s="3865" t="s">
        <v>1683</v>
      </c>
      <c r="Z8" s="386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29" t="s">
        <v>1686</v>
      </c>
      <c r="Q9" s="1343" t="str">
        <f t="shared" ref="Q9:Q15" si="6">B9</f>
        <v>用途</v>
      </c>
      <c r="R9" s="701" t="s">
        <v>14</v>
      </c>
      <c r="S9" s="702">
        <f t="shared" si="0"/>
        <v>100</v>
      </c>
      <c r="T9" s="701" t="s">
        <v>14</v>
      </c>
      <c r="U9" s="702">
        <f t="shared" si="1"/>
        <v>100</v>
      </c>
      <c r="V9" s="701" t="s">
        <v>14</v>
      </c>
      <c r="W9" s="702">
        <f t="shared" si="2"/>
        <v>100</v>
      </c>
      <c r="X9" s="703"/>
      <c r="Y9" s="370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29"/>
      <c r="Q10" s="1343" t="str">
        <f t="shared" si="6"/>
        <v>土地使用年限（年）</v>
      </c>
      <c r="R10" s="701" t="s">
        <v>14</v>
      </c>
      <c r="S10" s="702" t="e">
        <f t="shared" si="0"/>
        <v>#DIV/0!</v>
      </c>
      <c r="T10" s="701" t="s">
        <v>14</v>
      </c>
      <c r="U10" s="702" t="e">
        <f t="shared" si="1"/>
        <v>#DIV/0!</v>
      </c>
      <c r="V10" s="701" t="s">
        <v>14</v>
      </c>
      <c r="W10" s="702" t="e">
        <f t="shared" si="2"/>
        <v>#DIV/0!</v>
      </c>
      <c r="X10" s="703"/>
      <c r="Y10" s="370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2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2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2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2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31" t="s">
        <v>1691</v>
      </c>
      <c r="Q15" s="1352" t="str">
        <f t="shared" si="6"/>
        <v>产业集聚程度</v>
      </c>
      <c r="R15" s="705" t="s">
        <v>14</v>
      </c>
      <c r="S15" s="706">
        <f t="shared" si="0"/>
        <v>100</v>
      </c>
      <c r="T15" s="705" t="s">
        <v>14</v>
      </c>
      <c r="U15" s="706">
        <f t="shared" si="1"/>
        <v>100</v>
      </c>
      <c r="V15" s="705" t="s">
        <v>14</v>
      </c>
      <c r="W15" s="706">
        <f t="shared" si="2"/>
        <v>100</v>
      </c>
      <c r="X15" s="1355"/>
      <c r="Y15" s="38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32"/>
      <c r="Q16" s="1352"/>
      <c r="R16" s="705"/>
      <c r="S16" s="706"/>
      <c r="T16" s="705"/>
      <c r="U16" s="706"/>
      <c r="V16" s="705"/>
      <c r="W16" s="706"/>
      <c r="X16" s="1355"/>
      <c r="Y16" s="383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32"/>
      <c r="Q17" s="1352" t="str">
        <f>B17</f>
        <v>交通便捷度</v>
      </c>
      <c r="R17" s="705" t="s">
        <v>14</v>
      </c>
      <c r="S17" s="706">
        <f>F17</f>
        <v>100</v>
      </c>
      <c r="T17" s="705" t="s">
        <v>14</v>
      </c>
      <c r="U17" s="706">
        <f>H17</f>
        <v>100</v>
      </c>
      <c r="V17" s="705" t="s">
        <v>14</v>
      </c>
      <c r="W17" s="706">
        <f>J17</f>
        <v>100</v>
      </c>
      <c r="X17" s="1355"/>
      <c r="Y17" s="38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32"/>
      <c r="Q18" s="1352"/>
      <c r="R18" s="705"/>
      <c r="S18" s="706"/>
      <c r="T18" s="705"/>
      <c r="U18" s="706"/>
      <c r="V18" s="705"/>
      <c r="W18" s="706"/>
      <c r="X18" s="1355"/>
      <c r="Y18" s="383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32"/>
      <c r="Q19" s="1352" t="str">
        <f t="shared" ref="Q19:Q33" si="8">B19</f>
        <v>区域土地利用方向</v>
      </c>
      <c r="R19" s="705" t="s">
        <v>14</v>
      </c>
      <c r="S19" s="706">
        <f>F19</f>
        <v>100</v>
      </c>
      <c r="T19" s="705" t="s">
        <v>14</v>
      </c>
      <c r="U19" s="706">
        <f>H19</f>
        <v>100</v>
      </c>
      <c r="V19" s="705" t="s">
        <v>14</v>
      </c>
      <c r="W19" s="706">
        <f>J19</f>
        <v>100</v>
      </c>
      <c r="X19" s="1355"/>
      <c r="Y19" s="38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32"/>
      <c r="Q20" s="1352"/>
      <c r="R20" s="705"/>
      <c r="S20" s="706"/>
      <c r="T20" s="705"/>
      <c r="U20" s="706"/>
      <c r="V20" s="705"/>
      <c r="W20" s="706"/>
      <c r="X20" s="1355"/>
      <c r="Y20" s="383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32"/>
      <c r="Q21" s="1352" t="str">
        <f t="shared" si="8"/>
        <v>环境状况</v>
      </c>
      <c r="R21" s="705" t="s">
        <v>14</v>
      </c>
      <c r="S21" s="706">
        <f>F21</f>
        <v>100</v>
      </c>
      <c r="T21" s="705" t="s">
        <v>14</v>
      </c>
      <c r="U21" s="706">
        <f>H21</f>
        <v>100</v>
      </c>
      <c r="V21" s="705" t="s">
        <v>14</v>
      </c>
      <c r="W21" s="706">
        <f>J21</f>
        <v>100</v>
      </c>
      <c r="X21" s="1355"/>
      <c r="Y21" s="38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32"/>
      <c r="Q22" s="1352"/>
      <c r="R22" s="705"/>
      <c r="S22" s="706"/>
      <c r="T22" s="705"/>
      <c r="U22" s="706"/>
      <c r="V22" s="705"/>
      <c r="W22" s="706"/>
      <c r="X22" s="1355"/>
      <c r="Y22" s="383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32"/>
      <c r="Q23" s="1343" t="str">
        <f t="shared" si="8"/>
        <v>公共配套设施</v>
      </c>
      <c r="R23" s="701" t="s">
        <v>14</v>
      </c>
      <c r="S23" s="702">
        <f>F23</f>
        <v>100</v>
      </c>
      <c r="T23" s="701" t="s">
        <v>14</v>
      </c>
      <c r="U23" s="702">
        <f>H23</f>
        <v>100</v>
      </c>
      <c r="V23" s="701" t="s">
        <v>14</v>
      </c>
      <c r="W23" s="702">
        <f>J23</f>
        <v>100</v>
      </c>
      <c r="X23" s="703"/>
      <c r="Y23" s="38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32"/>
      <c r="Q24" s="1343"/>
      <c r="R24" s="701"/>
      <c r="S24" s="702"/>
      <c r="T24" s="701"/>
      <c r="U24" s="702"/>
      <c r="V24" s="701"/>
      <c r="W24" s="702"/>
      <c r="X24" s="703"/>
      <c r="Y24" s="383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32"/>
      <c r="Q25" s="1343" t="str">
        <f t="shared" ref="Q25" si="9">B25</f>
        <v>基础设施水平</v>
      </c>
      <c r="R25" s="701" t="s">
        <v>14</v>
      </c>
      <c r="S25" s="702">
        <f>F25</f>
        <v>100</v>
      </c>
      <c r="T25" s="701" t="s">
        <v>14</v>
      </c>
      <c r="U25" s="702">
        <f>H25</f>
        <v>100</v>
      </c>
      <c r="V25" s="701" t="s">
        <v>14</v>
      </c>
      <c r="W25" s="702">
        <f>J25</f>
        <v>100</v>
      </c>
      <c r="X25" s="703"/>
      <c r="Y25" s="38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32"/>
      <c r="Q26" s="1343"/>
      <c r="R26" s="701"/>
      <c r="S26" s="702"/>
      <c r="T26" s="701"/>
      <c r="U26" s="702"/>
      <c r="V26" s="701"/>
      <c r="W26" s="702"/>
      <c r="X26" s="703"/>
      <c r="Y26" s="38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32"/>
      <c r="Q28" s="1352" t="str">
        <f t="shared" si="8"/>
        <v>毗邻道路的类型与等级</v>
      </c>
      <c r="R28" s="705" t="s">
        <v>14</v>
      </c>
      <c r="S28" s="706">
        <f t="shared" si="10"/>
        <v>100</v>
      </c>
      <c r="T28" s="705" t="s">
        <v>14</v>
      </c>
      <c r="U28" s="706">
        <f t="shared" si="11"/>
        <v>100</v>
      </c>
      <c r="V28" s="705" t="s">
        <v>14</v>
      </c>
      <c r="W28" s="706">
        <f t="shared" si="12"/>
        <v>100</v>
      </c>
      <c r="X28" s="1355"/>
      <c r="Y28" s="38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32"/>
      <c r="Q29" s="1352"/>
      <c r="R29" s="705"/>
      <c r="S29" s="706"/>
      <c r="T29" s="705"/>
      <c r="U29" s="706"/>
      <c r="V29" s="705"/>
      <c r="W29" s="706"/>
      <c r="X29" s="1355"/>
      <c r="Y29" s="38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32"/>
      <c r="Q30" s="1352" t="str">
        <f t="shared" si="8"/>
        <v>土地级别</v>
      </c>
      <c r="R30" s="705" t="s">
        <v>14</v>
      </c>
      <c r="S30" s="706">
        <f t="shared" si="10"/>
        <v>100</v>
      </c>
      <c r="T30" s="705" t="s">
        <v>14</v>
      </c>
      <c r="U30" s="706">
        <f t="shared" si="11"/>
        <v>100</v>
      </c>
      <c r="V30" s="705" t="s">
        <v>14</v>
      </c>
      <c r="W30" s="706">
        <f t="shared" si="12"/>
        <v>100</v>
      </c>
      <c r="X30" s="1355"/>
      <c r="Y30" s="38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32"/>
      <c r="Q31" s="1352">
        <f t="shared" si="8"/>
        <v>111</v>
      </c>
      <c r="R31" s="705" t="s">
        <v>14</v>
      </c>
      <c r="S31" s="706">
        <f t="shared" si="10"/>
        <v>100</v>
      </c>
      <c r="T31" s="705" t="s">
        <v>14</v>
      </c>
      <c r="U31" s="706">
        <f t="shared" si="11"/>
        <v>100</v>
      </c>
      <c r="V31" s="705" t="s">
        <v>14</v>
      </c>
      <c r="W31" s="706">
        <f t="shared" si="12"/>
        <v>100</v>
      </c>
      <c r="X31" s="1355"/>
      <c r="Y31" s="38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95" t="s">
        <v>1695</v>
      </c>
      <c r="Q32" s="1352">
        <f t="shared" si="8"/>
        <v>111</v>
      </c>
      <c r="R32" s="705" t="s">
        <v>14</v>
      </c>
      <c r="S32" s="706">
        <f t="shared" si="10"/>
        <v>100</v>
      </c>
      <c r="T32" s="705" t="s">
        <v>14</v>
      </c>
      <c r="U32" s="706">
        <f t="shared" si="11"/>
        <v>100</v>
      </c>
      <c r="V32" s="705" t="s">
        <v>14</v>
      </c>
      <c r="W32" s="706">
        <f t="shared" si="12"/>
        <v>100</v>
      </c>
      <c r="X32" s="1355"/>
      <c r="Y32" s="3836"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36"/>
      <c r="Q33" s="1352">
        <f t="shared" si="8"/>
        <v>111</v>
      </c>
      <c r="R33" s="708" t="s">
        <v>14</v>
      </c>
      <c r="S33" s="709">
        <f t="shared" si="10"/>
        <v>100</v>
      </c>
      <c r="T33" s="708" t="s">
        <v>14</v>
      </c>
      <c r="U33" s="709">
        <f t="shared" si="11"/>
        <v>100</v>
      </c>
      <c r="V33" s="708" t="s">
        <v>14</v>
      </c>
      <c r="W33" s="709">
        <f t="shared" si="12"/>
        <v>100</v>
      </c>
      <c r="X33" s="710"/>
      <c r="Y33" s="38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36"/>
      <c r="Q34" s="1352" t="str">
        <f>B34</f>
        <v>宗地面积</v>
      </c>
      <c r="R34" s="705" t="s">
        <v>14</v>
      </c>
      <c r="S34" s="706" t="e">
        <f t="shared" si="10"/>
        <v>#N/A</v>
      </c>
      <c r="T34" s="705" t="s">
        <v>14</v>
      </c>
      <c r="U34" s="706" t="e">
        <f t="shared" si="11"/>
        <v>#N/A</v>
      </c>
      <c r="V34" s="705" t="s">
        <v>14</v>
      </c>
      <c r="W34" s="706" t="e">
        <f t="shared" si="12"/>
        <v>#N/A</v>
      </c>
      <c r="X34" s="1355"/>
      <c r="Y34" s="383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36"/>
      <c r="Q35" s="1352" t="str">
        <f t="shared" ref="Q35:Q40" si="14">B35</f>
        <v>宗地形状</v>
      </c>
      <c r="R35" s="705" t="s">
        <v>14</v>
      </c>
      <c r="S35" s="706">
        <f t="shared" si="10"/>
        <v>100</v>
      </c>
      <c r="T35" s="705" t="s">
        <v>14</v>
      </c>
      <c r="U35" s="706">
        <f t="shared" si="11"/>
        <v>100</v>
      </c>
      <c r="V35" s="705" t="s">
        <v>14</v>
      </c>
      <c r="W35" s="706">
        <f t="shared" si="12"/>
        <v>100</v>
      </c>
      <c r="X35" s="1355"/>
      <c r="Y35" s="383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36"/>
      <c r="Q36" s="1352" t="str">
        <f t="shared" si="14"/>
        <v>宗地开发程度</v>
      </c>
      <c r="R36" s="701" t="s">
        <v>14</v>
      </c>
      <c r="S36" s="702">
        <f t="shared" si="10"/>
        <v>100</v>
      </c>
      <c r="T36" s="701" t="s">
        <v>14</v>
      </c>
      <c r="U36" s="702">
        <f t="shared" si="11"/>
        <v>100</v>
      </c>
      <c r="V36" s="701" t="s">
        <v>14</v>
      </c>
      <c r="W36" s="702">
        <f t="shared" si="12"/>
        <v>100</v>
      </c>
      <c r="X36" s="703"/>
      <c r="Y36" s="383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36" t="s">
        <v>1695</v>
      </c>
      <c r="Q37" s="1352" t="str">
        <f t="shared" si="14"/>
        <v>工程地质条件</v>
      </c>
      <c r="R37" s="705" t="s">
        <v>14</v>
      </c>
      <c r="S37" s="706">
        <f t="shared" si="10"/>
        <v>100</v>
      </c>
      <c r="T37" s="705" t="s">
        <v>14</v>
      </c>
      <c r="U37" s="706">
        <f t="shared" si="11"/>
        <v>100</v>
      </c>
      <c r="V37" s="705" t="s">
        <v>14</v>
      </c>
      <c r="W37" s="706">
        <f t="shared" si="12"/>
        <v>100</v>
      </c>
      <c r="X37" s="1355"/>
      <c r="Y37" s="38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36"/>
      <c r="Q38" s="1352">
        <f t="shared" si="14"/>
        <v>111</v>
      </c>
      <c r="R38" s="705" t="s">
        <v>14</v>
      </c>
      <c r="S38" s="706">
        <f t="shared" si="10"/>
        <v>100</v>
      </c>
      <c r="T38" s="705" t="s">
        <v>14</v>
      </c>
      <c r="U38" s="706">
        <f t="shared" si="11"/>
        <v>100</v>
      </c>
      <c r="V38" s="705" t="s">
        <v>14</v>
      </c>
      <c r="W38" s="706">
        <f t="shared" si="12"/>
        <v>100</v>
      </c>
      <c r="X38" s="1355"/>
      <c r="Y38" s="38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36"/>
      <c r="Q39" s="1352">
        <f t="shared" si="14"/>
        <v>111</v>
      </c>
      <c r="R39" s="705" t="s">
        <v>14</v>
      </c>
      <c r="S39" s="706">
        <f t="shared" si="10"/>
        <v>100</v>
      </c>
      <c r="T39" s="705" t="s">
        <v>14</v>
      </c>
      <c r="U39" s="706">
        <f t="shared" si="11"/>
        <v>100</v>
      </c>
      <c r="V39" s="705" t="s">
        <v>14</v>
      </c>
      <c r="W39" s="706">
        <f t="shared" si="12"/>
        <v>100</v>
      </c>
      <c r="X39" s="1355"/>
      <c r="Y39" s="38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36"/>
      <c r="Q40" s="1352">
        <f t="shared" si="14"/>
        <v>111</v>
      </c>
      <c r="R40" s="708" t="s">
        <v>14</v>
      </c>
      <c r="S40" s="709">
        <f t="shared" si="10"/>
        <v>100</v>
      </c>
      <c r="T40" s="708" t="s">
        <v>14</v>
      </c>
      <c r="U40" s="709">
        <f t="shared" si="11"/>
        <v>100</v>
      </c>
      <c r="V40" s="708" t="s">
        <v>14</v>
      </c>
      <c r="W40" s="709">
        <f t="shared" si="12"/>
        <v>100</v>
      </c>
      <c r="X40" s="710"/>
      <c r="Y40" s="383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829" t="str">
        <f>A41</f>
        <v>成交单价</v>
      </c>
      <c r="Q41" s="3829"/>
      <c r="R41" s="3860">
        <f>E41</f>
        <v>0</v>
      </c>
      <c r="S41" s="3860"/>
      <c r="T41" s="3860">
        <f>G41</f>
        <v>0</v>
      </c>
      <c r="U41" s="3860"/>
      <c r="V41" s="3860">
        <f>I41</f>
        <v>0</v>
      </c>
      <c r="W41" s="3860"/>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829" t="str">
        <f>A42</f>
        <v>比较价值（元/平方米）</v>
      </c>
      <c r="Q42" s="3829"/>
      <c r="R42" s="3897" t="e">
        <f>ROUND(PRODUCT(R41,AA7:AA40),0)</f>
        <v>#DIV/0!</v>
      </c>
      <c r="S42" s="3897"/>
      <c r="T42" s="3897" t="e">
        <f>ROUND(PRODUCT(T41,AB7:AB40),0)</f>
        <v>#DIV/0!</v>
      </c>
      <c r="U42" s="3897"/>
      <c r="V42" s="3897" t="e">
        <f>ROUND(PRODUCT(V41,AC7:AC40),0)</f>
        <v>#DIV/0!</v>
      </c>
      <c r="W42" s="3897"/>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826" t="str">
        <f>A43</f>
        <v>估价对象XX用房的比较价值（楼面单价，元/平方米）</v>
      </c>
      <c r="Q43" s="3827"/>
      <c r="R43" s="3898" t="e">
        <f>ROUND(IF(D42="简单平均",AVERAGE(R42:W42),R42*F42+T42*H42+V42*J42),0)</f>
        <v>#DIV/0!</v>
      </c>
      <c r="S43" s="3898"/>
      <c r="T43" s="3898"/>
      <c r="U43" s="3898"/>
      <c r="V43" s="3898"/>
      <c r="W43" s="389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44" t="s">
        <v>1886</v>
      </c>
      <c r="H50" s="3899"/>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74.98</v>
      </c>
      <c r="F51" s="639" t="e">
        <f t="shared" ref="F51:F60" si="15">ROUND(B51*E51/10000,0)</f>
        <v>#DIV/0!</v>
      </c>
      <c r="G51" s="3840"/>
      <c r="H51" s="38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2015-4-1</v>
      </c>
      <c r="D63" s="692">
        <f>EDATE(C63,-3)</f>
        <v>42005</v>
      </c>
      <c r="E63" s="692">
        <f>EDATE(D63,-3)</f>
        <v>41913</v>
      </c>
      <c r="F63" s="692">
        <f t="shared" ref="F63:O63" si="18">EDATE(E63,-3)</f>
        <v>41821</v>
      </c>
      <c r="G63" s="692">
        <f t="shared" si="18"/>
        <v>41730</v>
      </c>
      <c r="H63" s="692">
        <f t="shared" si="18"/>
        <v>41640</v>
      </c>
      <c r="I63" s="692">
        <f t="shared" si="18"/>
        <v>41548</v>
      </c>
      <c r="J63" s="692">
        <f t="shared" si="18"/>
        <v>41456</v>
      </c>
      <c r="K63" s="692">
        <f t="shared" si="18"/>
        <v>41365</v>
      </c>
      <c r="L63" s="692">
        <f t="shared" si="18"/>
        <v>41275</v>
      </c>
      <c r="M63" s="692">
        <f t="shared" si="18"/>
        <v>41183</v>
      </c>
      <c r="N63" s="692">
        <f t="shared" si="18"/>
        <v>41091</v>
      </c>
      <c r="O63" s="692">
        <f t="shared" si="18"/>
        <v>41000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2015-2</v>
      </c>
      <c r="D65" s="1182" t="str">
        <f t="shared" ref="D65:O65" si="19">YEAR(D63)&amp;"-"&amp;ROUNDUP(MONTH(D63)/3,0)</f>
        <v>2015-1</v>
      </c>
      <c r="E65" s="1182" t="str">
        <f t="shared" si="19"/>
        <v>2014-4</v>
      </c>
      <c r="F65" s="1182" t="str">
        <f t="shared" si="19"/>
        <v>2014-3</v>
      </c>
      <c r="G65" s="1182" t="str">
        <f t="shared" si="19"/>
        <v>2014-2</v>
      </c>
      <c r="H65" s="1182" t="str">
        <f t="shared" si="19"/>
        <v>2014-1</v>
      </c>
      <c r="I65" s="1182" t="str">
        <f t="shared" si="19"/>
        <v>2013-4</v>
      </c>
      <c r="J65" s="1182" t="str">
        <f t="shared" si="19"/>
        <v>2013-3</v>
      </c>
      <c r="K65" s="1182" t="str">
        <f t="shared" si="19"/>
        <v>2013-2</v>
      </c>
      <c r="L65" s="1182" t="str">
        <f t="shared" si="19"/>
        <v>2013-1</v>
      </c>
      <c r="M65" s="1182" t="str">
        <f t="shared" si="19"/>
        <v>2012-4</v>
      </c>
      <c r="N65" s="1182" t="str">
        <f t="shared" si="19"/>
        <v>2012-3</v>
      </c>
      <c r="O65" s="1182" t="str">
        <f t="shared" si="19"/>
        <v>2012-2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北京市平均增长率1.05%</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07" t="s">
        <v>2083</v>
      </c>
      <c r="D1" s="3908"/>
      <c r="E1" s="3908"/>
      <c r="F1" s="3908"/>
      <c r="G1" s="3908"/>
      <c r="H1" s="3908"/>
      <c r="I1" s="3908"/>
      <c r="J1" s="3908"/>
      <c r="K1" s="3908"/>
      <c r="L1" s="3908"/>
      <c r="M1" s="3908"/>
      <c r="N1" s="3908"/>
      <c r="O1" s="3908"/>
      <c r="P1" s="3908"/>
      <c r="Q1" s="3908"/>
      <c r="R1" s="3908"/>
      <c r="S1" s="390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04" t="s">
        <v>27</v>
      </c>
      <c r="D22" s="3905"/>
      <c r="E22" s="3905"/>
      <c r="F22" s="3905"/>
      <c r="G22" s="3905"/>
      <c r="H22" s="3905"/>
      <c r="I22" s="3905"/>
      <c r="J22" s="3905"/>
      <c r="K22" s="3905"/>
      <c r="L22" s="3905"/>
      <c r="M22" s="3905"/>
      <c r="N22" s="3905"/>
      <c r="O22" s="3905"/>
      <c r="P22" s="3905"/>
      <c r="Q22" s="390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17"/>
      <c r="B4" s="3918"/>
      <c r="C4" s="3918"/>
      <c r="D4" s="3919"/>
      <c r="E4" s="3919"/>
      <c r="F4" s="3919"/>
      <c r="G4" s="3919"/>
      <c r="H4" s="3919"/>
      <c r="I4" s="3919"/>
      <c r="J4" s="392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14" t="s">
        <v>1959</v>
      </c>
      <c r="X8" s="391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1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1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21" t="s">
        <v>3254</v>
      </c>
      <c r="B20" s="167" t="s">
        <v>1993</v>
      </c>
      <c r="C20" s="3325" t="e">
        <f>ROUND(IF(F21="与级别开发程度一致",0,(G21-E21)/C21),0)</f>
        <v>#DIV/0!</v>
      </c>
      <c r="D20" s="3341" t="s">
        <v>1997</v>
      </c>
      <c r="E20" s="3342"/>
      <c r="F20" s="3927" t="s">
        <v>1994</v>
      </c>
      <c r="G20" s="392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22"/>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42103</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1.2500000000000001E-2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1.2500000000000001E-2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1.32E-2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1.0500000000000001E-2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1.2800000000000001E-2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5.3499999999999999E-2</v>
      </c>
      <c r="M36" s="3358">
        <f ca="1">ROUND($L$36*(1+M31),3)</f>
        <v>6.7000000000000004E-2</v>
      </c>
      <c r="N36" s="3358">
        <f ca="1">ROUND($L$36*(1+N31),3)</f>
        <v>6.4000000000000001E-2</v>
      </c>
      <c r="O36" s="3358">
        <f ca="1">ROUND($L$36*(1+O31),3)</f>
        <v>6.2E-2</v>
      </c>
      <c r="P36" s="3358">
        <f ca="1">ROUND($L$36*(1+P31),3)</f>
        <v>5.8999999999999997E-2</v>
      </c>
      <c r="Q36" s="3358">
        <f ca="1">ROUND($L$36*(1+Q31),3)</f>
        <v>6.2E-2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25"/>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5.8499999999999996E-2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26"/>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26"/>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23" t="s">
        <v>3294</v>
      </c>
      <c r="B103" s="3923"/>
      <c r="C103" s="3923"/>
      <c r="D103" s="3923"/>
      <c r="E103" s="3923"/>
      <c r="F103" s="3923"/>
      <c r="G103" s="3923"/>
      <c r="H103" s="3923"/>
      <c r="I103" s="3923"/>
      <c r="J103" s="3923"/>
      <c r="K103" s="3390"/>
      <c r="L103" s="3390"/>
      <c r="M103" s="3390"/>
      <c r="N103" s="3390"/>
    </row>
    <row r="104" spans="1:14">
      <c r="A104" s="3924" t="s">
        <v>3295</v>
      </c>
      <c r="B104" s="3924" t="s">
        <v>3296</v>
      </c>
      <c r="C104" s="3391" t="s">
        <v>3297</v>
      </c>
      <c r="D104" s="3392"/>
      <c r="E104" s="3392"/>
      <c r="F104" s="3392"/>
      <c r="G104" s="3392"/>
      <c r="H104" s="3392"/>
      <c r="I104" s="3392"/>
      <c r="J104" s="3393"/>
      <c r="K104" s="3394"/>
      <c r="L104" s="3394"/>
      <c r="M104" s="3394"/>
      <c r="N104" s="3394"/>
    </row>
    <row r="105" spans="1:14">
      <c r="A105" s="3924"/>
      <c r="B105" s="392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91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1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1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1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1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11"/>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1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13" t="s">
        <v>3311</v>
      </c>
      <c r="B113" s="3913"/>
      <c r="C113" s="3913"/>
      <c r="D113" s="3913"/>
      <c r="E113" s="3913"/>
      <c r="F113" s="3913"/>
      <c r="G113" s="3913"/>
      <c r="H113" s="3913"/>
      <c r="I113" s="3913"/>
      <c r="J113" s="391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938" t="s">
        <v>2607</v>
      </c>
      <c r="B20" s="3933" t="s">
        <v>2628</v>
      </c>
      <c r="C20" s="3103" t="s">
        <v>2439</v>
      </c>
      <c r="D20" s="3104"/>
      <c r="E20" s="3105">
        <v>1</v>
      </c>
      <c r="F20" s="3106" t="s">
        <v>2440</v>
      </c>
      <c r="G20" s="3106"/>
    </row>
    <row r="21" spans="1:13" ht="19.5" customHeight="1">
      <c r="A21" s="3939"/>
      <c r="B21" s="3932"/>
      <c r="C21" s="3107" t="s">
        <v>2441</v>
      </c>
      <c r="D21" s="3108"/>
      <c r="E21" s="3109">
        <v>1</v>
      </c>
      <c r="F21" s="3106" t="s">
        <v>2442</v>
      </c>
      <c r="G21" s="3106"/>
    </row>
    <row r="22" spans="1:13" ht="19.5" customHeight="1">
      <c r="A22" s="3939"/>
      <c r="B22" s="3932"/>
      <c r="C22" s="3107" t="s">
        <v>2443</v>
      </c>
      <c r="D22" s="3108"/>
      <c r="E22" s="3109">
        <v>0.9</v>
      </c>
      <c r="F22" s="3106" t="s">
        <v>2444</v>
      </c>
      <c r="G22" s="3106"/>
    </row>
    <row r="23" spans="1:13" ht="19.5" customHeight="1">
      <c r="A23" s="3939"/>
      <c r="B23" s="3932"/>
      <c r="C23" s="3107" t="s">
        <v>2445</v>
      </c>
      <c r="D23" s="3108"/>
      <c r="E23" s="3109">
        <v>0.9</v>
      </c>
      <c r="F23" s="3106" t="s">
        <v>2446</v>
      </c>
      <c r="G23" s="3106"/>
    </row>
    <row r="24" spans="1:13" ht="19.5" customHeight="1">
      <c r="A24" s="3939"/>
      <c r="B24" s="3932"/>
      <c r="C24" s="3107" t="s">
        <v>2447</v>
      </c>
      <c r="D24" s="3108"/>
      <c r="E24" s="3109">
        <v>0.8</v>
      </c>
      <c r="F24" s="3106" t="s">
        <v>2448</v>
      </c>
      <c r="G24" s="3106"/>
    </row>
    <row r="25" spans="1:13" ht="19.5" customHeight="1" thickBot="1">
      <c r="A25" s="3940"/>
      <c r="B25" s="393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935" t="s">
        <v>2631</v>
      </c>
      <c r="B27" s="3933" t="s">
        <v>2612</v>
      </c>
      <c r="C27" s="3103" t="s">
        <v>2452</v>
      </c>
      <c r="D27" s="3104"/>
      <c r="E27" s="3105">
        <v>1</v>
      </c>
      <c r="F27" s="3106" t="s">
        <v>2453</v>
      </c>
      <c r="G27" s="3106"/>
    </row>
    <row r="28" spans="1:13" ht="19.5" customHeight="1">
      <c r="A28" s="3936"/>
      <c r="B28" s="3932"/>
      <c r="C28" s="3107" t="s">
        <v>2454</v>
      </c>
      <c r="D28" s="3108"/>
      <c r="E28" s="3109">
        <v>1</v>
      </c>
      <c r="F28" s="3106" t="s">
        <v>2455</v>
      </c>
      <c r="G28" s="3106"/>
    </row>
    <row r="29" spans="1:13" ht="19.5" customHeight="1">
      <c r="A29" s="3936"/>
      <c r="B29" s="3932"/>
      <c r="C29" s="3107" t="s">
        <v>2456</v>
      </c>
      <c r="D29" s="3108"/>
      <c r="E29" s="3109">
        <v>0.8</v>
      </c>
      <c r="F29" s="3106" t="s">
        <v>2457</v>
      </c>
      <c r="G29" s="3106"/>
    </row>
    <row r="30" spans="1:13" ht="19.5" customHeight="1">
      <c r="A30" s="3936"/>
      <c r="B30" s="3932"/>
      <c r="C30" s="3107" t="s">
        <v>2458</v>
      </c>
      <c r="D30" s="3108"/>
      <c r="E30" s="3109">
        <v>0.8</v>
      </c>
      <c r="F30" s="3106" t="s">
        <v>2459</v>
      </c>
      <c r="G30" s="3106"/>
    </row>
    <row r="31" spans="1:13" ht="19.5" customHeight="1">
      <c r="A31" s="3936"/>
      <c r="B31" s="3932"/>
      <c r="C31" s="3107" t="s">
        <v>2460</v>
      </c>
      <c r="D31" s="3108"/>
      <c r="E31" s="3109">
        <v>0.8</v>
      </c>
      <c r="F31" s="3106" t="s">
        <v>2461</v>
      </c>
      <c r="G31" s="3106"/>
    </row>
    <row r="32" spans="1:13" ht="19.5" customHeight="1">
      <c r="A32" s="3936"/>
      <c r="B32" s="3932"/>
      <c r="C32" s="3107" t="s">
        <v>2462</v>
      </c>
      <c r="D32" s="3108"/>
      <c r="E32" s="3109">
        <v>0.7</v>
      </c>
      <c r="F32" s="3106" t="s">
        <v>2463</v>
      </c>
      <c r="G32" s="3106"/>
    </row>
    <row r="33" spans="1:7" ht="19.5" customHeight="1">
      <c r="A33" s="3936"/>
      <c r="B33" s="3932"/>
      <c r="C33" s="3107" t="s">
        <v>2464</v>
      </c>
      <c r="D33" s="3108"/>
      <c r="E33" s="3109">
        <v>0.8</v>
      </c>
      <c r="F33" s="3106" t="s">
        <v>2465</v>
      </c>
      <c r="G33" s="3106"/>
    </row>
    <row r="34" spans="1:7" ht="19.5" customHeight="1">
      <c r="A34" s="3936"/>
      <c r="B34" s="3932"/>
      <c r="C34" s="3107" t="s">
        <v>2466</v>
      </c>
      <c r="D34" s="3108"/>
      <c r="E34" s="3109">
        <v>0.6</v>
      </c>
      <c r="F34" s="3106" t="s">
        <v>2467</v>
      </c>
      <c r="G34" s="3106"/>
    </row>
    <row r="35" spans="1:7" ht="19.5" customHeight="1">
      <c r="A35" s="3936"/>
      <c r="B35" s="3932"/>
      <c r="C35" s="3107" t="s">
        <v>2468</v>
      </c>
      <c r="D35" s="3108"/>
      <c r="E35" s="3109">
        <v>0.2</v>
      </c>
      <c r="F35" s="3106" t="s">
        <v>2469</v>
      </c>
      <c r="G35" s="3106"/>
    </row>
    <row r="36" spans="1:7" ht="19.5" customHeight="1">
      <c r="A36" s="3936"/>
      <c r="B36" s="3932"/>
      <c r="C36" s="3107" t="s">
        <v>2470</v>
      </c>
      <c r="D36" s="3108"/>
      <c r="E36" s="3109">
        <v>0.2</v>
      </c>
      <c r="F36" s="3106" t="s">
        <v>2471</v>
      </c>
      <c r="G36" s="3106"/>
    </row>
    <row r="37" spans="1:7" ht="19.5" customHeight="1">
      <c r="A37" s="3936"/>
      <c r="B37" s="3930" t="s">
        <v>2632</v>
      </c>
      <c r="C37" s="3107" t="s">
        <v>2472</v>
      </c>
      <c r="D37" s="3108"/>
      <c r="E37" s="3109">
        <v>0.6</v>
      </c>
      <c r="F37" s="3106" t="s">
        <v>2473</v>
      </c>
      <c r="G37" s="3106"/>
    </row>
    <row r="38" spans="1:7" ht="19.5" customHeight="1">
      <c r="A38" s="3936"/>
      <c r="B38" s="3932"/>
      <c r="C38" s="3107" t="s">
        <v>2474</v>
      </c>
      <c r="D38" s="3108"/>
      <c r="E38" s="3109">
        <v>0.6</v>
      </c>
      <c r="F38" s="3106" t="s">
        <v>2475</v>
      </c>
      <c r="G38" s="3106"/>
    </row>
    <row r="39" spans="1:7" ht="19.5" customHeight="1" thickBot="1">
      <c r="A39" s="3937"/>
      <c r="B39" s="393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938" t="s">
        <v>2610</v>
      </c>
      <c r="B41" s="3933" t="s">
        <v>2634</v>
      </c>
      <c r="C41" s="3103" t="s">
        <v>2479</v>
      </c>
      <c r="D41" s="3104"/>
      <c r="E41" s="3105">
        <v>1</v>
      </c>
      <c r="F41" s="3106" t="s">
        <v>2480</v>
      </c>
      <c r="G41" s="3106"/>
    </row>
    <row r="42" spans="1:7" ht="19.5" customHeight="1">
      <c r="A42" s="3939"/>
      <c r="B42" s="3932"/>
      <c r="C42" s="3107" t="s">
        <v>2481</v>
      </c>
      <c r="D42" s="3108"/>
      <c r="E42" s="3109">
        <v>1</v>
      </c>
      <c r="F42" s="3106" t="s">
        <v>2482</v>
      </c>
      <c r="G42" s="3106"/>
    </row>
    <row r="43" spans="1:7" ht="19.5" customHeight="1">
      <c r="A43" s="3939"/>
      <c r="B43" s="3931"/>
      <c r="C43" s="3107" t="s">
        <v>2483</v>
      </c>
      <c r="D43" s="3108"/>
      <c r="E43" s="3109">
        <v>1.5</v>
      </c>
      <c r="F43" s="3106" t="s">
        <v>2484</v>
      </c>
      <c r="G43" s="3106"/>
    </row>
    <row r="44" spans="1:7" ht="19.5" customHeight="1">
      <c r="A44" s="3939"/>
      <c r="B44" s="3118" t="s">
        <v>2635</v>
      </c>
      <c r="C44" s="3107" t="s">
        <v>2636</v>
      </c>
      <c r="D44" s="3108"/>
      <c r="E44" s="3109">
        <v>2</v>
      </c>
      <c r="F44" s="3106" t="s">
        <v>2485</v>
      </c>
      <c r="G44" s="3106"/>
    </row>
    <row r="45" spans="1:7" ht="19.5" customHeight="1">
      <c r="A45" s="3939"/>
      <c r="B45" s="3930" t="s">
        <v>2637</v>
      </c>
      <c r="C45" s="3107" t="s">
        <v>2486</v>
      </c>
      <c r="D45" s="3108"/>
      <c r="E45" s="3109">
        <v>1</v>
      </c>
      <c r="F45" s="3106" t="s">
        <v>2487</v>
      </c>
      <c r="G45" s="3106"/>
    </row>
    <row r="46" spans="1:7" ht="19.5" customHeight="1">
      <c r="A46" s="3939"/>
      <c r="B46" s="3932"/>
      <c r="C46" s="3107" t="s">
        <v>2488</v>
      </c>
      <c r="D46" s="3108"/>
      <c r="E46" s="3109">
        <v>1</v>
      </c>
      <c r="F46" s="3106" t="s">
        <v>2489</v>
      </c>
      <c r="G46" s="3106"/>
    </row>
    <row r="47" spans="1:7" ht="19.5" customHeight="1">
      <c r="A47" s="3939"/>
      <c r="B47" s="3932"/>
      <c r="C47" s="3107" t="s">
        <v>2490</v>
      </c>
      <c r="D47" s="3108"/>
      <c r="E47" s="3109">
        <v>1</v>
      </c>
      <c r="F47" s="3106" t="s">
        <v>2491</v>
      </c>
      <c r="G47" s="3106"/>
    </row>
    <row r="48" spans="1:7" ht="19.5" customHeight="1">
      <c r="A48" s="3939"/>
      <c r="B48" s="3932"/>
      <c r="C48" s="3107" t="s">
        <v>2492</v>
      </c>
      <c r="D48" s="3108"/>
      <c r="E48" s="3109">
        <v>1</v>
      </c>
      <c r="F48" s="3106" t="s">
        <v>2493</v>
      </c>
      <c r="G48" s="3106"/>
    </row>
    <row r="49" spans="1:7" ht="19.5" customHeight="1">
      <c r="A49" s="3939"/>
      <c r="B49" s="3932"/>
      <c r="C49" s="3107" t="s">
        <v>2494</v>
      </c>
      <c r="D49" s="3108"/>
      <c r="E49" s="3109">
        <v>1</v>
      </c>
      <c r="F49" s="3106" t="s">
        <v>2495</v>
      </c>
      <c r="G49" s="3106"/>
    </row>
    <row r="50" spans="1:7" ht="19.5" customHeight="1">
      <c r="A50" s="3939"/>
      <c r="B50" s="3932"/>
      <c r="C50" s="3107" t="s">
        <v>2496</v>
      </c>
      <c r="D50" s="3108"/>
      <c r="E50" s="3109">
        <v>1</v>
      </c>
      <c r="F50" s="3106" t="s">
        <v>2497</v>
      </c>
      <c r="G50" s="3106"/>
    </row>
    <row r="51" spans="1:7" ht="19.5" customHeight="1" thickBot="1">
      <c r="A51" s="3940"/>
      <c r="B51" s="393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930" t="s">
        <v>2651</v>
      </c>
      <c r="C73" s="3092" t="s">
        <v>2652</v>
      </c>
      <c r="D73" s="3092" t="s">
        <v>2653</v>
      </c>
      <c r="E73" s="3118">
        <v>0.2</v>
      </c>
      <c r="F73" s="3118">
        <v>25</v>
      </c>
    </row>
    <row r="74" spans="1:7" ht="24">
      <c r="A74" s="3118">
        <v>2</v>
      </c>
      <c r="B74" s="3932"/>
      <c r="C74" s="3092" t="s">
        <v>2654</v>
      </c>
      <c r="D74" s="3092" t="s">
        <v>2655</v>
      </c>
      <c r="E74" s="3118">
        <v>0.2</v>
      </c>
      <c r="F74" s="3118">
        <v>25</v>
      </c>
    </row>
    <row r="75" spans="1:7" ht="24">
      <c r="A75" s="3118">
        <v>3</v>
      </c>
      <c r="B75" s="3932"/>
      <c r="C75" s="3092" t="s">
        <v>2656</v>
      </c>
      <c r="D75" s="3092" t="s">
        <v>2657</v>
      </c>
      <c r="E75" s="3118">
        <v>0.2</v>
      </c>
      <c r="F75" s="3118">
        <v>25</v>
      </c>
    </row>
    <row r="76" spans="1:7" ht="14.4">
      <c r="A76" s="3118">
        <v>4</v>
      </c>
      <c r="B76" s="3932"/>
      <c r="C76" s="3092" t="s">
        <v>2658</v>
      </c>
      <c r="D76" s="3092" t="s">
        <v>2659</v>
      </c>
      <c r="E76" s="3118">
        <v>0.15</v>
      </c>
      <c r="F76" s="3118">
        <v>20</v>
      </c>
    </row>
    <row r="77" spans="1:7" ht="24">
      <c r="A77" s="3118">
        <v>5</v>
      </c>
      <c r="B77" s="3932"/>
      <c r="C77" s="3092" t="s">
        <v>2660</v>
      </c>
      <c r="D77" s="3092" t="s">
        <v>2661</v>
      </c>
      <c r="E77" s="3118">
        <v>0.15</v>
      </c>
      <c r="F77" s="3118">
        <v>20</v>
      </c>
    </row>
    <row r="78" spans="1:7" ht="24">
      <c r="A78" s="3118">
        <v>6</v>
      </c>
      <c r="B78" s="3932"/>
      <c r="C78" s="3092" t="s">
        <v>2662</v>
      </c>
      <c r="D78" s="3092" t="s">
        <v>2663</v>
      </c>
      <c r="E78" s="3118">
        <v>0.15</v>
      </c>
      <c r="F78" s="3118">
        <v>20</v>
      </c>
    </row>
    <row r="79" spans="1:7" ht="24">
      <c r="A79" s="3118">
        <v>7</v>
      </c>
      <c r="B79" s="3932"/>
      <c r="C79" s="3092" t="s">
        <v>2664</v>
      </c>
      <c r="D79" s="3092" t="s">
        <v>2665</v>
      </c>
      <c r="E79" s="3118">
        <v>0.15</v>
      </c>
      <c r="F79" s="3118">
        <v>20</v>
      </c>
    </row>
    <row r="80" spans="1:7" ht="24">
      <c r="A80" s="3118">
        <v>8</v>
      </c>
      <c r="B80" s="3932"/>
      <c r="C80" s="3092" t="s">
        <v>2666</v>
      </c>
      <c r="D80" s="3092" t="s">
        <v>2667</v>
      </c>
      <c r="E80" s="3118">
        <v>0.1</v>
      </c>
      <c r="F80" s="3118">
        <v>15</v>
      </c>
    </row>
    <row r="81" spans="1:6" ht="24">
      <c r="A81" s="3118">
        <v>9</v>
      </c>
      <c r="B81" s="3932"/>
      <c r="C81" s="3092" t="s">
        <v>2668</v>
      </c>
      <c r="D81" s="3092" t="s">
        <v>2669</v>
      </c>
      <c r="E81" s="3118">
        <v>0.1</v>
      </c>
      <c r="F81" s="3118">
        <v>15</v>
      </c>
    </row>
    <row r="82" spans="1:6" ht="24">
      <c r="A82" s="3118">
        <v>10</v>
      </c>
      <c r="B82" s="3932"/>
      <c r="C82" s="3092" t="s">
        <v>2670</v>
      </c>
      <c r="D82" s="3092" t="s">
        <v>2671</v>
      </c>
      <c r="E82" s="3118">
        <v>0.1</v>
      </c>
      <c r="F82" s="3118">
        <v>15</v>
      </c>
    </row>
    <row r="83" spans="1:6" ht="24">
      <c r="A83" s="3118">
        <v>11</v>
      </c>
      <c r="B83" s="3932"/>
      <c r="C83" s="3092" t="s">
        <v>2672</v>
      </c>
      <c r="D83" s="3092" t="s">
        <v>2673</v>
      </c>
      <c r="E83" s="3118">
        <v>0.1</v>
      </c>
      <c r="F83" s="3118">
        <v>15</v>
      </c>
    </row>
    <row r="84" spans="1:6" ht="24">
      <c r="A84" s="3118">
        <v>12</v>
      </c>
      <c r="B84" s="3932"/>
      <c r="C84" s="3092" t="s">
        <v>2674</v>
      </c>
      <c r="D84" s="3092" t="s">
        <v>2675</v>
      </c>
      <c r="E84" s="3118">
        <v>0.1</v>
      </c>
      <c r="F84" s="3118">
        <v>15</v>
      </c>
    </row>
    <row r="85" spans="1:6" ht="24">
      <c r="A85" s="3118">
        <v>13</v>
      </c>
      <c r="B85" s="3932"/>
      <c r="C85" s="3092" t="s">
        <v>2676</v>
      </c>
      <c r="D85" s="3092" t="s">
        <v>2677</v>
      </c>
      <c r="E85" s="3118">
        <v>0.1</v>
      </c>
      <c r="F85" s="3118">
        <v>15</v>
      </c>
    </row>
    <row r="86" spans="1:6" ht="24">
      <c r="A86" s="3118">
        <v>14</v>
      </c>
      <c r="B86" s="3932"/>
      <c r="C86" s="3092" t="s">
        <v>2678</v>
      </c>
      <c r="D86" s="3092" t="s">
        <v>2679</v>
      </c>
      <c r="E86" s="3118">
        <v>0.1</v>
      </c>
      <c r="F86" s="3118">
        <v>15</v>
      </c>
    </row>
    <row r="87" spans="1:6" ht="24">
      <c r="A87" s="3118">
        <v>15</v>
      </c>
      <c r="B87" s="3932"/>
      <c r="C87" s="3092" t="s">
        <v>2680</v>
      </c>
      <c r="D87" s="3092" t="s">
        <v>2681</v>
      </c>
      <c r="E87" s="3118">
        <v>0.1</v>
      </c>
      <c r="F87" s="3118">
        <v>15</v>
      </c>
    </row>
    <row r="88" spans="1:6" ht="24">
      <c r="A88" s="3118">
        <v>16</v>
      </c>
      <c r="B88" s="3932"/>
      <c r="C88" s="3092" t="s">
        <v>2682</v>
      </c>
      <c r="D88" s="3092" t="s">
        <v>2683</v>
      </c>
      <c r="E88" s="3118">
        <v>0.1</v>
      </c>
      <c r="F88" s="3118">
        <v>15</v>
      </c>
    </row>
    <row r="89" spans="1:6" ht="24">
      <c r="A89" s="3118">
        <v>17</v>
      </c>
      <c r="B89" s="3931"/>
      <c r="C89" s="3092" t="s">
        <v>2684</v>
      </c>
      <c r="D89" s="3092" t="s">
        <v>2685</v>
      </c>
      <c r="E89" s="3118">
        <v>0.1</v>
      </c>
      <c r="F89" s="3118">
        <v>15</v>
      </c>
    </row>
    <row r="90" spans="1:6" ht="14.4">
      <c r="A90" s="3118">
        <v>18</v>
      </c>
      <c r="B90" s="3930" t="s">
        <v>2686</v>
      </c>
      <c r="C90" s="3092" t="s">
        <v>2687</v>
      </c>
      <c r="D90" s="3092" t="s">
        <v>2688</v>
      </c>
      <c r="E90" s="3118">
        <v>0.2</v>
      </c>
      <c r="F90" s="3118">
        <v>25</v>
      </c>
    </row>
    <row r="91" spans="1:6" ht="24">
      <c r="A91" s="3118">
        <v>19</v>
      </c>
      <c r="B91" s="3932"/>
      <c r="C91" s="3092" t="s">
        <v>2689</v>
      </c>
      <c r="D91" s="3092" t="s">
        <v>2690</v>
      </c>
      <c r="E91" s="3118">
        <v>0.2</v>
      </c>
      <c r="F91" s="3118">
        <v>25</v>
      </c>
    </row>
    <row r="92" spans="1:6" ht="14.4">
      <c r="A92" s="3118">
        <v>20</v>
      </c>
      <c r="B92" s="3932"/>
      <c r="C92" s="3092" t="s">
        <v>2691</v>
      </c>
      <c r="D92" s="3092" t="s">
        <v>2692</v>
      </c>
      <c r="E92" s="3118">
        <v>0.15</v>
      </c>
      <c r="F92" s="3118">
        <v>20</v>
      </c>
    </row>
    <row r="93" spans="1:6" ht="24">
      <c r="A93" s="3118">
        <v>21</v>
      </c>
      <c r="B93" s="3932"/>
      <c r="C93" s="3092" t="s">
        <v>2693</v>
      </c>
      <c r="D93" s="3092" t="s">
        <v>2694</v>
      </c>
      <c r="E93" s="3118">
        <v>0.15</v>
      </c>
      <c r="F93" s="3118">
        <v>20</v>
      </c>
    </row>
    <row r="94" spans="1:6" ht="24">
      <c r="A94" s="3118">
        <v>22</v>
      </c>
      <c r="B94" s="3932"/>
      <c r="C94" s="3092" t="s">
        <v>2695</v>
      </c>
      <c r="D94" s="3092" t="s">
        <v>2696</v>
      </c>
      <c r="E94" s="3118">
        <v>0.15</v>
      </c>
      <c r="F94" s="3118">
        <v>20</v>
      </c>
    </row>
    <row r="95" spans="1:6" ht="36">
      <c r="A95" s="3118">
        <v>23</v>
      </c>
      <c r="B95" s="3932"/>
      <c r="C95" s="3092" t="s">
        <v>2697</v>
      </c>
      <c r="D95" s="3092" t="s">
        <v>2698</v>
      </c>
      <c r="E95" s="3118">
        <v>0.15</v>
      </c>
      <c r="F95" s="3118">
        <v>20</v>
      </c>
    </row>
    <row r="96" spans="1:6" ht="24">
      <c r="A96" s="3118">
        <v>24</v>
      </c>
      <c r="B96" s="3932"/>
      <c r="C96" s="3092" t="s">
        <v>2699</v>
      </c>
      <c r="D96" s="3092" t="s">
        <v>2700</v>
      </c>
      <c r="E96" s="3118">
        <v>0.1</v>
      </c>
      <c r="F96" s="3118">
        <v>15</v>
      </c>
    </row>
    <row r="97" spans="1:6" ht="24">
      <c r="A97" s="3118">
        <v>25</v>
      </c>
      <c r="B97" s="3932"/>
      <c r="C97" s="3092" t="s">
        <v>2701</v>
      </c>
      <c r="D97" s="3092" t="s">
        <v>2702</v>
      </c>
      <c r="E97" s="3118">
        <v>0.1</v>
      </c>
      <c r="F97" s="3118">
        <v>15</v>
      </c>
    </row>
    <row r="98" spans="1:6" ht="24">
      <c r="A98" s="3118">
        <v>26</v>
      </c>
      <c r="B98" s="3932"/>
      <c r="C98" s="3092" t="s">
        <v>2703</v>
      </c>
      <c r="D98" s="3092" t="s">
        <v>2704</v>
      </c>
      <c r="E98" s="3118">
        <v>0.1</v>
      </c>
      <c r="F98" s="3118">
        <v>15</v>
      </c>
    </row>
    <row r="99" spans="1:6" ht="24">
      <c r="A99" s="3118">
        <v>27</v>
      </c>
      <c r="B99" s="3932"/>
      <c r="C99" s="3092" t="s">
        <v>2705</v>
      </c>
      <c r="D99" s="3092" t="s">
        <v>2706</v>
      </c>
      <c r="E99" s="3118">
        <v>0.1</v>
      </c>
      <c r="F99" s="3118">
        <v>15</v>
      </c>
    </row>
    <row r="100" spans="1:6" ht="24">
      <c r="A100" s="3118">
        <v>28</v>
      </c>
      <c r="B100" s="3932"/>
      <c r="C100" s="3092" t="s">
        <v>2707</v>
      </c>
      <c r="D100" s="3092" t="s">
        <v>2708</v>
      </c>
      <c r="E100" s="3118">
        <v>0.1</v>
      </c>
      <c r="F100" s="3118">
        <v>15</v>
      </c>
    </row>
    <row r="101" spans="1:6" ht="24">
      <c r="A101" s="3118">
        <v>29</v>
      </c>
      <c r="B101" s="3932"/>
      <c r="C101" s="3092" t="s">
        <v>2709</v>
      </c>
      <c r="D101" s="3092" t="s">
        <v>2710</v>
      </c>
      <c r="E101" s="3118">
        <v>0.1</v>
      </c>
      <c r="F101" s="3118">
        <v>15</v>
      </c>
    </row>
    <row r="102" spans="1:6" ht="24">
      <c r="A102" s="3118">
        <v>30</v>
      </c>
      <c r="B102" s="3932"/>
      <c r="C102" s="3092" t="s">
        <v>2711</v>
      </c>
      <c r="D102" s="3092" t="s">
        <v>2712</v>
      </c>
      <c r="E102" s="3118">
        <v>0.1</v>
      </c>
      <c r="F102" s="3118">
        <v>15</v>
      </c>
    </row>
    <row r="103" spans="1:6" ht="24">
      <c r="A103" s="3118">
        <v>31</v>
      </c>
      <c r="B103" s="3932"/>
      <c r="C103" s="3092" t="s">
        <v>2713</v>
      </c>
      <c r="D103" s="3092" t="s">
        <v>2714</v>
      </c>
      <c r="E103" s="3118">
        <v>0.1</v>
      </c>
      <c r="F103" s="3118">
        <v>15</v>
      </c>
    </row>
    <row r="104" spans="1:6" ht="24">
      <c r="A104" s="3118">
        <v>32</v>
      </c>
      <c r="B104" s="3932"/>
      <c r="C104" s="3092" t="s">
        <v>2715</v>
      </c>
      <c r="D104" s="3092" t="s">
        <v>2716</v>
      </c>
      <c r="E104" s="3118">
        <v>0.1</v>
      </c>
      <c r="F104" s="3118">
        <v>15</v>
      </c>
    </row>
    <row r="105" spans="1:6" ht="24">
      <c r="A105" s="3118">
        <v>33</v>
      </c>
      <c r="B105" s="3932"/>
      <c r="C105" s="3092" t="s">
        <v>2717</v>
      </c>
      <c r="D105" s="3092" t="s">
        <v>2718</v>
      </c>
      <c r="E105" s="3118">
        <v>0.1</v>
      </c>
      <c r="F105" s="3118">
        <v>15</v>
      </c>
    </row>
    <row r="106" spans="1:6" ht="24">
      <c r="A106" s="3118">
        <v>34</v>
      </c>
      <c r="B106" s="3931"/>
      <c r="C106" s="3092" t="s">
        <v>2719</v>
      </c>
      <c r="D106" s="3092" t="s">
        <v>2720</v>
      </c>
      <c r="E106" s="3118">
        <v>0.1</v>
      </c>
      <c r="F106" s="3118">
        <v>15</v>
      </c>
    </row>
    <row r="107" spans="1:6" ht="36">
      <c r="A107" s="3118">
        <v>35</v>
      </c>
      <c r="B107" s="3930" t="s">
        <v>2721</v>
      </c>
      <c r="C107" s="3118" t="s">
        <v>2722</v>
      </c>
      <c r="D107" s="3092" t="s">
        <v>2723</v>
      </c>
      <c r="E107" s="3118">
        <v>0.15</v>
      </c>
      <c r="F107" s="3118">
        <v>20</v>
      </c>
    </row>
    <row r="108" spans="1:6" ht="24">
      <c r="A108" s="3118">
        <v>36</v>
      </c>
      <c r="B108" s="3932"/>
      <c r="C108" s="3118" t="s">
        <v>2724</v>
      </c>
      <c r="D108" s="3092" t="s">
        <v>2725</v>
      </c>
      <c r="E108" s="3118">
        <v>0.15</v>
      </c>
      <c r="F108" s="3118">
        <v>20</v>
      </c>
    </row>
    <row r="109" spans="1:6" ht="24">
      <c r="A109" s="3118">
        <v>37</v>
      </c>
      <c r="B109" s="3932"/>
      <c r="C109" s="3118" t="s">
        <v>2726</v>
      </c>
      <c r="D109" s="3092" t="s">
        <v>2727</v>
      </c>
      <c r="E109" s="3118">
        <v>0.15</v>
      </c>
      <c r="F109" s="3118">
        <v>20</v>
      </c>
    </row>
    <row r="110" spans="1:6" ht="24">
      <c r="A110" s="3118">
        <v>38</v>
      </c>
      <c r="B110" s="3932"/>
      <c r="C110" s="3118" t="s">
        <v>2728</v>
      </c>
      <c r="D110" s="3092" t="s">
        <v>2729</v>
      </c>
      <c r="E110" s="3118">
        <v>0.1</v>
      </c>
      <c r="F110" s="3118">
        <v>15</v>
      </c>
    </row>
    <row r="111" spans="1:6" ht="24">
      <c r="A111" s="3118">
        <v>39</v>
      </c>
      <c r="B111" s="3932"/>
      <c r="C111" s="3118" t="s">
        <v>2730</v>
      </c>
      <c r="D111" s="3092" t="s">
        <v>2731</v>
      </c>
      <c r="E111" s="3118">
        <v>0.1</v>
      </c>
      <c r="F111" s="3118">
        <v>15</v>
      </c>
    </row>
    <row r="112" spans="1:6" ht="24">
      <c r="A112" s="3118">
        <v>40</v>
      </c>
      <c r="B112" s="3931"/>
      <c r="C112" s="3118" t="s">
        <v>2732</v>
      </c>
      <c r="D112" s="3092" t="s">
        <v>2733</v>
      </c>
      <c r="E112" s="3118">
        <v>0.1</v>
      </c>
      <c r="F112" s="3118">
        <v>15</v>
      </c>
    </row>
    <row r="113" spans="1:6" ht="24">
      <c r="A113" s="3118">
        <v>41</v>
      </c>
      <c r="B113" s="3929" t="s">
        <v>2734</v>
      </c>
      <c r="C113" s="3118" t="s">
        <v>2735</v>
      </c>
      <c r="D113" s="3092" t="s">
        <v>2736</v>
      </c>
      <c r="E113" s="3118">
        <v>0.1</v>
      </c>
      <c r="F113" s="3118">
        <v>15</v>
      </c>
    </row>
    <row r="114" spans="1:6" ht="24">
      <c r="A114" s="3118">
        <v>42</v>
      </c>
      <c r="B114" s="3929"/>
      <c r="C114" s="3118" t="s">
        <v>2737</v>
      </c>
      <c r="D114" s="3092" t="s">
        <v>2738</v>
      </c>
      <c r="E114" s="3118">
        <v>0.1</v>
      </c>
      <c r="F114" s="3118">
        <v>15</v>
      </c>
    </row>
    <row r="115" spans="1:6" ht="24">
      <c r="A115" s="3118">
        <v>43</v>
      </c>
      <c r="B115" s="3929"/>
      <c r="C115" s="3118" t="s">
        <v>2739</v>
      </c>
      <c r="D115" s="3092" t="s">
        <v>2740</v>
      </c>
      <c r="E115" s="3118">
        <v>0.1</v>
      </c>
      <c r="F115" s="3118">
        <v>15</v>
      </c>
    </row>
    <row r="116" spans="1:6" ht="24">
      <c r="A116" s="3118">
        <v>44</v>
      </c>
      <c r="B116" s="3930" t="s">
        <v>2741</v>
      </c>
      <c r="C116" s="3118" t="s">
        <v>2742</v>
      </c>
      <c r="D116" s="3092" t="s">
        <v>2743</v>
      </c>
      <c r="E116" s="3118">
        <v>0.1</v>
      </c>
      <c r="F116" s="3118">
        <v>15</v>
      </c>
    </row>
    <row r="117" spans="1:6" ht="24">
      <c r="A117" s="3118">
        <v>45</v>
      </c>
      <c r="B117" s="3931"/>
      <c r="C117" s="3092" t="s">
        <v>2744</v>
      </c>
      <c r="D117" s="3092" t="s">
        <v>2745</v>
      </c>
      <c r="E117" s="3118">
        <v>0.1</v>
      </c>
      <c r="F117" s="3118">
        <v>15</v>
      </c>
    </row>
    <row r="118" spans="1:6" ht="24">
      <c r="A118" s="3118">
        <v>46</v>
      </c>
      <c r="B118" s="3930" t="s">
        <v>2746</v>
      </c>
      <c r="C118" s="3118" t="s">
        <v>2747</v>
      </c>
      <c r="D118" s="3092" t="s">
        <v>2748</v>
      </c>
      <c r="E118" s="3118">
        <v>0.1</v>
      </c>
      <c r="F118" s="3118">
        <v>15</v>
      </c>
    </row>
    <row r="119" spans="1:6" ht="24">
      <c r="A119" s="3118">
        <v>47</v>
      </c>
      <c r="B119" s="3931"/>
      <c r="C119" s="3118" t="s">
        <v>2749</v>
      </c>
      <c r="D119" s="3092" t="s">
        <v>2750</v>
      </c>
      <c r="E119" s="3118">
        <v>0.1</v>
      </c>
      <c r="F119" s="3118">
        <v>15</v>
      </c>
    </row>
    <row r="120" spans="1:6" ht="24">
      <c r="A120" s="3118">
        <v>48</v>
      </c>
      <c r="B120" s="3930" t="s">
        <v>2751</v>
      </c>
      <c r="C120" s="3118" t="s">
        <v>2752</v>
      </c>
      <c r="D120" s="3092" t="s">
        <v>2753</v>
      </c>
      <c r="E120" s="3118">
        <v>0.1</v>
      </c>
      <c r="F120" s="3118">
        <v>15</v>
      </c>
    </row>
    <row r="121" spans="1:6" ht="24">
      <c r="A121" s="3118">
        <v>49</v>
      </c>
      <c r="B121" s="3931"/>
      <c r="C121" s="3118" t="s">
        <v>2754</v>
      </c>
      <c r="D121" s="3092" t="s">
        <v>2755</v>
      </c>
      <c r="E121" s="3118">
        <v>0.1</v>
      </c>
      <c r="F121" s="3118">
        <v>15</v>
      </c>
    </row>
    <row r="122" spans="1:6" ht="24">
      <c r="A122" s="3118">
        <v>50</v>
      </c>
      <c r="B122" s="3929" t="s">
        <v>2756</v>
      </c>
      <c r="C122" s="3118" t="s">
        <v>2757</v>
      </c>
      <c r="D122" s="3092" t="s">
        <v>2758</v>
      </c>
      <c r="E122" s="3118">
        <v>0.1</v>
      </c>
      <c r="F122" s="3118">
        <v>15</v>
      </c>
    </row>
    <row r="123" spans="1:6" ht="24">
      <c r="A123" s="3118">
        <v>51</v>
      </c>
      <c r="B123" s="3929"/>
      <c r="C123" s="3118" t="s">
        <v>2759</v>
      </c>
      <c r="D123" s="3092" t="s">
        <v>2760</v>
      </c>
      <c r="E123" s="3118">
        <v>0.1</v>
      </c>
      <c r="F123" s="3118">
        <v>15</v>
      </c>
    </row>
    <row r="124" spans="1:6" ht="24">
      <c r="A124" s="3118">
        <v>52</v>
      </c>
      <c r="B124" s="3929" t="s">
        <v>2761</v>
      </c>
      <c r="C124" s="3118" t="s">
        <v>2762</v>
      </c>
      <c r="D124" s="3092" t="s">
        <v>2763</v>
      </c>
      <c r="E124" s="3118">
        <v>0.1</v>
      </c>
      <c r="F124" s="3118">
        <v>15</v>
      </c>
    </row>
    <row r="125" spans="1:6" ht="24">
      <c r="A125" s="3118">
        <v>53</v>
      </c>
      <c r="B125" s="3929"/>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929" t="s">
        <v>2769</v>
      </c>
      <c r="C127" s="3118" t="s">
        <v>2770</v>
      </c>
      <c r="D127" s="3092" t="s">
        <v>2771</v>
      </c>
      <c r="E127" s="3118">
        <v>0.1</v>
      </c>
      <c r="F127" s="3118">
        <v>15</v>
      </c>
    </row>
    <row r="128" spans="1:6" ht="24">
      <c r="A128" s="3118">
        <v>56</v>
      </c>
      <c r="B128" s="3929"/>
      <c r="C128" s="3118" t="s">
        <v>2772</v>
      </c>
      <c r="D128" s="3092" t="s">
        <v>2773</v>
      </c>
      <c r="E128" s="3118">
        <v>0.1</v>
      </c>
      <c r="F128" s="3118">
        <v>15</v>
      </c>
    </row>
    <row r="129" spans="1:6" ht="24">
      <c r="A129" s="3118">
        <v>57</v>
      </c>
      <c r="B129" s="3929"/>
      <c r="C129" s="3118" t="s">
        <v>2774</v>
      </c>
      <c r="D129" s="3092" t="s">
        <v>2775</v>
      </c>
      <c r="E129" s="3118">
        <v>0.1</v>
      </c>
      <c r="F129" s="3118">
        <v>15</v>
      </c>
    </row>
    <row r="130" spans="1:6" ht="24">
      <c r="A130" s="3118">
        <v>58</v>
      </c>
      <c r="B130" s="3929" t="s">
        <v>2776</v>
      </c>
      <c r="C130" s="3118" t="s">
        <v>2777</v>
      </c>
      <c r="D130" s="3092" t="s">
        <v>2778</v>
      </c>
      <c r="E130" s="3118">
        <v>0.1</v>
      </c>
      <c r="F130" s="3118">
        <v>15</v>
      </c>
    </row>
    <row r="131" spans="1:6" ht="24">
      <c r="A131" s="3118">
        <v>59</v>
      </c>
      <c r="B131" s="3929"/>
      <c r="C131" s="3118" t="s">
        <v>2779</v>
      </c>
      <c r="D131" s="3092" t="s">
        <v>2780</v>
      </c>
      <c r="E131" s="3118">
        <v>0.1</v>
      </c>
      <c r="F131" s="3118">
        <v>15</v>
      </c>
    </row>
    <row r="132" spans="1:6" ht="24">
      <c r="A132" s="3118">
        <v>60</v>
      </c>
      <c r="B132" s="3930" t="s">
        <v>2781</v>
      </c>
      <c r="C132" s="3118" t="s">
        <v>2782</v>
      </c>
      <c r="D132" s="3092" t="s">
        <v>2783</v>
      </c>
      <c r="E132" s="3118">
        <v>0.1</v>
      </c>
      <c r="F132" s="3118">
        <v>15</v>
      </c>
    </row>
    <row r="133" spans="1:6" ht="24">
      <c r="A133" s="3118">
        <v>61</v>
      </c>
      <c r="B133" s="393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929" t="s">
        <v>2789</v>
      </c>
      <c r="C135" s="3118" t="s">
        <v>2790</v>
      </c>
      <c r="D135" s="3092" t="s">
        <v>2791</v>
      </c>
      <c r="E135" s="3118">
        <v>0.1</v>
      </c>
      <c r="F135" s="3118">
        <v>15</v>
      </c>
    </row>
    <row r="136" spans="1:6" ht="24">
      <c r="A136" s="3118">
        <v>64</v>
      </c>
      <c r="B136" s="3929"/>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9"/>
      <c r="C2" s="3619"/>
      <c r="D2" s="3619"/>
      <c r="E2" s="3619"/>
    </row>
    <row r="3" spans="1:5" ht="17.399999999999999">
      <c r="A3" s="3620" t="str">
        <f>IF(项目基本情况!B9="房地产市场价值","估价结果一览表（市场价值不需“结果表-1”）","估价结果一览表")</f>
        <v>估价结果一览表（市场价值不需“结果表-1”）</v>
      </c>
      <c r="B3" s="3620"/>
      <c r="C3" s="3620"/>
      <c r="D3" s="3620"/>
      <c r="E3" s="3620"/>
    </row>
    <row r="4" spans="1:5" ht="18" thickBot="1">
      <c r="A4" s="1493"/>
      <c r="B4" s="3618" t="s">
        <v>917</v>
      </c>
      <c r="C4" s="3618"/>
      <c r="D4" s="3618"/>
      <c r="E4" s="1493"/>
    </row>
    <row r="5" spans="1:5" ht="16.2" thickTop="1">
      <c r="A5" s="1491"/>
      <c r="B5" s="3616" t="s">
        <v>909</v>
      </c>
      <c r="C5" s="1494" t="s">
        <v>910</v>
      </c>
      <c r="D5" s="850" t="e">
        <f ca="1">结果表!H101</f>
        <v>#REF!</v>
      </c>
      <c r="E5" s="1491"/>
    </row>
    <row r="6" spans="1:5" ht="15.6">
      <c r="A6" s="1491"/>
      <c r="B6" s="3616"/>
      <c r="C6" s="1494" t="s">
        <v>911</v>
      </c>
      <c r="D6" s="850" t="e">
        <f ca="1">NUMBERSTRING(INT(D5*10000),2)&amp;"元整"</f>
        <v>#REF!</v>
      </c>
      <c r="E6" s="1491"/>
    </row>
    <row r="7" spans="1:5" ht="15.6">
      <c r="A7" s="1491"/>
      <c r="B7" s="3621"/>
      <c r="C7" s="1495" t="s">
        <v>912</v>
      </c>
      <c r="D7" s="851" t="e">
        <f ca="1">结果表!H102</f>
        <v>#REF!</v>
      </c>
      <c r="E7" s="1491"/>
    </row>
    <row r="8" spans="1:5" ht="15.6">
      <c r="A8" s="1491"/>
      <c r="B8" s="3622" t="str">
        <f>结果表!E103</f>
        <v>2.估价师知悉的法定优先受偿款</v>
      </c>
      <c r="C8" s="1496" t="s">
        <v>913</v>
      </c>
      <c r="D8" s="851">
        <f>结果表!H103</f>
        <v>0</v>
      </c>
      <c r="E8" s="1491"/>
    </row>
    <row r="9" spans="1:5" ht="15.6">
      <c r="A9" s="1491"/>
      <c r="B9" s="362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15" t="str">
        <f>结果表!E107</f>
        <v>3.房地产抵押价值</v>
      </c>
      <c r="C13" s="1499" t="s">
        <v>910</v>
      </c>
      <c r="D13" s="853" t="e">
        <f ca="1">结果表!H107</f>
        <v>#REF!</v>
      </c>
      <c r="E13" s="1491"/>
    </row>
    <row r="14" spans="1:5" ht="15.6">
      <c r="A14" s="1491"/>
      <c r="B14" s="3616"/>
      <c r="C14" s="1494" t="s">
        <v>911</v>
      </c>
      <c r="D14" s="850" t="e">
        <f ca="1">NUMBERSTRING(INT(D13*10000),2)&amp;"元整"</f>
        <v>#REF!</v>
      </c>
      <c r="E14" s="1491"/>
    </row>
    <row r="15" spans="1:5" ht="15.6">
      <c r="A15" s="1491"/>
      <c r="B15" s="3621"/>
      <c r="C15" s="1495" t="s">
        <v>921</v>
      </c>
      <c r="D15" s="859" t="e">
        <f ca="1">结果表!H108</f>
        <v>#REF!</v>
      </c>
      <c r="E15" s="1491"/>
    </row>
    <row r="16" spans="1:5" ht="15.6">
      <c r="A16" s="1491"/>
      <c r="B16" s="3622" t="str">
        <f>结果表!E109</f>
        <v>——</v>
      </c>
      <c r="C16" s="1499" t="s">
        <v>922</v>
      </c>
      <c r="D16" s="1500" t="str">
        <f>结果表!H109</f>
        <v>——</v>
      </c>
      <c r="E16" s="1491"/>
    </row>
    <row r="17" spans="1:5" ht="15.6">
      <c r="A17" s="1491"/>
      <c r="B17" s="3623"/>
      <c r="C17" s="1494" t="s">
        <v>923</v>
      </c>
      <c r="D17" s="850" t="e">
        <f>NUMBERSTRING(INT(D16*10000),2)&amp;"元整"</f>
        <v>#VALUE!</v>
      </c>
      <c r="E17" s="1491"/>
    </row>
    <row r="18" spans="1:5" ht="15.6">
      <c r="A18" s="1491"/>
      <c r="B18" s="3624"/>
      <c r="C18" s="1495" t="s">
        <v>912</v>
      </c>
      <c r="D18" s="859" t="str">
        <f>结果表!H110</f>
        <v>——</v>
      </c>
      <c r="E18" s="1491"/>
    </row>
    <row r="19" spans="1:5" ht="15.6">
      <c r="A19" s="1491"/>
      <c r="B19" s="3615" t="str">
        <f>结果表!E111</f>
        <v>——</v>
      </c>
      <c r="C19" s="1499" t="s">
        <v>910</v>
      </c>
      <c r="D19" s="851" t="str">
        <f>结果表!H111</f>
        <v>——</v>
      </c>
      <c r="E19" s="1491"/>
    </row>
    <row r="20" spans="1:5" ht="15.6">
      <c r="A20" s="1491"/>
      <c r="B20" s="3616"/>
      <c r="C20" s="1494" t="s">
        <v>923</v>
      </c>
      <c r="D20" s="850" t="e">
        <f>NUMBERSTRING(INT(D19*10000),2)&amp;"元整"</f>
        <v>#VALUE!</v>
      </c>
      <c r="E20" s="1491"/>
    </row>
    <row r="21" spans="1:5" ht="16.2" thickBot="1">
      <c r="A21" s="1491"/>
      <c r="B21" s="361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26710</v>
      </c>
      <c r="C2" s="2" t="s">
        <v>106</v>
      </c>
      <c r="D2" s="199"/>
      <c r="E2" s="199"/>
      <c r="F2" s="199"/>
      <c r="G2" s="199"/>
    </row>
    <row r="3" spans="1:7" s="200" customFormat="1" ht="18" customHeight="1" thickBot="1">
      <c r="A3" s="203" t="s">
        <v>58</v>
      </c>
      <c r="B3" s="204">
        <f ca="1">ROUND(B2*10000/'数据-汇总表'!E3,0)</f>
        <v>3562283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1114</v>
      </c>
      <c r="D22" s="235">
        <f ca="1">C26</f>
        <v>5.0000000000000001E-4</v>
      </c>
      <c r="E22" s="236" t="s">
        <v>99</v>
      </c>
      <c r="F22" s="237">
        <f ca="1">'数据-取费表'!B40</f>
        <v>5.3499999999999999E-2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1103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2523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0.08</v>
      </c>
      <c r="G36" s="260" t="s">
        <v>35</v>
      </c>
    </row>
    <row r="37" spans="1:7" s="258" customFormat="1" ht="13.5" customHeight="1">
      <c r="A37" s="780" t="s">
        <v>353</v>
      </c>
      <c r="B37" s="215" t="s">
        <v>91</v>
      </c>
      <c r="C37" s="249">
        <f>ROUND(E37*D37*F34/10000,0)</f>
        <v>1</v>
      </c>
      <c r="D37" s="217">
        <f>'数据-汇总表'!E3</f>
        <v>74.98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797" t="s">
        <v>94</v>
      </c>
    </row>
    <row r="43" spans="1:7" ht="13.5" customHeight="1">
      <c r="A43" s="780" t="s">
        <v>347</v>
      </c>
      <c r="B43" s="215" t="s">
        <v>426</v>
      </c>
      <c r="C43" s="238">
        <f ca="1">ROUND(IF('数据-取费表'!B22&lt;=1,C39*F22*'数据-取费表'!B21/2,C39*(POWER((1+F22),'数据-取费表'!B21/2)-1)),0)</f>
        <v>0</v>
      </c>
      <c r="D43" s="238"/>
      <c r="E43" s="238"/>
      <c r="F43" s="239"/>
      <c r="G43" s="3798"/>
    </row>
    <row r="44" spans="1:7" ht="13.5" customHeight="1">
      <c r="A44" s="780" t="s">
        <v>348</v>
      </c>
      <c r="B44" s="215" t="s">
        <v>428</v>
      </c>
      <c r="C44" s="238">
        <f ca="1">ROUND(IF('数据-取费表'!B22&lt;=1,C40*F22*'数据-取费表'!B21/2,C40*(POWER((1+F22),'数据-取费表'!B21/2)-1)),4)</f>
        <v>5.0000000000000001E-4</v>
      </c>
      <c r="D44" s="238"/>
      <c r="E44" s="238"/>
      <c r="F44" s="239"/>
      <c r="G44" s="3799"/>
    </row>
    <row r="45" spans="1:7" s="214" customFormat="1" ht="13.5" customHeight="1">
      <c r="A45" s="777" t="s">
        <v>341</v>
      </c>
      <c r="B45" s="244" t="s">
        <v>85</v>
      </c>
      <c r="C45" s="245">
        <f>C46</f>
        <v>2</v>
      </c>
      <c r="D45" s="235">
        <f>C47</f>
        <v>2.3999999999999998E-3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15</v>
      </c>
      <c r="D51" s="232"/>
      <c r="E51" s="232"/>
      <c r="F51" s="264"/>
      <c r="G51" s="234" t="s">
        <v>37</v>
      </c>
    </row>
    <row r="52" spans="1:7" s="208" customFormat="1" ht="16.8" thickBot="1">
      <c r="A52" s="265" t="s">
        <v>38</v>
      </c>
      <c r="B52" s="266"/>
      <c r="C52" s="267">
        <f ca="1">C31+C51</f>
        <v>26710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43" t="s">
        <v>2839</v>
      </c>
      <c r="B1" s="3943"/>
      <c r="C1" s="3943"/>
      <c r="D1" s="3943"/>
      <c r="E1" s="3943"/>
      <c r="F1" s="3943"/>
      <c r="G1" s="394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94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94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45" t="s">
        <v>3181</v>
      </c>
      <c r="B1" s="394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46" t="s">
        <v>3232</v>
      </c>
      <c r="B1" s="3946"/>
      <c r="C1" s="3946"/>
      <c r="D1" s="3946"/>
      <c r="E1" s="3946"/>
      <c r="F1" s="394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42103</v>
      </c>
      <c r="B1" s="3210" t="s">
        <v>3371</v>
      </c>
      <c r="C1" s="3211"/>
      <c r="D1" s="3211"/>
      <c r="E1" s="3211"/>
      <c r="F1" s="3211"/>
      <c r="G1" s="3211"/>
      <c r="H1" s="3211"/>
      <c r="I1" s="3211"/>
      <c r="J1" s="3165"/>
      <c r="K1" s="3211" t="s">
        <v>454</v>
      </c>
      <c r="L1" s="3211"/>
      <c r="M1" s="3211"/>
      <c r="N1" s="3211"/>
      <c r="O1" s="3211"/>
      <c r="P1" s="3211"/>
      <c r="Q1" s="3165"/>
      <c r="R1" s="3948" t="s">
        <v>456</v>
      </c>
      <c r="S1" s="3949"/>
      <c r="T1" s="3949"/>
      <c r="U1" s="3949"/>
      <c r="V1" s="3949"/>
      <c r="W1" s="3949"/>
      <c r="X1" s="3165"/>
      <c r="Y1" s="3948" t="s">
        <v>457</v>
      </c>
      <c r="Z1" s="3949"/>
      <c r="AA1" s="3949"/>
      <c r="AB1" s="3949"/>
      <c r="AC1" s="3949"/>
      <c r="AD1" s="3949"/>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48" t="s">
        <v>2827</v>
      </c>
      <c r="S24" s="3949"/>
      <c r="T24" s="3949"/>
      <c r="U24" s="3949"/>
      <c r="V24" s="3949"/>
      <c r="W24" s="3949"/>
      <c r="X24" s="3165"/>
      <c r="Y24" s="3948" t="s">
        <v>2828</v>
      </c>
      <c r="Z24" s="3949"/>
      <c r="AA24" s="3949"/>
      <c r="AB24" s="3949"/>
      <c r="AC24" s="3949"/>
      <c r="AD24" s="3949"/>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55" t="s">
        <v>452</v>
      </c>
      <c r="C1" s="3955"/>
      <c r="D1" s="3955"/>
      <c r="E1" s="3955"/>
      <c r="F1" s="3955"/>
      <c r="G1" s="3954" t="s">
        <v>453</v>
      </c>
      <c r="H1" s="3954"/>
      <c r="I1" s="3954"/>
      <c r="J1" s="3954"/>
      <c r="K1" s="3954"/>
      <c r="L1" s="3954"/>
      <c r="N1" s="3954" t="s">
        <v>454</v>
      </c>
      <c r="O1" s="3954"/>
      <c r="P1" s="3954"/>
      <c r="Q1" s="3954"/>
      <c r="S1" s="3954" t="s">
        <v>455</v>
      </c>
      <c r="T1" s="3954"/>
      <c r="U1" s="3954"/>
      <c r="V1" s="3954"/>
      <c r="X1" s="3953" t="s">
        <v>456</v>
      </c>
      <c r="Y1" s="3954"/>
      <c r="Z1" s="3954"/>
      <c r="AA1" s="3954"/>
      <c r="AB1" s="3954"/>
      <c r="AD1" s="3953" t="s">
        <v>457</v>
      </c>
      <c r="AE1" s="3954"/>
      <c r="AF1" s="3954"/>
      <c r="AG1" s="3954"/>
      <c r="AH1" s="395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6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5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6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5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5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5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5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5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5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5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5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5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5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5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5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5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5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5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5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5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5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5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5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5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5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5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5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5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5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5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5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42103</v>
      </c>
      <c r="D1" s="1302" t="s">
        <v>603</v>
      </c>
      <c r="E1" s="1297">
        <f>'数据-取费表'!B22</f>
        <v>1</v>
      </c>
      <c r="F1" s="1302" t="s">
        <v>604</v>
      </c>
      <c r="G1" s="1298">
        <f ca="1">INDIRECT("d"&amp;$K$1)/100</f>
        <v>5.3499999999999999E-2</v>
      </c>
      <c r="H1" s="1302" t="s">
        <v>634</v>
      </c>
      <c r="I1" s="1298">
        <f ca="1">F4/100</f>
        <v>2.5000000000000001E-2</v>
      </c>
      <c r="J1" s="1303">
        <f>IF(C1&gt;C13,0,MATCH(C1,C$13:C$113,-1))+IF(SUMIF(C13:C113,C1,D13:D113)=0,13,12)</f>
        <v>30</v>
      </c>
      <c r="K1" s="1303">
        <f ca="1">MATCH(E1,C3:C7,1)+IF(SUMIF(C3:C7,E1,D3:D7)=0,2,1)</f>
        <v>4</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2" t="str">
        <f>IF(项目基本情况!B9="房地产市场价值","估价结果一览表","结果表-2")</f>
        <v>估价结果一览表</v>
      </c>
      <c r="B1" s="3632"/>
      <c r="C1" s="3632"/>
      <c r="D1" s="3632"/>
      <c r="E1" s="3632"/>
      <c r="F1" s="3632"/>
      <c r="G1" s="3632"/>
      <c r="H1" s="3632"/>
      <c r="I1" s="3632"/>
    </row>
    <row r="2" spans="1:9" ht="30" customHeight="1" thickTop="1">
      <c r="A2" s="3633" t="s">
        <v>928</v>
      </c>
      <c r="B2" s="3633" t="s">
        <v>929</v>
      </c>
      <c r="C2" s="3633" t="s">
        <v>930</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spans="1:9" ht="15.6">
      <c r="A3" s="3628"/>
      <c r="B3" s="3628"/>
      <c r="C3" s="3628"/>
      <c r="D3" s="854" t="s">
        <v>925</v>
      </c>
      <c r="E3" s="854" t="s">
        <v>931</v>
      </c>
      <c r="F3" s="854" t="s">
        <v>925</v>
      </c>
      <c r="G3" s="854" t="s">
        <v>926</v>
      </c>
      <c r="H3" s="854" t="s">
        <v>925</v>
      </c>
      <c r="I3" s="854" t="s">
        <v>926</v>
      </c>
    </row>
    <row r="4" spans="1:9" ht="15">
      <c r="A4" s="1505" t="str">
        <f>项目基本情况!S2</f>
        <v>北京市房地产</v>
      </c>
      <c r="B4" s="854">
        <f>项目基本情况!C17</f>
        <v>74.98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8" t="s">
        <v>927</v>
      </c>
      <c r="B5" s="3628"/>
      <c r="C5" s="3628"/>
      <c r="D5" s="3628" t="e">
        <f ca="1">结果表!D119</f>
        <v>#REF!</v>
      </c>
      <c r="E5" s="3628"/>
      <c r="F5" s="3628" t="e">
        <f ca="1">结果表!F119</f>
        <v>#REF!</v>
      </c>
      <c r="G5" s="3628"/>
      <c r="H5" s="3628" t="e">
        <f ca="1">结果表!H119</f>
        <v>#REF!</v>
      </c>
      <c r="I5" s="3628"/>
    </row>
    <row r="6" spans="1:9" ht="15.6">
      <c r="A6" s="3627" t="str">
        <f>结果表!A120</f>
        <v/>
      </c>
      <c r="B6" s="3627"/>
      <c r="C6" s="3627"/>
      <c r="D6" s="3627">
        <f>结果表!D120</f>
        <v>0</v>
      </c>
      <c r="E6" s="3627"/>
      <c r="F6" s="3627"/>
      <c r="G6" s="3627"/>
      <c r="H6" s="3627"/>
      <c r="I6" s="3627"/>
    </row>
    <row r="7" spans="1:9" ht="15">
      <c r="A7" s="3628" t="s">
        <v>927</v>
      </c>
      <c r="B7" s="3628"/>
      <c r="C7" s="3628"/>
      <c r="D7" s="3629" t="str">
        <f>结果表!D121</f>
        <v>零元整</v>
      </c>
      <c r="E7" s="3630"/>
      <c r="F7" s="3630"/>
      <c r="G7" s="3630"/>
      <c r="H7" s="3630"/>
      <c r="I7" s="3631"/>
    </row>
    <row r="8" spans="1:9" ht="15.6">
      <c r="A8" s="3627" t="str">
        <f>结果表!A122</f>
        <v/>
      </c>
      <c r="B8" s="3627"/>
      <c r="C8" s="3627"/>
      <c r="D8" s="3627" t="e">
        <f ca="1">结果表!D122</f>
        <v>#REF!</v>
      </c>
      <c r="E8" s="3627"/>
      <c r="F8" s="3627"/>
      <c r="G8" s="3627"/>
      <c r="H8" s="3627"/>
      <c r="I8" s="3627"/>
    </row>
    <row r="9" spans="1:9" ht="15">
      <c r="A9" s="3628" t="s">
        <v>927</v>
      </c>
      <c r="B9" s="3628"/>
      <c r="C9" s="3628"/>
      <c r="D9" s="3628" t="e">
        <f ca="1">结果表!D123</f>
        <v>#REF!</v>
      </c>
      <c r="E9" s="3628"/>
      <c r="F9" s="3628"/>
      <c r="G9" s="3628"/>
      <c r="H9" s="3628"/>
      <c r="I9" s="3628"/>
    </row>
    <row r="10" spans="1:9" ht="15.6">
      <c r="A10" s="3627" t="str">
        <f>结果表!A124</f>
        <v/>
      </c>
      <c r="B10" s="3627"/>
      <c r="C10" s="3627"/>
      <c r="D10" s="3627" t="str">
        <f>结果表!D124</f>
        <v>——</v>
      </c>
      <c r="E10" s="3627"/>
      <c r="F10" s="3627"/>
      <c r="G10" s="3627"/>
      <c r="H10" s="3627"/>
      <c r="I10" s="3627"/>
    </row>
    <row r="11" spans="1:9" ht="15">
      <c r="A11" s="3628" t="s">
        <v>927</v>
      </c>
      <c r="B11" s="3628"/>
      <c r="C11" s="3628"/>
      <c r="D11" s="3628" t="e">
        <f>结果表!D125</f>
        <v>#VALUE!</v>
      </c>
      <c r="E11" s="3628"/>
      <c r="F11" s="3628"/>
      <c r="G11" s="3628"/>
      <c r="H11" s="3628"/>
      <c r="I11" s="3628"/>
    </row>
    <row r="12" spans="1:9" ht="15.6">
      <c r="A12" s="3627" t="str">
        <f>结果表!A126</f>
        <v/>
      </c>
      <c r="B12" s="3627"/>
      <c r="C12" s="3627"/>
      <c r="D12" s="3627" t="str">
        <f>结果表!D126</f>
        <v>——</v>
      </c>
      <c r="E12" s="3627"/>
      <c r="F12" s="3627"/>
      <c r="G12" s="3627"/>
      <c r="H12" s="3627"/>
      <c r="I12" s="3627"/>
    </row>
    <row r="13" spans="1:9" ht="15.6" thickBot="1">
      <c r="A13" s="3625" t="s">
        <v>927</v>
      </c>
      <c r="B13" s="3625"/>
      <c r="C13" s="3625"/>
      <c r="D13" s="3625" t="e">
        <f>结果表!D127</f>
        <v>#VALUE!</v>
      </c>
      <c r="E13" s="3625"/>
      <c r="F13" s="3625"/>
      <c r="G13" s="3625"/>
      <c r="H13" s="3625"/>
      <c r="I13" s="3625"/>
    </row>
    <row r="14" spans="1:9" ht="14.4" thickTop="1">
      <c r="A14" s="3626" t="s">
        <v>932</v>
      </c>
      <c r="B14" s="3626"/>
      <c r="C14" s="3626"/>
      <c r="D14" s="3626"/>
      <c r="E14" s="3626"/>
      <c r="F14" s="3626"/>
      <c r="G14" s="3626"/>
      <c r="H14" s="3626"/>
      <c r="I14" s="362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0" t="s">
        <v>949</v>
      </c>
      <c r="B1" s="3640"/>
      <c r="C1" s="3640"/>
      <c r="D1" s="3640"/>
    </row>
    <row r="2" spans="1:4" ht="17.399999999999999">
      <c r="A2" s="3641" t="s">
        <v>933</v>
      </c>
      <c r="B2" s="3641"/>
      <c r="C2" s="3641"/>
      <c r="D2" s="364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41" t="s">
        <v>939</v>
      </c>
      <c r="B6" s="3641"/>
      <c r="C6" s="3641"/>
      <c r="D6" s="364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2" t="s">
        <v>942</v>
      </c>
      <c r="B11" s="3634"/>
      <c r="C11" s="3634"/>
      <c r="D11" s="3634"/>
    </row>
    <row r="12" spans="1:4" ht="15.6">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spans="1:4" ht="30" customHeight="1">
      <c r="A13" s="3634" t="str">
        <f>IF(项目基本情况!B8="抵押","3.抵押双方在办理抵押登记手续时，应使用本公司出具的正式《房地产评估报告》，特提醒报告使用者注意。","——")</f>
        <v>——</v>
      </c>
      <c r="B13" s="3639"/>
      <c r="C13" s="3639"/>
      <c r="D13" s="3639"/>
    </row>
    <row r="14" spans="1:4" ht="15.75" customHeight="1">
      <c r="A14" s="3634" t="str">
        <f>IF(项目基本情况!B8="抵押","4.本次评估估价师所知悉的法定优先受偿款情况说明如下：","——")</f>
        <v>——</v>
      </c>
      <c r="B14" s="3639"/>
      <c r="C14" s="3639"/>
      <c r="D14" s="3639"/>
    </row>
    <row r="15" spans="1:4" ht="42" customHeight="1">
      <c r="A15" s="3634" t="str">
        <f>IF(项目基本情况!B8="抵押","（1）"&amp;CONCATENATE(项目基本情况!L20,项目基本情况!L21,项目基本情况!L22),"——")</f>
        <v>——</v>
      </c>
      <c r="B15" s="3634"/>
      <c r="C15" s="3634"/>
      <c r="D15" s="3634"/>
    </row>
    <row r="16" spans="1:4" ht="30" customHeight="1">
      <c r="A16" s="3636" t="s">
        <v>943</v>
      </c>
      <c r="B16" s="3636"/>
      <c r="C16" s="3636"/>
      <c r="D16" s="3636"/>
    </row>
    <row r="17" spans="1:4" ht="144" customHeight="1">
      <c r="A17" s="3636" t="s">
        <v>944</v>
      </c>
      <c r="B17" s="3636"/>
      <c r="C17" s="3636"/>
      <c r="D17" s="3636"/>
    </row>
    <row r="18" spans="1:4" ht="15.75" customHeight="1">
      <c r="A18" s="3634" t="str">
        <f>IF(项目基本情况!B8="抵押",结果表!K120,"——")</f>
        <v>——</v>
      </c>
      <c r="B18" s="3634"/>
      <c r="C18" s="3634"/>
      <c r="D18" s="3634"/>
    </row>
    <row r="19" spans="1:4" ht="46.5" customHeight="1">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spans="1:4" ht="57.75" customHeight="1">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spans="1:4" ht="57.75" customHeight="1">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spans="1:4" ht="18.75" customHeight="1">
      <c r="A22" s="3638" t="s">
        <v>945</v>
      </c>
      <c r="B22" s="3638"/>
      <c r="C22" s="3638"/>
      <c r="D22" s="363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5">
        <v>42551</v>
      </c>
      <c r="D31" s="36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48" t="s">
        <v>956</v>
      </c>
      <c r="B15" s="3643" t="s">
        <v>109</v>
      </c>
      <c r="C15" s="3644"/>
    </row>
    <row r="16" spans="1:7" ht="14.4">
      <c r="A16" s="3649"/>
      <c r="B16" s="3643" t="s">
        <v>42</v>
      </c>
      <c r="C16" s="3644"/>
    </row>
    <row r="17" spans="1:3" ht="14.4">
      <c r="A17" s="3649"/>
      <c r="B17" s="3646" t="s">
        <v>957</v>
      </c>
      <c r="C17" s="1532" t="s">
        <v>956</v>
      </c>
    </row>
    <row r="18" spans="1:3" ht="14.4">
      <c r="A18" s="3649"/>
      <c r="B18" s="3646"/>
      <c r="C18" s="1532" t="s">
        <v>958</v>
      </c>
    </row>
    <row r="19" spans="1:3" ht="14.4">
      <c r="A19" s="3649"/>
      <c r="B19" s="3646"/>
      <c r="C19" s="1532" t="s">
        <v>959</v>
      </c>
    </row>
    <row r="20" spans="1:3" ht="14.4">
      <c r="A20" s="3650"/>
      <c r="B20" s="3645" t="s">
        <v>960</v>
      </c>
      <c r="C20" s="3644"/>
    </row>
    <row r="21" spans="1:3" ht="14.4">
      <c r="A21" s="1533" t="s">
        <v>961</v>
      </c>
      <c r="B21" s="1534"/>
      <c r="C21" s="1535"/>
    </row>
    <row r="22" spans="1:3" ht="14.4">
      <c r="A22" s="3647" t="s">
        <v>962</v>
      </c>
      <c r="B22" s="3645" t="s">
        <v>963</v>
      </c>
      <c r="C22" s="3644"/>
    </row>
    <row r="23" spans="1:3" ht="14.4">
      <c r="A23" s="3647"/>
      <c r="B23" s="3645" t="s">
        <v>964</v>
      </c>
      <c r="C23" s="3644"/>
    </row>
    <row r="24" spans="1:3" ht="14.4">
      <c r="A24" s="3647"/>
      <c r="B24" s="3645" t="s">
        <v>965</v>
      </c>
      <c r="C24" s="3644"/>
    </row>
    <row r="25" spans="1:3" ht="14.4">
      <c r="A25" s="3647"/>
      <c r="B25" s="3646" t="s">
        <v>966</v>
      </c>
      <c r="C25" s="1532" t="s">
        <v>967</v>
      </c>
    </row>
    <row r="26" spans="1:3" ht="14.4">
      <c r="A26" s="3647"/>
      <c r="B26" s="3646"/>
      <c r="C26" s="1532" t="s">
        <v>968</v>
      </c>
    </row>
    <row r="27" spans="1:3" ht="14.4">
      <c r="A27" s="3647"/>
      <c r="B27" s="3646"/>
      <c r="C27" s="1532" t="s">
        <v>969</v>
      </c>
    </row>
    <row r="28" spans="1:3" ht="14.4">
      <c r="A28" s="3647"/>
      <c r="B28" s="3646"/>
      <c r="C28" s="1532" t="s">
        <v>970</v>
      </c>
    </row>
    <row r="29" spans="1:3" ht="14.4">
      <c r="A29" s="3647"/>
      <c r="B29" s="3646"/>
      <c r="C29" s="1532" t="s">
        <v>971</v>
      </c>
    </row>
    <row r="30" spans="1:3" ht="14.4">
      <c r="A30" s="3647"/>
      <c r="B30" s="3646"/>
      <c r="C30" s="1532" t="s">
        <v>972</v>
      </c>
    </row>
    <row r="31" spans="1:3" ht="14.4">
      <c r="A31" s="3647"/>
      <c r="B31" s="3646"/>
      <c r="C31" s="1532" t="s">
        <v>973</v>
      </c>
    </row>
    <row r="32" spans="1:3" ht="14.4">
      <c r="A32" s="3647"/>
      <c r="B32" s="3646"/>
      <c r="C32" s="1532" t="s">
        <v>974</v>
      </c>
    </row>
    <row r="33" spans="1:3" ht="14.4">
      <c r="A33" s="3647"/>
      <c r="B33" s="364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1" t="s">
        <v>2159</v>
      </c>
      <c r="B17" s="3651"/>
      <c r="C17" s="3651"/>
      <c r="D17" s="3651"/>
      <c r="E17" s="3651"/>
      <c r="F17" s="3651"/>
      <c r="G17" s="3651"/>
      <c r="H17" s="3651"/>
    </row>
    <row r="18" spans="1:8" ht="24" customHeight="1">
      <c r="A18" s="3652" t="s">
        <v>2160</v>
      </c>
      <c r="B18" s="3652"/>
      <c r="C18" s="3652"/>
      <c r="D18" s="2343"/>
      <c r="E18" s="3653" t="s">
        <v>2161</v>
      </c>
      <c r="F18" s="3652"/>
      <c r="G18" s="365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2025-11-18T06:02:44Z</dcterms:modified>
</cp:coreProperties>
</file>