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75" firstSheet="11"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K13" i="3" l="1"/>
  <c r="W21" i="1" l="1"/>
  <c r="D27" i="9"/>
  <c r="I13" i="3"/>
  <c r="E7" i="39" l="1"/>
  <c r="C30" i="9"/>
  <c r="B27" i="9" l="1"/>
  <c r="D30" i="9" l="1"/>
  <c r="B30" i="9"/>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9" i="69"/>
  <c r="O9" i="69"/>
  <c r="O8" i="69"/>
  <c r="O10" i="69"/>
  <c r="O11" i="69" s="1"/>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O12" i="69" l="1"/>
  <c r="O13" i="69" s="1"/>
  <c r="F25" i="12"/>
  <c r="P13" i="69" l="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F10" i="59" s="1"/>
  <c r="F9" i="59" s="1"/>
  <c r="F8" i="59" s="1"/>
  <c r="F7" i="59" s="1"/>
  <c r="F6" i="59" s="1"/>
  <c r="P10" i="59"/>
  <c r="O10" i="59"/>
  <c r="N10" i="59"/>
  <c r="N11" i="59"/>
  <c r="Q11" i="59"/>
  <c r="P11" i="59"/>
  <c r="O11" i="59"/>
  <c r="K59" i="15"/>
  <c r="Q74" i="44"/>
  <c r="Q61" i="44"/>
  <c r="Q60" i="44"/>
  <c r="Q53" i="44"/>
  <c r="J51" i="44"/>
  <c r="J52" i="44" s="1"/>
  <c r="M48" i="44"/>
  <c r="A16" i="55"/>
  <c r="A15" i="55"/>
  <c r="B66" i="63" s="1"/>
  <c r="A14" i="55"/>
  <c r="A11" i="55"/>
  <c r="A10" i="55"/>
  <c r="B61" i="63" s="1"/>
  <c r="A9" i="55"/>
  <c r="B60" i="63" s="1"/>
  <c r="A8" i="55"/>
  <c r="A6" i="54"/>
  <c r="B49" i="63" s="1"/>
  <c r="A8" i="54"/>
  <c r="A7" i="54"/>
  <c r="B51" i="63" s="1"/>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E10" i="59"/>
  <c r="S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C56" i="10"/>
  <c r="C55" i="10"/>
  <c r="C54" i="10"/>
  <c r="B44" i="63"/>
  <c r="B40" i="63"/>
  <c r="B30" i="63"/>
  <c r="B27" i="63"/>
  <c r="B25" i="63"/>
  <c r="A11" i="51"/>
  <c r="B10" i="63" s="1"/>
  <c r="A26" i="64"/>
  <c r="A26" i="51"/>
  <c r="B19" i="63" s="1"/>
  <c r="K39" i="9"/>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14" i="59"/>
  <c r="F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s="1"/>
  <c r="E54" i="59"/>
  <c r="P54" i="59" s="1"/>
  <c r="C54" i="59"/>
  <c r="B54" i="59"/>
  <c r="D51" i="59"/>
  <c r="Q50" i="59"/>
  <c r="P50" i="59"/>
  <c r="O50" i="59"/>
  <c r="N50" i="59"/>
  <c r="Q49" i="59"/>
  <c r="P49" i="59"/>
  <c r="O49" i="59"/>
  <c r="N49" i="59"/>
  <c r="Q48" i="59"/>
  <c r="P48" i="59"/>
  <c r="O48" i="59"/>
  <c r="N48" i="59"/>
  <c r="Q47" i="59"/>
  <c r="F48" i="59" s="1"/>
  <c r="F49" i="59" s="1"/>
  <c r="F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D36" i="59" s="1"/>
  <c r="N35" i="59"/>
  <c r="B36"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D28" i="59" s="1"/>
  <c r="N27" i="59"/>
  <c r="B28" i="59"/>
  <c r="B29" i="59" s="1"/>
  <c r="B30" i="59" s="1"/>
  <c r="S30" i="59" s="1"/>
  <c r="D27" i="59"/>
  <c r="Q26" i="59"/>
  <c r="P26" i="59"/>
  <c r="O26" i="59"/>
  <c r="N26" i="59"/>
  <c r="Q25" i="59"/>
  <c r="AB25" i="59"/>
  <c r="P25" i="59"/>
  <c r="O25" i="59"/>
  <c r="Y25" i="59" s="1"/>
  <c r="Z25" i="59" s="1"/>
  <c r="N25" i="59"/>
  <c r="X25" i="59" s="1"/>
  <c r="Q24" i="59"/>
  <c r="AB24" i="59" s="1"/>
  <c r="P24" i="59"/>
  <c r="AA24" i="59" s="1"/>
  <c r="O24" i="59"/>
  <c r="N24" i="59"/>
  <c r="Q23" i="59"/>
  <c r="P23" i="59"/>
  <c r="E24" i="59" s="1"/>
  <c r="E25" i="59" s="1"/>
  <c r="E26" i="59" s="1"/>
  <c r="U26" i="59" s="1"/>
  <c r="O23" i="59"/>
  <c r="N23" i="59"/>
  <c r="D23" i="59"/>
  <c r="Q22" i="59"/>
  <c r="P22" i="59"/>
  <c r="O22" i="59"/>
  <c r="N22" i="59"/>
  <c r="Q21" i="59"/>
  <c r="P21" i="59"/>
  <c r="O21" i="59"/>
  <c r="N21" i="59"/>
  <c r="Q20" i="59"/>
  <c r="P20" i="59"/>
  <c r="O20" i="59"/>
  <c r="N20" i="59"/>
  <c r="Q19" i="59"/>
  <c r="P19" i="59"/>
  <c r="O19" i="59"/>
  <c r="C20" i="59"/>
  <c r="D20" i="59" s="1"/>
  <c r="N19" i="59"/>
  <c r="B20" i="59"/>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B37" i="59"/>
  <c r="B38" i="59" s="1"/>
  <c r="S38" i="59" s="1"/>
  <c r="AA25" i="59"/>
  <c r="F34" i="59"/>
  <c r="V34" i="59" s="1"/>
  <c r="F41" i="59"/>
  <c r="F42" i="59" s="1"/>
  <c r="V42" i="59" s="1"/>
  <c r="F46" i="59"/>
  <c r="V46" i="59" s="1"/>
  <c r="V50" i="59"/>
  <c r="C37" i="59"/>
  <c r="C49" i="59"/>
  <c r="C50" i="59" s="1"/>
  <c r="T50" i="59" s="1"/>
  <c r="T54" i="59"/>
  <c r="O54" i="59"/>
  <c r="D54" i="59"/>
  <c r="C53" i="59"/>
  <c r="O53" i="59" s="1"/>
  <c r="C57" i="59"/>
  <c r="C61" i="59"/>
  <c r="D61" i="59" s="1"/>
  <c r="E61" i="59"/>
  <c r="E60" i="59" s="1"/>
  <c r="D62" i="59"/>
  <c r="D66" i="59"/>
  <c r="U16" i="4"/>
  <c r="S16" i="4"/>
  <c r="Q16" i="4"/>
  <c r="O16" i="4"/>
  <c r="M16" i="4"/>
  <c r="K16" i="4"/>
  <c r="C52" i="59"/>
  <c r="D52" i="59" s="1"/>
  <c r="D53" i="59"/>
  <c r="C60" i="59"/>
  <c r="D60" i="59" s="1"/>
  <c r="D49" i="59"/>
  <c r="D50"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c r="C18" i="35"/>
  <c r="D68" i="35"/>
  <c r="E68" i="35" s="1"/>
  <c r="F68" i="35" s="1"/>
  <c r="G68" i="35" s="1"/>
  <c r="Z21" i="37"/>
  <c r="Q21" i="37"/>
  <c r="F21" i="37"/>
  <c r="C21" i="37"/>
  <c r="D77" i="37"/>
  <c r="E77" i="37" s="1"/>
  <c r="F77" i="37" s="1"/>
  <c r="G77" i="37" s="1"/>
  <c r="Q21" i="34"/>
  <c r="Z21" i="34" s="1"/>
  <c r="C21" i="34"/>
  <c r="D84" i="34"/>
  <c r="E84" i="34" s="1"/>
  <c r="F21" i="34"/>
  <c r="AA21" i="34" s="1"/>
  <c r="Q21" i="33"/>
  <c r="Z21" i="33" s="1"/>
  <c r="C21" i="33"/>
  <c r="D83" i="33"/>
  <c r="E83" i="33" s="1"/>
  <c r="F83" i="33" s="1"/>
  <c r="G83" i="33" s="1"/>
  <c r="Q21" i="21"/>
  <c r="Z21" i="21" s="1"/>
  <c r="D83" i="21"/>
  <c r="E83" i="21" s="1"/>
  <c r="F83" i="21" s="1"/>
  <c r="G83" i="21" s="1"/>
  <c r="F21" i="21"/>
  <c r="C21" i="21"/>
  <c r="Q27" i="40"/>
  <c r="Z27" i="40" s="1"/>
  <c r="D96" i="40"/>
  <c r="E96" i="40"/>
  <c r="F96" i="40" s="1"/>
  <c r="F27" i="40"/>
  <c r="AA27" i="40"/>
  <c r="Q31" i="39"/>
  <c r="Z31" i="39" s="1"/>
  <c r="D105" i="39"/>
  <c r="G20" i="20"/>
  <c r="B85" i="46" s="1"/>
  <c r="C22" i="20"/>
  <c r="B65" i="46" s="1"/>
  <c r="S18" i="36"/>
  <c r="S18" i="35"/>
  <c r="S21" i="34"/>
  <c r="S27" i="40"/>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F68" i="36" s="1"/>
  <c r="G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8" i="21"/>
  <c r="S38" i="21" s="1"/>
  <c r="F36" i="21"/>
  <c r="S36"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c r="S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A38" i="21"/>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W40" i="33"/>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W14" i="21"/>
  <c r="AC14" i="21"/>
  <c r="S46" i="33"/>
  <c r="U36" i="37"/>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AZ166" i="3" s="1"/>
  <c r="G167" i="3"/>
  <c r="BA169" i="3"/>
  <c r="BL170" i="3"/>
  <c r="G171" i="3"/>
  <c r="BA173" i="3"/>
  <c r="AZ173" i="3" s="1"/>
  <c r="BL174" i="3"/>
  <c r="G175" i="3"/>
  <c r="BA178" i="3"/>
  <c r="AZ178" i="3" s="1"/>
  <c r="BL179" i="3"/>
  <c r="G180" i="3"/>
  <c r="AZ23" i="3"/>
  <c r="AZ31" i="3"/>
  <c r="AZ39" i="3"/>
  <c r="AZ43" i="3"/>
  <c r="AZ47" i="3"/>
  <c r="AZ51" i="3"/>
  <c r="AZ59" i="3"/>
  <c r="G537" i="3"/>
  <c r="BL181" i="3"/>
  <c r="AZ181" i="3" s="1"/>
  <c r="G182" i="3"/>
  <c r="BA184" i="3"/>
  <c r="BL185" i="3"/>
  <c r="G186" i="3"/>
  <c r="BA188" i="3"/>
  <c r="AZ188" i="3"/>
  <c r="BL189" i="3"/>
  <c r="AZ189" i="3"/>
  <c r="G190" i="3"/>
  <c r="BA192" i="3"/>
  <c r="AZ192" i="3" s="1"/>
  <c r="BL193" i="3"/>
  <c r="AZ193" i="3" s="1"/>
  <c r="G194" i="3"/>
  <c r="BA196" i="3"/>
  <c r="AZ196" i="3"/>
  <c r="BL197" i="3"/>
  <c r="AZ197" i="3"/>
  <c r="G198" i="3"/>
  <c r="BA200" i="3"/>
  <c r="BL201" i="3"/>
  <c r="AZ201" i="3" s="1"/>
  <c r="AZ66" i="3"/>
  <c r="AZ74" i="3"/>
  <c r="AZ82" i="3"/>
  <c r="AZ185" i="3"/>
  <c r="AZ84" i="3"/>
  <c r="AZ86" i="3"/>
  <c r="AZ94" i="3"/>
  <c r="AZ102"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79" i="3"/>
  <c r="AZ187" i="3"/>
  <c r="AZ191" i="3"/>
  <c r="AZ195" i="3"/>
  <c r="G523"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BL349" i="3"/>
  <c r="AZ349" i="3" s="1"/>
  <c r="G350" i="3"/>
  <c r="BA352" i="3"/>
  <c r="BL353" i="3"/>
  <c r="G354" i="3"/>
  <c r="BA356" i="3"/>
  <c r="AZ356" i="3" s="1"/>
  <c r="BL357" i="3"/>
  <c r="AZ357" i="3" s="1"/>
  <c r="G358" i="3"/>
  <c r="BA362" i="3"/>
  <c r="AZ362" i="3" s="1"/>
  <c r="BL363" i="3"/>
  <c r="G364" i="3"/>
  <c r="BA366" i="3"/>
  <c r="AZ366" i="3" s="1"/>
  <c r="BL367" i="3"/>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274" i="3"/>
  <c r="AZ278" i="3"/>
  <c r="AZ290" i="3"/>
  <c r="AZ313" i="3"/>
  <c r="AZ319" i="3"/>
  <c r="AZ351" i="3"/>
  <c r="AZ369" i="3"/>
  <c r="AZ385" i="3"/>
  <c r="AZ394" i="3"/>
  <c r="AZ410" i="3"/>
  <c r="AZ418" i="3"/>
  <c r="AZ426" i="3"/>
  <c r="AZ434" i="3"/>
  <c r="AZ438" i="3"/>
  <c r="AZ450" i="3"/>
  <c r="AZ459" i="3"/>
  <c r="AZ463"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c r="S26" i="21"/>
  <c r="AB12" i="21"/>
  <c r="AB26" i="21"/>
  <c r="U26" i="2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9" i="39"/>
  <c r="S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AZ547" i="3" s="1"/>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10" i="21"/>
  <c r="U8" i="21"/>
  <c r="S34" i="21"/>
  <c r="AB8" i="33"/>
  <c r="U8" i="33"/>
  <c r="E106" i="33"/>
  <c r="H34" i="33"/>
  <c r="U34" i="33" s="1"/>
  <c r="F34" i="33"/>
  <c r="S34" i="33" s="1"/>
  <c r="E121" i="33"/>
  <c r="F41" i="33"/>
  <c r="S41" i="33" s="1"/>
  <c r="AC34" i="34"/>
  <c r="W34" i="34"/>
  <c r="AA39" i="34"/>
  <c r="S39" i="34"/>
  <c r="S43" i="34"/>
  <c r="E78" i="34"/>
  <c r="F78" i="34" s="1"/>
  <c r="G78" i="34" s="1"/>
  <c r="F15" i="34"/>
  <c r="S15" i="34" s="1"/>
  <c r="AC28" i="35"/>
  <c r="W28" i="35"/>
  <c r="J20" i="35"/>
  <c r="AC20" i="35" s="1"/>
  <c r="E72" i="35"/>
  <c r="F72" i="35" s="1"/>
  <c r="G72" i="35" s="1"/>
  <c r="H22" i="35"/>
  <c r="AB22" i="35"/>
  <c r="H23" i="35"/>
  <c r="F23" i="35"/>
  <c r="AA23" i="35" s="1"/>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31" i="3"/>
  <c r="AZ439" i="3"/>
  <c r="AZ454" i="3"/>
  <c r="J42" i="40"/>
  <c r="AC42" i="40" s="1"/>
  <c r="J40" i="40"/>
  <c r="AC40" i="40" s="1"/>
  <c r="J34" i="40"/>
  <c r="AC34" i="40" s="1"/>
  <c r="H16" i="40"/>
  <c r="AB16" i="40" s="1"/>
  <c r="H14" i="40"/>
  <c r="U14" i="40" s="1"/>
  <c r="F32" i="40"/>
  <c r="AA32" i="40" s="1"/>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281" i="3"/>
  <c r="AZ292" i="3"/>
  <c r="AZ121" i="3"/>
  <c r="AZ137" i="3"/>
  <c r="M7" i="46"/>
  <c r="M11" i="46"/>
  <c r="N3" i="46"/>
  <c r="N6" i="46"/>
  <c r="N10" i="46"/>
  <c r="F69" i="46" s="1"/>
  <c r="H71" i="46" s="1"/>
  <c r="AZ164" i="3"/>
  <c r="AZ177" i="3"/>
  <c r="AZ24" i="3"/>
  <c r="AZ40" i="3"/>
  <c r="AZ79" i="3"/>
  <c r="AZ99" i="3"/>
  <c r="AZ107" i="3"/>
  <c r="J13" i="40"/>
  <c r="W13" i="40" s="1"/>
  <c r="AB14" i="40"/>
  <c r="W35" i="40"/>
  <c r="AB32" i="40"/>
  <c r="AC47" i="39"/>
  <c r="S47" i="39"/>
  <c r="U37" i="34"/>
  <c r="AC41" i="40"/>
  <c r="W41" i="40"/>
  <c r="U41" i="40"/>
  <c r="J23" i="40"/>
  <c r="AC23" i="40" s="1"/>
  <c r="F23" i="40"/>
  <c r="S23" i="40" s="1"/>
  <c r="AB16" i="39"/>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W34" i="40"/>
  <c r="AB34" i="40"/>
  <c r="AB42" i="40"/>
  <c r="H25" i="40"/>
  <c r="AB25" i="40" s="1"/>
  <c r="U47" i="39"/>
  <c r="J37" i="34"/>
  <c r="AC37" i="34" s="1"/>
  <c r="J36" i="33"/>
  <c r="W36" i="33" s="1"/>
  <c r="S41" i="40"/>
  <c r="AB23" i="40"/>
  <c r="H23" i="39"/>
  <c r="AB23" i="39" s="1"/>
  <c r="J23" i="39"/>
  <c r="AC23" i="39" s="1"/>
  <c r="F97" i="39"/>
  <c r="G97" i="39" s="1"/>
  <c r="S16" i="39"/>
  <c r="AA15" i="34"/>
  <c r="F106" i="33"/>
  <c r="G106" i="33" s="1"/>
  <c r="H106" i="33" s="1"/>
  <c r="I106" i="33" s="1"/>
  <c r="J106" i="33" s="1"/>
  <c r="K106" i="33" s="1"/>
  <c r="L106" i="33" s="1"/>
  <c r="M106" i="33" s="1"/>
  <c r="J34" i="33"/>
  <c r="AC34" i="33" s="1"/>
  <c r="U30" i="40"/>
  <c r="AA37" i="39"/>
  <c r="W29" i="35"/>
  <c r="AA39" i="39"/>
  <c r="AB44"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AC36" i="33"/>
  <c r="F25" i="40"/>
  <c r="AA25" i="40" s="1"/>
  <c r="J11" i="33"/>
  <c r="W11" i="33" s="1"/>
  <c r="H33" i="37"/>
  <c r="AB33" i="37" s="1"/>
  <c r="W15" i="34"/>
  <c r="AB20" i="35"/>
  <c r="B11" i="1"/>
  <c r="E11" i="1" s="1"/>
  <c r="K11" i="1"/>
  <c r="M11" i="1" s="1"/>
  <c r="B9" i="1"/>
  <c r="E9" i="1" s="1"/>
  <c r="K9" i="1"/>
  <c r="M9" i="1" s="1"/>
  <c r="B7" i="1"/>
  <c r="E7" i="1" s="1"/>
  <c r="K7" i="1"/>
  <c r="M7" i="1" s="1"/>
  <c r="C20" i="43"/>
  <c r="F6" i="1"/>
  <c r="AP6" i="1" s="1"/>
  <c r="M22" i="44"/>
  <c r="AC25" i="36"/>
  <c r="S23" i="36"/>
  <c r="S8" i="36"/>
  <c r="AA26" i="36"/>
  <c r="AA28" i="36"/>
  <c r="U25" i="36"/>
  <c r="H20" i="36"/>
  <c r="U20"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U19" i="33"/>
  <c r="F79" i="33"/>
  <c r="G79" i="33" s="1"/>
  <c r="F17" i="33"/>
  <c r="AA17" i="33" s="1"/>
  <c r="H17" i="33"/>
  <c r="U17" i="33" s="1"/>
  <c r="J17" i="33"/>
  <c r="W17" i="33" s="1"/>
  <c r="AB15" i="33"/>
  <c r="S10" i="33"/>
  <c r="S14" i="33"/>
  <c r="AC21" i="33"/>
  <c r="W21" i="33"/>
  <c r="W14" i="33"/>
  <c r="U25" i="33"/>
  <c r="AB21" i="33"/>
  <c r="U21" i="33"/>
  <c r="AA21" i="33"/>
  <c r="S21" i="33"/>
  <c r="AA44" i="33"/>
  <c r="AA36" i="33"/>
  <c r="S44"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W42" i="40"/>
  <c r="U35" i="40"/>
  <c r="F37" i="40"/>
  <c r="S37" i="40" s="1"/>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AB19" i="40" s="1"/>
  <c r="J19" i="40"/>
  <c r="W19" i="40" s="1"/>
  <c r="W17" i="40"/>
  <c r="AC17" i="40"/>
  <c r="F17" i="40"/>
  <c r="H17" i="40"/>
  <c r="AB17" i="40" s="1"/>
  <c r="W21" i="40"/>
  <c r="AB40" i="40"/>
  <c r="U10" i="40"/>
  <c r="U27" i="40"/>
  <c r="AB27" i="40"/>
  <c r="S11" i="39"/>
  <c r="AB45" i="39"/>
  <c r="AA21" i="39"/>
  <c r="AC38" i="39"/>
  <c r="AB15" i="39"/>
  <c r="U11" i="39"/>
  <c r="AB38" i="39"/>
  <c r="U31" i="39"/>
  <c r="AB31" i="39"/>
  <c r="S38" i="39"/>
  <c r="S22" i="31"/>
  <c r="R22" i="31" s="1"/>
  <c r="B21" i="31" s="1"/>
  <c r="M20" i="15"/>
  <c r="A18" i="64"/>
  <c r="B74" i="63" s="1"/>
  <c r="C53" i="10"/>
  <c r="A25" i="64" s="1"/>
  <c r="A18" i="51"/>
  <c r="B14" i="63" s="1"/>
  <c r="BA16" i="3"/>
  <c r="BA17" i="3"/>
  <c r="AZ17" i="3" s="1"/>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4" i="33"/>
  <c r="S26" i="33"/>
  <c r="S15" i="33"/>
  <c r="S9" i="33"/>
  <c r="AB25" i="21"/>
  <c r="AB45" i="21"/>
  <c r="W25" i="21"/>
  <c r="AA25" i="21"/>
  <c r="AC37" i="21"/>
  <c r="AA29" i="21"/>
  <c r="W31" i="21"/>
  <c r="W29" i="21"/>
  <c r="G96" i="40"/>
  <c r="J27" i="40"/>
  <c r="W27" i="40" s="1"/>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AB23" i="33"/>
  <c r="AC23" i="33"/>
  <c r="S23" i="33"/>
  <c r="AA23" i="33"/>
  <c r="AC17" i="33"/>
  <c r="S17" i="33"/>
  <c r="AB17" i="33"/>
  <c r="AC39" i="40"/>
  <c r="W39" i="40"/>
  <c r="S39" i="40"/>
  <c r="AA37" i="40"/>
  <c r="AB29" i="40"/>
  <c r="AC29" i="40"/>
  <c r="W29" i="40"/>
  <c r="AA29" i="40"/>
  <c r="S29" i="40"/>
  <c r="AC19" i="40"/>
  <c r="S19" i="40"/>
  <c r="U19" i="40"/>
  <c r="AC27" i="40"/>
  <c r="B20" i="31"/>
  <c r="A17" i="51"/>
  <c r="B13" i="63" s="1"/>
  <c r="AT6" i="3"/>
  <c r="AZ16" i="3"/>
  <c r="A9" i="64"/>
  <c r="A9" i="51"/>
  <c r="B9" i="63" s="1"/>
  <c r="A25" i="51"/>
  <c r="B18" i="63" s="1"/>
  <c r="A3" i="55"/>
  <c r="B56" i="63" s="1"/>
  <c r="W7" i="33"/>
  <c r="E4" i="4"/>
  <c r="B21" i="55" s="1"/>
  <c r="B72" i="63" s="1"/>
  <c r="C4" i="4"/>
  <c r="B20" i="55" s="1"/>
  <c r="B70" i="63" s="1"/>
  <c r="G66" i="36"/>
  <c r="J18" i="36"/>
  <c r="AC18" i="36" s="1"/>
  <c r="AE6" i="1"/>
  <c r="AG6" i="1"/>
  <c r="L20" i="6"/>
  <c r="F70" i="39"/>
  <c r="F72" i="39" s="1"/>
  <c r="S9" i="1"/>
  <c r="G70" i="39"/>
  <c r="H70" i="39" s="1"/>
  <c r="R9" i="1"/>
  <c r="C45" i="9"/>
  <c r="H14" i="66"/>
  <c r="B7" i="66" s="1"/>
  <c r="C44" i="9"/>
  <c r="G14" i="66" s="1"/>
  <c r="B6" i="66" s="1"/>
  <c r="O40" i="9"/>
  <c r="K31" i="9" s="1"/>
  <c r="K32" i="9" s="1"/>
  <c r="O39" i="9"/>
  <c r="K29" i="9"/>
  <c r="K30" i="9" s="1"/>
  <c r="R6" i="54"/>
  <c r="B50" i="63" s="1"/>
  <c r="N76" i="9"/>
  <c r="C46" i="9"/>
  <c r="K33" i="9" s="1"/>
  <c r="K34" i="9" s="1"/>
  <c r="O41" i="9"/>
  <c r="R8" i="54"/>
  <c r="B54" i="63" s="1"/>
  <c r="E13" i="67"/>
  <c r="N4" i="65"/>
  <c r="E14" i="67"/>
  <c r="B14" i="67"/>
  <c r="N3" i="65"/>
  <c r="M10" i="44"/>
  <c r="B11" i="67"/>
  <c r="B13" i="67"/>
  <c r="N6" i="65"/>
  <c r="F11" i="67"/>
  <c r="F12" i="67"/>
  <c r="E12" i="67"/>
  <c r="B12" i="67"/>
  <c r="F38" i="44"/>
  <c r="N7" i="65"/>
  <c r="M11" i="44"/>
  <c r="M28" i="44"/>
  <c r="E8" i="67"/>
  <c r="F9" i="67"/>
  <c r="F10" i="67"/>
  <c r="J17" i="44"/>
  <c r="M30" i="44"/>
  <c r="F18" i="44"/>
  <c r="B10" i="67"/>
  <c r="M26" i="44"/>
  <c r="M29" i="44"/>
  <c r="F14" i="67"/>
  <c r="E9" i="67"/>
  <c r="E10" i="67"/>
  <c r="E11" i="67"/>
  <c r="F10" i="44"/>
  <c r="F13" i="67"/>
  <c r="B9" i="67"/>
  <c r="N5" i="65"/>
  <c r="M24" i="44"/>
  <c r="F8" i="67"/>
  <c r="B8" i="67"/>
  <c r="AC27" i="21" l="1"/>
  <c r="U27" i="21"/>
  <c r="C31" i="39"/>
  <c r="W41" i="21"/>
  <c r="AB41" i="21"/>
  <c r="F101" i="21"/>
  <c r="G101" i="21" s="1"/>
  <c r="H101" i="21" s="1"/>
  <c r="I101" i="21" s="1"/>
  <c r="J101" i="21" s="1"/>
  <c r="K101" i="21" s="1"/>
  <c r="L101" i="21" s="1"/>
  <c r="M101" i="21" s="1"/>
  <c r="H32" i="21"/>
  <c r="U32" i="21" s="1"/>
  <c r="F32" i="21"/>
  <c r="S32" i="21" s="1"/>
  <c r="J32" i="21"/>
  <c r="AC32" i="21" s="1"/>
  <c r="S28" i="34"/>
  <c r="AA28" i="34"/>
  <c r="U12" i="33"/>
  <c r="AB12" i="33"/>
  <c r="AB36" i="35"/>
  <c r="U36" i="35"/>
  <c r="AZ153" i="3"/>
  <c r="AZ342" i="3"/>
  <c r="AC26" i="33"/>
  <c r="W26" i="33"/>
  <c r="AA31" i="33"/>
  <c r="S31" i="33"/>
  <c r="W18" i="36"/>
  <c r="AZ562" i="3"/>
  <c r="BA570" i="3"/>
  <c r="AZ570" i="3" s="1"/>
  <c r="BT5" i="3"/>
  <c r="BN5" i="3"/>
  <c r="G29" i="6" s="1"/>
  <c r="BI5" i="3"/>
  <c r="BG5" i="3"/>
  <c r="I14" i="66"/>
  <c r="B8" i="66" s="1"/>
  <c r="AB37" i="40"/>
  <c r="U39" i="40"/>
  <c r="AC25" i="33"/>
  <c r="U25" i="40"/>
  <c r="AB10" i="33"/>
  <c r="AC11" i="33"/>
  <c r="AB11" i="33"/>
  <c r="W37" i="34"/>
  <c r="AC11" i="34"/>
  <c r="S23" i="35"/>
  <c r="AA20" i="35"/>
  <c r="W23" i="40"/>
  <c r="AC13" i="40"/>
  <c r="S33" i="39"/>
  <c r="W39" i="39"/>
  <c r="AA41" i="33"/>
  <c r="W15" i="39"/>
  <c r="AC16" i="40"/>
  <c r="U16" i="40"/>
  <c r="AB38" i="34"/>
  <c r="AC15" i="40"/>
  <c r="W40" i="40"/>
  <c r="AZ486" i="3"/>
  <c r="AZ494" i="3"/>
  <c r="AZ499" i="3"/>
  <c r="AZ507" i="3"/>
  <c r="AZ514" i="3"/>
  <c r="AZ522" i="3"/>
  <c r="AZ529" i="3"/>
  <c r="F29" i="39"/>
  <c r="AA29" i="39" s="1"/>
  <c r="AA36" i="35"/>
  <c r="AZ352" i="3"/>
  <c r="AZ344" i="3"/>
  <c r="AZ325" i="3"/>
  <c r="AZ304" i="3"/>
  <c r="AZ300" i="3"/>
  <c r="AZ339" i="3"/>
  <c r="AZ331" i="3"/>
  <c r="AZ323" i="3"/>
  <c r="AZ343" i="3"/>
  <c r="AZ327" i="3"/>
  <c r="AZ322" i="3"/>
  <c r="U12" i="37"/>
  <c r="AC23" i="37"/>
  <c r="AZ500" i="3"/>
  <c r="AZ510" i="3"/>
  <c r="AZ552" i="3"/>
  <c r="AZ492" i="3"/>
  <c r="AZ544" i="3"/>
  <c r="AZ493" i="3"/>
  <c r="AC13" i="36"/>
  <c r="U30" i="33"/>
  <c r="AA38" i="37"/>
  <c r="AC34" i="36"/>
  <c r="C23" i="39"/>
  <c r="AC40" i="21"/>
  <c r="F39" i="21"/>
  <c r="AA39" i="21" s="1"/>
  <c r="BD5" i="3"/>
  <c r="J39" i="21"/>
  <c r="C58" i="21"/>
  <c r="D58" i="21" s="1"/>
  <c r="E58" i="21" s="1"/>
  <c r="F58" i="21" s="1"/>
  <c r="G58" i="21" s="1"/>
  <c r="H58" i="21" s="1"/>
  <c r="I58" i="21" s="1"/>
  <c r="J58" i="21" s="1"/>
  <c r="K58" i="21" s="1"/>
  <c r="L58" i="21" s="1"/>
  <c r="M58" i="21" s="1"/>
  <c r="N58" i="21" s="1"/>
  <c r="O58" i="21" s="1"/>
  <c r="I7" i="21"/>
  <c r="E7" i="21"/>
  <c r="F7" i="21" s="1"/>
  <c r="AA7" i="21" s="1"/>
  <c r="G7" i="21"/>
  <c r="H12" i="36"/>
  <c r="F25" i="37"/>
  <c r="H26" i="37"/>
  <c r="G559" i="3"/>
  <c r="G551" i="3"/>
  <c r="G547" i="3"/>
  <c r="G532" i="3"/>
  <c r="G505" i="3"/>
  <c r="G497" i="3"/>
  <c r="G15" i="3"/>
  <c r="BC5" i="3"/>
  <c r="E15" i="6" s="1"/>
  <c r="AZ396" i="3"/>
  <c r="AZ409" i="3"/>
  <c r="AZ419" i="3"/>
  <c r="AZ148" i="3"/>
  <c r="D1" i="57"/>
  <c r="E10" i="57" s="1"/>
  <c r="F16" i="59"/>
  <c r="F17" i="59" s="1"/>
  <c r="F18" i="59" s="1"/>
  <c r="V18" i="59" s="1"/>
  <c r="AB13" i="59"/>
  <c r="AB14" i="59"/>
  <c r="AB23" i="59"/>
  <c r="F24" i="59"/>
  <c r="F25" i="59" s="1"/>
  <c r="F26" i="59" s="1"/>
  <c r="V26" i="59" s="1"/>
  <c r="C9" i="59"/>
  <c r="T10" i="59"/>
  <c r="D10" i="59"/>
  <c r="E9" i="59"/>
  <c r="E8" i="59" s="1"/>
  <c r="E7" i="59" s="1"/>
  <c r="E6" i="59" s="1"/>
  <c r="E5" i="59" s="1"/>
  <c r="U10" i="59"/>
  <c r="AA12" i="59"/>
  <c r="X13" i="59"/>
  <c r="AB11" i="59"/>
  <c r="P62" i="15"/>
  <c r="P75" i="15"/>
  <c r="BB5" i="3"/>
  <c r="G7" i="1"/>
  <c r="BL390" i="3"/>
  <c r="AZ390" i="3" s="1"/>
  <c r="G393" i="3"/>
  <c r="BL393" i="3"/>
  <c r="AZ393" i="3" s="1"/>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BA420" i="3"/>
  <c r="AZ420" i="3" s="1"/>
  <c r="BL422" i="3"/>
  <c r="AZ422" i="3" s="1"/>
  <c r="G425" i="3"/>
  <c r="BL425" i="3"/>
  <c r="AZ425" i="3" s="1"/>
  <c r="G428" i="3"/>
  <c r="C56" i="59"/>
  <c r="D56" i="59" s="1"/>
  <c r="D57" i="59"/>
  <c r="C38" i="59"/>
  <c r="D37" i="59"/>
  <c r="BA428" i="3"/>
  <c r="AZ428"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8" i="3"/>
  <c r="AZ318" i="3" s="1"/>
  <c r="BA321" i="3"/>
  <c r="AZ321" i="3" s="1"/>
  <c r="BA325" i="3"/>
  <c r="BL330" i="3"/>
  <c r="AZ330" i="3" s="1"/>
  <c r="BL335" i="3"/>
  <c r="AZ335" i="3" s="1"/>
  <c r="G341" i="3"/>
  <c r="BL342" i="3"/>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G172" i="3"/>
  <c r="BL172" i="3"/>
  <c r="BA174" i="3"/>
  <c r="AZ174" i="3" s="1"/>
  <c r="AZ30" i="3"/>
  <c r="D40" i="59"/>
  <c r="C41" i="59"/>
  <c r="G177" i="3"/>
  <c r="G178" i="3"/>
  <c r="BL180" i="3"/>
  <c r="AZ180" i="3" s="1"/>
  <c r="BA182" i="3"/>
  <c r="AZ182" i="3" s="1"/>
  <c r="BA183" i="3"/>
  <c r="AZ183" i="3" s="1"/>
  <c r="BL184" i="3"/>
  <c r="AZ184" i="3" s="1"/>
  <c r="G187" i="3"/>
  <c r="G188" i="3"/>
  <c r="G191" i="3"/>
  <c r="G192" i="3"/>
  <c r="G195" i="3"/>
  <c r="G196" i="3"/>
  <c r="BA198" i="3"/>
  <c r="AZ198" i="3" s="1"/>
  <c r="BA199" i="3"/>
  <c r="AZ199" i="3" s="1"/>
  <c r="BL200" i="3"/>
  <c r="AZ200" i="3" s="1"/>
  <c r="BL203" i="3"/>
  <c r="AZ203" i="3" s="1"/>
  <c r="BA204" i="3"/>
  <c r="AZ204" i="3" s="1"/>
  <c r="G23" i="3"/>
  <c r="G24" i="3"/>
  <c r="G25" i="3"/>
  <c r="BL25" i="3"/>
  <c r="AZ25" i="3" s="1"/>
  <c r="BA26" i="3"/>
  <c r="AZ26" i="3" s="1"/>
  <c r="BA27" i="3"/>
  <c r="AZ27" i="3" s="1"/>
  <c r="G30" i="3"/>
  <c r="BL30" i="3"/>
  <c r="BL32" i="3"/>
  <c r="AZ32" i="3" s="1"/>
  <c r="BA33" i="3"/>
  <c r="AZ33" i="3" s="1"/>
  <c r="BL35" i="3"/>
  <c r="AZ35" i="3" s="1"/>
  <c r="G37" i="3"/>
  <c r="BL37" i="3"/>
  <c r="G39" i="3"/>
  <c r="G40" i="3"/>
  <c r="G41" i="3"/>
  <c r="BL41" i="3"/>
  <c r="AZ41" i="3" s="1"/>
  <c r="G43" i="3"/>
  <c r="G44" i="3"/>
  <c r="BL44" i="3"/>
  <c r="G46" i="3"/>
  <c r="BL46" i="3"/>
  <c r="BL48" i="3"/>
  <c r="AZ48" i="3" s="1"/>
  <c r="G50" i="3"/>
  <c r="BL50" i="3"/>
  <c r="G53" i="3"/>
  <c r="BL53" i="3"/>
  <c r="AZ53" i="3" s="1"/>
  <c r="BA54" i="3"/>
  <c r="AZ54" i="3" s="1"/>
  <c r="BA55" i="3"/>
  <c r="AZ55" i="3" s="1"/>
  <c r="BA56" i="3"/>
  <c r="AZ56" i="3" s="1"/>
  <c r="G59" i="3"/>
  <c r="G60" i="3"/>
  <c r="BL60" i="3"/>
  <c r="AZ60" i="3" s="1"/>
  <c r="BA61" i="3"/>
  <c r="AZ61" i="3" s="1"/>
  <c r="BL63" i="3"/>
  <c r="AZ63" i="3" s="1"/>
  <c r="G65" i="3"/>
  <c r="BL65" i="3"/>
  <c r="AZ65" i="3" s="1"/>
  <c r="G68" i="3"/>
  <c r="BL68" i="3"/>
  <c r="AZ68" i="3" s="1"/>
  <c r="BA69" i="3"/>
  <c r="AZ69" i="3" s="1"/>
  <c r="BA70" i="3"/>
  <c r="AZ70" i="3" s="1"/>
  <c r="BA71" i="3"/>
  <c r="AZ71" i="3" s="1"/>
  <c r="G74" i="3"/>
  <c r="G75" i="3"/>
  <c r="BL75" i="3"/>
  <c r="AZ75" i="3" s="1"/>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AZ108" i="3"/>
  <c r="E105" i="39"/>
  <c r="F105" i="39" s="1"/>
  <c r="G105" i="39" s="1"/>
  <c r="F31" i="39"/>
  <c r="AA31" i="39" s="1"/>
  <c r="T58" i="59"/>
  <c r="D58" i="59"/>
  <c r="T66" i="59"/>
  <c r="C65" i="59"/>
  <c r="BA103" i="3"/>
  <c r="AZ103" i="3" s="1"/>
  <c r="G106" i="3"/>
  <c r="G107" i="3"/>
  <c r="G108" i="3"/>
  <c r="BL108" i="3"/>
  <c r="BA109" i="3"/>
  <c r="AZ109" i="3" s="1"/>
  <c r="BA110" i="3"/>
  <c r="AZ110" i="3" s="1"/>
  <c r="BL112" i="3"/>
  <c r="AZ112" i="3" s="1"/>
  <c r="F3" i="35"/>
  <c r="G1" i="70"/>
  <c r="X16" i="59"/>
  <c r="X17" i="59"/>
  <c r="AA17" i="59"/>
  <c r="X18" i="59"/>
  <c r="AA18" i="59"/>
  <c r="AB20" i="59"/>
  <c r="AB21" i="59"/>
  <c r="AB22" i="59"/>
  <c r="X24" i="59"/>
  <c r="B8" i="59"/>
  <c r="F109" i="39"/>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W41" i="39"/>
  <c r="U41" i="39"/>
  <c r="AC31" i="39"/>
  <c r="W29" i="39"/>
  <c r="AB29" i="39"/>
  <c r="W27" i="39"/>
  <c r="S25" i="39"/>
  <c r="W23" i="39"/>
  <c r="U23" i="39"/>
  <c r="S23" i="39"/>
  <c r="AC21" i="39"/>
  <c r="AC17" i="39"/>
  <c r="F29" i="6"/>
  <c r="F30" i="6" s="1"/>
  <c r="G13" i="3"/>
  <c r="F34" i="15"/>
  <c r="F61" i="15" s="1"/>
  <c r="F34" i="70"/>
  <c r="M20" i="70"/>
  <c r="U17" i="21"/>
  <c r="W17" i="21"/>
  <c r="AA17" i="21"/>
  <c r="H42" i="21"/>
  <c r="G123" i="21"/>
  <c r="H123" i="21" s="1"/>
  <c r="I123" i="21" s="1"/>
  <c r="J123" i="21" s="1"/>
  <c r="K123" i="21" s="1"/>
  <c r="L123" i="21" s="1"/>
  <c r="M123" i="21" s="1"/>
  <c r="J42" i="21"/>
  <c r="F42" i="21"/>
  <c r="AA42" i="21" s="1"/>
  <c r="U9" i="21"/>
  <c r="AC35" i="21"/>
  <c r="AA36" i="21"/>
  <c r="AC36" i="21"/>
  <c r="AC38" i="21"/>
  <c r="U43" i="21"/>
  <c r="S27" i="21"/>
  <c r="S39" i="21"/>
  <c r="U39" i="21"/>
  <c r="U38" i="21"/>
  <c r="AB36" i="21"/>
  <c r="S35" i="21"/>
  <c r="AB34" i="21"/>
  <c r="AA32" i="21"/>
  <c r="AB32" i="21"/>
  <c r="AC23" i="21"/>
  <c r="S23" i="21"/>
  <c r="U23" i="21"/>
  <c r="AC19" i="21"/>
  <c r="U15" i="21"/>
  <c r="AC15" i="21"/>
  <c r="S10" i="21"/>
  <c r="W9" i="21"/>
  <c r="AA9" i="21"/>
  <c r="AP8" i="1"/>
  <c r="W8" i="21"/>
  <c r="S8" i="21"/>
  <c r="G11" i="1"/>
  <c r="G10" i="1"/>
  <c r="C18" i="9"/>
  <c r="S40" i="39"/>
  <c r="W40" i="39"/>
  <c r="U40" i="39"/>
  <c r="BL13" i="3"/>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AZ520" i="3"/>
  <c r="N69" i="9"/>
  <c r="R7" i="54"/>
  <c r="B52" i="63" s="1"/>
  <c r="D67" i="40"/>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40" i="3"/>
  <c r="AZ453" i="3"/>
  <c r="AZ460" i="3"/>
  <c r="AZ464" i="3"/>
  <c r="AZ476" i="3"/>
  <c r="AZ368" i="3"/>
  <c r="AZ384" i="3"/>
  <c r="AZ386" i="3"/>
  <c r="AZ214" i="3"/>
  <c r="AZ218" i="3"/>
  <c r="AZ234" i="3"/>
  <c r="AZ246" i="3"/>
  <c r="AZ250" i="3"/>
  <c r="AZ266" i="3"/>
  <c r="AZ277" i="3"/>
  <c r="AZ280" i="3"/>
  <c r="AZ117" i="3"/>
  <c r="AZ120" i="3"/>
  <c r="AZ133" i="3"/>
  <c r="AZ136" i="3"/>
  <c r="C92" i="9"/>
  <c r="A30" i="51"/>
  <c r="B22" i="63" s="1"/>
  <c r="A30" i="64"/>
  <c r="AZ156" i="3"/>
  <c r="AZ159" i="3"/>
  <c r="AZ172" i="3"/>
  <c r="AZ175" i="3"/>
  <c r="AZ202" i="3"/>
  <c r="AZ37" i="3"/>
  <c r="AZ44" i="3"/>
  <c r="AZ46" i="3"/>
  <c r="AZ50"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H51" i="46"/>
  <c r="X7" i="46"/>
  <c r="E17" i="46"/>
  <c r="N17" i="46"/>
  <c r="O17" i="46"/>
  <c r="M17" i="46"/>
  <c r="L17" i="46"/>
  <c r="O7" i="1"/>
  <c r="P7" i="1" s="1"/>
  <c r="O11" i="1"/>
  <c r="P11" i="1" s="1"/>
  <c r="O13" i="1"/>
  <c r="P13" i="1" s="1"/>
  <c r="O9" i="1"/>
  <c r="P9" i="1" s="1"/>
  <c r="E14" i="6"/>
  <c r="E13" i="6"/>
  <c r="E10"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E17" i="52"/>
  <c r="E11" i="52"/>
  <c r="E15" i="52"/>
  <c r="E13" i="52"/>
  <c r="B14" i="52"/>
  <c r="E8" i="52"/>
  <c r="E16" i="52"/>
  <c r="B5" i="52"/>
  <c r="B9" i="52"/>
  <c r="B16" i="52"/>
  <c r="B8" i="52"/>
  <c r="B13" i="52"/>
  <c r="E10" i="52"/>
  <c r="E21" i="52"/>
  <c r="F31" i="15"/>
  <c r="M17" i="15"/>
  <c r="M19" i="44"/>
  <c r="F33" i="44"/>
  <c r="L49" i="44"/>
  <c r="F15" i="44"/>
  <c r="M25" i="44"/>
  <c r="J4" i="65"/>
  <c r="I7" i="65"/>
  <c r="J15" i="15"/>
  <c r="F37" i="15"/>
  <c r="M22" i="15"/>
  <c r="F16" i="15"/>
  <c r="L47" i="15"/>
  <c r="I6" i="65"/>
  <c r="F26" i="15"/>
  <c r="I4" i="65"/>
  <c r="F7" i="15"/>
  <c r="M28" i="15"/>
  <c r="M23" i="15"/>
  <c r="F38" i="15"/>
  <c r="F8" i="15"/>
  <c r="F9" i="44"/>
  <c r="M27" i="15"/>
  <c r="M6" i="15"/>
  <c r="F40" i="44"/>
  <c r="F28" i="44"/>
  <c r="F43" i="44"/>
  <c r="M9" i="15"/>
  <c r="M8" i="44"/>
  <c r="F8" i="44"/>
  <c r="F39" i="44"/>
  <c r="M26" i="15"/>
  <c r="M31" i="44"/>
  <c r="I3" i="65"/>
  <c r="M8" i="15"/>
  <c r="M24" i="15"/>
  <c r="L48" i="15"/>
  <c r="J36" i="15"/>
  <c r="F42" i="15"/>
  <c r="F9" i="15"/>
  <c r="J6" i="65"/>
  <c r="F40" i="15"/>
  <c r="F43" i="70"/>
  <c r="J7" i="65"/>
  <c r="J5" i="65"/>
  <c r="J3" i="65"/>
  <c r="I5" i="65"/>
  <c r="F13" i="15"/>
  <c r="F43" i="15"/>
  <c r="F11" i="44"/>
  <c r="L48" i="44"/>
  <c r="F45" i="44"/>
  <c r="F36" i="15"/>
  <c r="M29" i="15"/>
  <c r="Q73" i="44" l="1"/>
  <c r="C29" i="44"/>
  <c r="L60" i="44"/>
  <c r="Q76" i="44" s="1"/>
  <c r="L59" i="44"/>
  <c r="Q62" i="44" s="1"/>
  <c r="J54" i="44"/>
  <c r="Q54" i="44" s="1"/>
  <c r="J58" i="44"/>
  <c r="J56" i="44" s="1"/>
  <c r="J59" i="44" s="1"/>
  <c r="Q52" i="44" s="1"/>
  <c r="J61" i="44"/>
  <c r="Q50" i="44" s="1"/>
  <c r="J60" i="44"/>
  <c r="I55" i="44"/>
  <c r="L57" i="44"/>
  <c r="AC43" i="39"/>
  <c r="D65" i="59"/>
  <c r="C64" i="59"/>
  <c r="D64" i="59" s="1"/>
  <c r="C42" i="59"/>
  <c r="D41" i="59"/>
  <c r="AB26" i="37"/>
  <c r="U26" i="37"/>
  <c r="U12" i="36"/>
  <c r="AB12" i="36"/>
  <c r="K101" i="46"/>
  <c r="E11" i="6"/>
  <c r="E12" i="6"/>
  <c r="E29" i="6"/>
  <c r="K15" i="1" s="1"/>
  <c r="BL5" i="3"/>
  <c r="S7" i="21"/>
  <c r="W32" i="21"/>
  <c r="S31" i="39"/>
  <c r="G109" i="39"/>
  <c r="J34" i="39"/>
  <c r="F34" i="39"/>
  <c r="T38" i="59"/>
  <c r="D38" i="59"/>
  <c r="AA25" i="37"/>
  <c r="S25" i="37"/>
  <c r="H7" i="21"/>
  <c r="J7" i="21"/>
  <c r="AC39" i="21"/>
  <c r="W39" i="21"/>
  <c r="D86" i="9"/>
  <c r="F32" i="70"/>
  <c r="F59" i="70" s="1"/>
  <c r="F28" i="70"/>
  <c r="C28" i="70" s="1"/>
  <c r="M18" i="70"/>
  <c r="S42" i="21"/>
  <c r="AC42" i="39"/>
  <c r="W42" i="39"/>
  <c r="AB42" i="39"/>
  <c r="U42" i="39"/>
  <c r="U43" i="39"/>
  <c r="AB43" i="39"/>
  <c r="M9" i="44"/>
  <c r="J8" i="44" s="1"/>
  <c r="C8" i="44"/>
  <c r="E58" i="39"/>
  <c r="F70" i="70"/>
  <c r="M8" i="1"/>
  <c r="F61" i="70"/>
  <c r="AC42" i="21"/>
  <c r="W42" i="21"/>
  <c r="AB42" i="21"/>
  <c r="U42" i="21"/>
  <c r="K17" i="4"/>
  <c r="A22" i="51" s="1"/>
  <c r="B16" i="63" s="1"/>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F65" i="15"/>
  <c r="F50" i="15"/>
  <c r="C27" i="15"/>
  <c r="D7" i="59"/>
  <c r="S14" i="59"/>
  <c r="B13" i="59"/>
  <c r="B12" i="59" s="1"/>
  <c r="N4" i="63"/>
  <c r="B21" i="63"/>
  <c r="P53" i="59"/>
  <c r="E52" i="59"/>
  <c r="C30" i="59"/>
  <c r="D29" i="59"/>
  <c r="C22" i="59"/>
  <c r="D21" i="59"/>
  <c r="D73" i="59"/>
  <c r="C72" i="59"/>
  <c r="D72" i="59" s="1"/>
  <c r="D13" i="59"/>
  <c r="C12" i="59"/>
  <c r="D12" i="59" s="1"/>
  <c r="G5" i="3"/>
  <c r="B3" i="3" s="1"/>
  <c r="AA34" i="35"/>
  <c r="S34" i="35"/>
  <c r="H16" i="1"/>
  <c r="M86" i="9"/>
  <c r="N86" i="9" s="1"/>
  <c r="M84" i="9"/>
  <c r="N84" i="9" s="1"/>
  <c r="M88" i="9"/>
  <c r="N88" i="9" s="1"/>
  <c r="M87" i="9"/>
  <c r="N87" i="9" s="1"/>
  <c r="M85" i="9"/>
  <c r="N85" i="9" s="1"/>
  <c r="M83" i="9"/>
  <c r="N83" i="9" s="1"/>
  <c r="N89" i="9" s="1"/>
  <c r="O89" i="9" s="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F13" i="44"/>
  <c r="C12" i="44" s="1"/>
  <c r="M11" i="15"/>
  <c r="J10" i="15" s="1"/>
  <c r="F11" i="15"/>
  <c r="M13" i="44"/>
  <c r="J12" i="44" s="1"/>
  <c r="F58" i="15"/>
  <c r="F26" i="70"/>
  <c r="F9" i="70"/>
  <c r="M26" i="70"/>
  <c r="F13" i="70"/>
  <c r="M22" i="70"/>
  <c r="F16" i="70"/>
  <c r="F7" i="70"/>
  <c r="C18" i="44"/>
  <c r="F36" i="70"/>
  <c r="M9" i="70"/>
  <c r="F42" i="70"/>
  <c r="J36" i="70"/>
  <c r="L47" i="70"/>
  <c r="F40" i="70"/>
  <c r="M29" i="70"/>
  <c r="C16" i="15"/>
  <c r="F8" i="70"/>
  <c r="F37" i="70"/>
  <c r="J15" i="70"/>
  <c r="M24" i="70"/>
  <c r="M23" i="70"/>
  <c r="M8" i="70"/>
  <c r="L48" i="70"/>
  <c r="E2" i="65"/>
  <c r="F6" i="70"/>
  <c r="F38" i="70"/>
  <c r="M6" i="70"/>
  <c r="M28" i="70"/>
  <c r="M27" i="70"/>
  <c r="E3" i="65"/>
  <c r="H109" i="39" l="1"/>
  <c r="I109" i="39" s="1"/>
  <c r="J109" i="39" s="1"/>
  <c r="K109" i="39" s="1"/>
  <c r="L109" i="39" s="1"/>
  <c r="M109" i="39" s="1"/>
  <c r="H34" i="39"/>
  <c r="H109" i="46"/>
  <c r="E536" i="3"/>
  <c r="C33" i="21"/>
  <c r="J7" i="44"/>
  <c r="J26" i="44" s="1"/>
  <c r="F1" i="44"/>
  <c r="Q75" i="44"/>
  <c r="Q63" i="44"/>
  <c r="F50" i="70"/>
  <c r="F67" i="70"/>
  <c r="L59" i="70"/>
  <c r="L58" i="70"/>
  <c r="Q72" i="70"/>
  <c r="F65" i="70"/>
  <c r="C6" i="70"/>
  <c r="F63" i="70"/>
  <c r="F49" i="70"/>
  <c r="C48" i="70" s="1"/>
  <c r="M7" i="70"/>
  <c r="J6" i="70" s="1"/>
  <c r="J5" i="70" s="1"/>
  <c r="J24" i="70" s="1"/>
  <c r="L57" i="70"/>
  <c r="L56" i="70"/>
  <c r="J59" i="70"/>
  <c r="J57" i="70"/>
  <c r="J55" i="70" s="1"/>
  <c r="J58" i="70" s="1"/>
  <c r="Q51" i="70" s="1"/>
  <c r="J60" i="70"/>
  <c r="Q49" i="70" s="1"/>
  <c r="L60" i="70"/>
  <c r="J53" i="70"/>
  <c r="I54" i="70"/>
  <c r="L46" i="70"/>
  <c r="F64" i="70"/>
  <c r="C27" i="70"/>
  <c r="AC7" i="21"/>
  <c r="W7" i="21"/>
  <c r="AA34" i="39"/>
  <c r="S34" i="39"/>
  <c r="T42" i="59"/>
  <c r="D42" i="59"/>
  <c r="AB7" i="21"/>
  <c r="U7" i="21"/>
  <c r="AC34" i="39"/>
  <c r="W34" i="39"/>
  <c r="C7" i="44"/>
  <c r="C34" i="44" s="1"/>
  <c r="C103" i="46"/>
  <c r="N102" i="46"/>
  <c r="D109" i="46"/>
  <c r="H106" i="46"/>
  <c r="O8" i="1"/>
  <c r="P8" i="1" s="1"/>
  <c r="C52" i="70"/>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C52" i="15"/>
  <c r="F41" i="70"/>
  <c r="AE7" i="1"/>
  <c r="C16" i="70"/>
  <c r="AB34" i="39" l="1"/>
  <c r="U34" i="39"/>
  <c r="J33" i="21"/>
  <c r="F33" i="21"/>
  <c r="H33" i="21"/>
  <c r="J20" i="44"/>
  <c r="C40" i="44"/>
  <c r="C47" i="70"/>
  <c r="C59" i="70" s="1"/>
  <c r="Q67" i="70"/>
  <c r="Q58" i="70"/>
  <c r="Q61" i="70"/>
  <c r="Q74" i="70"/>
  <c r="Q53" i="70"/>
  <c r="F1" i="70"/>
  <c r="Q75" i="70"/>
  <c r="Q62" i="70"/>
  <c r="J26" i="70"/>
  <c r="J29" i="70" s="1"/>
  <c r="J18" i="70"/>
  <c r="F68" i="70"/>
  <c r="C38" i="70"/>
  <c r="C33" i="70"/>
  <c r="C32" i="70"/>
  <c r="F24" i="15"/>
  <c r="C24" i="15" s="1"/>
  <c r="F24"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D44" i="9"/>
  <c r="D46" i="9"/>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C59" i="15"/>
  <c r="AE8" i="1"/>
  <c r="L52" i="44"/>
  <c r="F41" i="15"/>
  <c r="C19" i="44"/>
  <c r="C17" i="15"/>
  <c r="C17" i="70"/>
  <c r="F46" i="44"/>
  <c r="AA33" i="21" l="1"/>
  <c r="S33" i="21"/>
  <c r="U33" i="21"/>
  <c r="AB33" i="21"/>
  <c r="W33" i="21"/>
  <c r="AC33" i="21"/>
  <c r="Q69" i="44"/>
  <c r="L58" i="44"/>
  <c r="L61" i="44" s="1"/>
  <c r="L47" i="44" s="1"/>
  <c r="C65" i="70"/>
  <c r="C60" i="70"/>
  <c r="J31" i="44"/>
  <c r="Q49" i="44" s="1"/>
  <c r="Q55" i="44" s="1"/>
  <c r="T15" i="46"/>
  <c r="V15" i="46" s="1"/>
  <c r="T6" i="46"/>
  <c r="V6" i="46" s="1"/>
  <c r="T8" i="46"/>
  <c r="V8" i="46" s="1"/>
  <c r="C38" i="46"/>
  <c r="E38" i="46" s="1"/>
  <c r="C24" i="70"/>
  <c r="F68" i="15"/>
  <c r="J29" i="15"/>
  <c r="M27" i="6"/>
  <c r="S16" i="1"/>
  <c r="T7" i="1" s="1"/>
  <c r="B5" i="11"/>
  <c r="B4" i="11"/>
  <c r="P14" i="1"/>
  <c r="P16" i="1" s="1"/>
  <c r="C13" i="12" s="1"/>
  <c r="C17" i="12"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F46" i="9"/>
  <c r="E63" i="40"/>
  <c r="D19" i="6"/>
  <c r="D25" i="6"/>
  <c r="D13" i="6"/>
  <c r="H24" i="6"/>
  <c r="D23" i="6"/>
  <c r="R23" i="6" s="1"/>
  <c r="D28" i="6"/>
  <c r="D8" i="6"/>
  <c r="E45" i="9"/>
  <c r="F44" i="9"/>
  <c r="K38" i="9"/>
  <c r="C14" i="66" s="1"/>
  <c r="B2" i="66" s="1"/>
  <c r="D26" i="6"/>
  <c r="D11" i="6"/>
  <c r="H20" i="6"/>
  <c r="D9" i="6"/>
  <c r="D29" i="6"/>
  <c r="D15" i="6"/>
  <c r="E44" i="9"/>
  <c r="E46" i="9"/>
  <c r="T10" i="46"/>
  <c r="V10" i="46" s="1"/>
  <c r="T13" i="46"/>
  <c r="V13" i="46" s="1"/>
  <c r="T12" i="46"/>
  <c r="V12" i="46" s="1"/>
  <c r="T14" i="46"/>
  <c r="V14" i="46" s="1"/>
  <c r="T16" i="46"/>
  <c r="V16" i="46" s="1"/>
  <c r="C35" i="46"/>
  <c r="E35" i="46" s="1"/>
  <c r="T3" i="46"/>
  <c r="V3" i="46" s="1"/>
  <c r="D22" i="12"/>
  <c r="C22" i="12" s="1"/>
  <c r="C20" i="12" s="1"/>
  <c r="D13" i="11"/>
  <c r="C13" i="11" s="1"/>
  <c r="C7" i="66"/>
  <c r="C6" i="66"/>
  <c r="C8"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c r="G38" i="46" l="1"/>
  <c r="I38" i="46" s="1"/>
  <c r="Q59" i="44"/>
  <c r="Q58" i="44"/>
  <c r="Q67" i="44"/>
  <c r="Q77" i="44" s="1"/>
  <c r="T11" i="1"/>
  <c r="T6" i="1"/>
  <c r="T13" i="1"/>
  <c r="T9" i="1"/>
  <c r="T12" i="1"/>
  <c r="T10" i="1"/>
  <c r="T8" i="1"/>
  <c r="D16" i="6"/>
  <c r="C14" i="12"/>
  <c r="C18" i="12" s="1"/>
  <c r="D27" i="6"/>
  <c r="D30" i="6"/>
  <c r="R25" i="6"/>
  <c r="R26" i="6"/>
  <c r="C30" i="46"/>
  <c r="E30" i="46" s="1"/>
  <c r="I67" i="40"/>
  <c r="J65" i="40"/>
  <c r="G39" i="46"/>
  <c r="I39" i="46" s="1"/>
  <c r="E39" i="46"/>
  <c r="R22" i="6"/>
  <c r="R21" i="6"/>
  <c r="R8" i="1" s="1"/>
  <c r="G36" i="46"/>
  <c r="I36" i="46" s="1"/>
  <c r="E36" i="46"/>
  <c r="G33" i="46"/>
  <c r="I33" i="46" s="1"/>
  <c r="E33" i="46"/>
  <c r="C26" i="46" s="1"/>
  <c r="D7" i="66"/>
  <c r="D8" i="66"/>
  <c r="D6"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F7" i="67"/>
  <c r="C14" i="70"/>
  <c r="M23" i="44"/>
  <c r="M21" i="15"/>
  <c r="F35" i="70"/>
  <c r="F37" i="44"/>
  <c r="C16" i="44"/>
  <c r="F35" i="15"/>
  <c r="M21" i="70"/>
  <c r="C14" i="15"/>
  <c r="C23" i="12" l="1"/>
  <c r="C109" i="9"/>
  <c r="C110" i="9" s="1"/>
  <c r="Q64" i="44"/>
  <c r="J22" i="44"/>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B7" i="67"/>
  <c r="E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Q71" i="15"/>
  <c r="J9" i="40"/>
  <c r="H9" i="40"/>
  <c r="F9" i="40"/>
  <c r="L46" i="15"/>
  <c r="AA7" i="37"/>
  <c r="R42" i="37" s="1"/>
  <c r="S7" i="37"/>
  <c r="E43" i="35"/>
  <c r="F43" i="35" s="1"/>
  <c r="E42" i="35"/>
  <c r="F42" i="35" s="1"/>
  <c r="I43" i="35"/>
  <c r="J43" i="35" s="1"/>
  <c r="C39" i="35"/>
  <c r="B3" i="35" s="1"/>
  <c r="B2" i="35" s="1"/>
  <c r="C38" i="35"/>
  <c r="H7" i="37"/>
  <c r="J7" i="37"/>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L57" i="15"/>
  <c r="L60"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B2" i="21" l="1"/>
  <c r="C10" i="12" s="1"/>
  <c r="C8" i="12"/>
  <c r="C46"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L51" i="70"/>
  <c r="Q68" i="70" l="1"/>
  <c r="F68" i="39"/>
  <c r="B2" i="39" s="1"/>
  <c r="C45" i="40"/>
  <c r="C44" i="40"/>
  <c r="I49" i="40"/>
  <c r="J49" i="40" s="1"/>
  <c r="E48" i="40"/>
  <c r="F48" i="40" s="1"/>
  <c r="E49" i="40"/>
  <c r="F49" i="40" s="1"/>
  <c r="C19" i="9"/>
  <c r="L43" i="9" l="1"/>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1" i="9"/>
  <c r="C20" i="9"/>
  <c r="B4" i="40" l="1"/>
  <c r="B5" i="40"/>
  <c r="B3" i="40"/>
  <c r="D77" i="9" l="1"/>
  <c r="N75" i="9" s="1"/>
  <c r="W20" i="1" l="1"/>
  <c r="U7" i="1" s="1"/>
  <c r="F6" i="15"/>
  <c r="C6" i="15" l="1"/>
  <c r="C10" i="15" s="1"/>
  <c r="C5" i="15" s="1"/>
  <c r="C32" i="15" l="1"/>
  <c r="C38" i="15"/>
  <c r="C33" i="15"/>
  <c r="C31" i="15" s="1"/>
  <c r="C30" i="15" l="1"/>
  <c r="C39" i="15" s="1"/>
  <c r="J39" i="15" s="1"/>
  <c r="J40" i="15" s="1"/>
  <c r="C40" i="15" l="1"/>
  <c r="B2" i="15" s="1"/>
  <c r="Q70" i="15"/>
  <c r="Q69" i="15" s="1"/>
  <c r="L51" i="15"/>
  <c r="Q68" i="15" l="1"/>
  <c r="Q66" i="15"/>
  <c r="Q76" i="15" s="1"/>
  <c r="J42" i="15"/>
  <c r="J43" i="15" s="1"/>
  <c r="Q48" i="15"/>
  <c r="Q54" i="15" s="1"/>
  <c r="C43" i="15"/>
  <c r="C46" i="15"/>
  <c r="Q57" i="15"/>
  <c r="Q63" i="15" s="1"/>
  <c r="B3" i="15"/>
  <c r="D8" i="12" s="1"/>
  <c r="D10" i="12"/>
  <c r="C6" i="12" s="1"/>
  <c r="C29" i="12" l="1"/>
  <c r="C24" i="12"/>
  <c r="C35" i="12" l="1"/>
  <c r="C33" i="12" s="1"/>
  <c r="C28" i="12"/>
  <c r="C26" i="12" s="1"/>
  <c r="C31" i="12" s="1"/>
  <c r="C30" i="12" s="1"/>
  <c r="C36" i="12" l="1"/>
  <c r="B2" i="12" s="1"/>
  <c r="B4" i="12" s="1"/>
  <c r="D21" i="9"/>
  <c r="D19" i="9"/>
  <c r="B3" i="12" l="1"/>
  <c r="G19" i="9"/>
  <c r="G22" i="9" s="1"/>
  <c r="D22" i="9"/>
  <c r="L44" i="9"/>
  <c r="B5" i="12"/>
  <c r="G21" i="9"/>
  <c r="D20" i="9"/>
  <c r="C32" i="9" l="1"/>
  <c r="C33" i="9" s="1"/>
  <c r="C3" i="69"/>
  <c r="C4" i="69" s="1"/>
  <c r="D4" i="69" s="1"/>
  <c r="G20" i="9"/>
  <c r="N43" i="9"/>
  <c r="O38" i="9"/>
  <c r="C42" i="9" l="1"/>
  <c r="D63" i="9" s="1"/>
  <c r="C34" i="9"/>
  <c r="E42" i="9" s="1"/>
  <c r="P5" i="54" s="1"/>
  <c r="B46" i="63" s="1"/>
  <c r="O43" i="9"/>
  <c r="C35" i="9"/>
  <c r="F42" i="9" s="1"/>
  <c r="N38" i="9"/>
  <c r="K28" i="9" s="1"/>
  <c r="D42" i="9"/>
  <c r="Q5" i="54" s="1"/>
  <c r="B47" i="63" s="1"/>
  <c r="R5" i="54"/>
  <c r="B48" i="63" s="1"/>
  <c r="K26" i="9"/>
  <c r="K25" i="9"/>
  <c r="D14" i="66" l="1"/>
  <c r="B5" i="66" s="1"/>
  <c r="N68" i="9"/>
  <c r="M38" i="9"/>
  <c r="K27" i="9" s="1"/>
  <c r="D73" i="9"/>
  <c r="N73" i="9" s="1"/>
  <c r="C96" i="9"/>
  <c r="C91" i="9" s="1"/>
  <c r="C103" i="9"/>
  <c r="C82" i="9"/>
  <c r="C81" i="9" s="1"/>
  <c r="C85" i="9" s="1"/>
  <c r="C86" i="9" s="1"/>
  <c r="D72" i="9" s="1"/>
  <c r="C111" i="9"/>
  <c r="C104" i="9" s="1"/>
  <c r="D70" i="9"/>
  <c r="D71" i="9"/>
  <c r="D66" i="9" s="1"/>
  <c r="N72" i="9" s="1"/>
  <c r="C90" i="9"/>
  <c r="C97" i="9" s="1"/>
  <c r="E14" i="66"/>
  <c r="F14" i="66" l="1"/>
  <c r="C5" i="66"/>
  <c r="D5" i="66"/>
  <c r="C98" i="9"/>
  <c r="E98" i="9" s="1"/>
  <c r="E99" i="9" s="1"/>
  <c r="C113" i="9"/>
  <c r="C99" i="9" l="1"/>
  <c r="C114" i="9"/>
  <c r="E114" i="9" s="1"/>
  <c r="E115" i="9" s="1"/>
  <c r="C115" i="9" l="1"/>
  <c r="D76" i="9" s="1"/>
  <c r="D74" i="9" s="1"/>
  <c r="N74" i="9" s="1"/>
  <c r="O77" i="9" s="1"/>
  <c r="Q77" i="9" s="1"/>
  <c r="O78"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<sst xmlns="http://schemas.openxmlformats.org/spreadsheetml/2006/main" count="7775" uniqueCount="3234">
  <si>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</si>
  <si>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</si>
  <si>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</si>
  <si>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</si>
  <si>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</si>
  <si>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</si>
  <si>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</si>
  <si>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</si>
  <si>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</si>
  <si>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</si>
  <si>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</si>
  <si>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</si>
  <si>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</si>
  <si>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</si>
  <si>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</si>
  <si>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</si>
  <si>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</si>
  <si>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</si>
  <si>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</si>
  <si>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</si>
  <si>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</si>
  <si>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</si>
  <si>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</si>
  <si>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</si>
  <si>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</si>
  <si>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</si>
  <si>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</si>
  <si>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</si>
  <si>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</si>
  <si>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</si>
  <si>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</si>
  <si>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</si>
  <si>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</si>
  <si>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</si>
  <si>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</si>
  <si>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</si>
  <si>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</si>
  <si>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</si>
  <si>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</si>
  <si>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</si>
  <si>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</si>
  <si>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</si>
  <si>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</si>
  <si>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</si>
  <si>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</si>
  <si>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</si>
  <si>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</si>
  <si>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</si>
  <si>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</si>
  <si>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</si>
  <si>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</si>
  <si>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</si>
  <si>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</si>
  <si>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</si>
  <si>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</si>
  <si>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</si>
  <si>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</si>
  <si>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</si>
  <si>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</si>
  <si>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</si>
  <si>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</si>
  <si>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</si>
  <si>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</si>
  <si>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</si>
  <si>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</si>
  <si>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</si>
  <si>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</si>
  <si>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</si>
  <si>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</si>
  <si>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</si>
  <si>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</si>
  <si>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</si>
  <si>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</si>
  <si>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</si>
  <si>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</si>
  <si>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</si>
  <si>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</si>
  <si>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</si>
  <si>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</si>
  <si>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</si>
  <si>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</si>
  <si>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</si>
  <si>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</si>
  <si>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</si>
  <si>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</si>
  <si>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</si>
  <si>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</si>
  <si>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</si>
  <si>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</si>
  <si>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</si>
  <si>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</si>
  <si>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</si>
  <si>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</si>
  <si>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</si>
  <si>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</si>
  <si>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</si>
  <si>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</si>
  <si>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</si>
  <si>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</si>
  <si>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</si>
  <si>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</si>
  <si>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</si>
  <si>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</si>
  <si>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</si>
  <si>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</si>
  <si>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</si>
  <si>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</si>
  <si>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</si>
  <si>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</si>
  <si>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</si>
  <si>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</si>
  <si>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</si>
  <si>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</si>
  <si>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</si>
  <si>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</si>
  <si>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</si>
  <si>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</si>
  <si>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</si>
  <si>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</si>
  <si>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</si>
  <si>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</si>
  <si>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</si>
  <si>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</si>
  <si>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</si>
  <si>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</si>
  <si>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</si>
  <si>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</si>
  <si>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</si>
  <si>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</si>
  <si>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</si>
  <si>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</si>
  <si>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</si>
  <si>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</si>
  <si>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</si>
  <si>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</si>
  <si>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</si>
  <si>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</si>
  <si>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</si>
  <si>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</si>
  <si>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</si>
  <si>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</si>
  <si>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</si>
  <si>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</si>
  <si>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</si>
  <si>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</si>
  <si>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</si>
  <si>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</si>
  <si>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</si>
  <si>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</si>
  <si>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</si>
  <si>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</si>
  <si>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</si>
  <si>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</si>
  <si>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</si>
  <si>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</si>
  <si>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</si>
  <si>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</si>
  <si>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</si>
  <si>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</si>
  <si>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</si>
  <si>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</si>
  <si>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</si>
  <si>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</si>
  <si>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</si>
  <si>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</si>
  <si>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</si>
  <si>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</si>
  <si>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</si>
  <si>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</si>
  <si>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</si>
  <si>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</si>
  <si>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</si>
  <si>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</si>
  <si>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</si>
  <si>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</si>
  <si>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</si>
  <si>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</si>
  <si>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</si>
  <si>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</si>
  <si>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</si>
  <si>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</si>
  <si>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</si>
  <si>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</si>
  <si>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</si>
  <si>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</si>
  <si>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</si>
  <si>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</si>
  <si>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</si>
  <si>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</si>
  <si>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</si>
  <si>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</si>
  <si>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</si>
  <si>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</si>
  <si>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</si>
  <si>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</si>
  <si>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</si>
  <si>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</si>
  <si>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</si>
  <si>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</si>
  <si>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</si>
  <si>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</si>
  <si>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</si>
  <si>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</si>
  <si>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</si>
  <si>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</si>
  <si>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</si>
  <si>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</si>
  <si>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</si>
  <si>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</si>
  <si>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</si>
  <si>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</si>
  <si>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</si>
  <si>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</si>
  <si>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</si>
  <si>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</si>
  <si>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</si>
  <si>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</si>
  <si>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</si>
  <si>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</si>
  <si>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</si>
  <si>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</si>
  <si>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</si>
  <si>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</si>
  <si>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</si>
  <si>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</si>
  <si>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</si>
  <si>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</si>
  <si>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</si>
  <si>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</si>
  <si>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</si>
  <si>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</si>
  <si>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</si>
  <si>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</si>
  <si>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</si>
  <si>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</si>
  <si>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</si>
  <si>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</si>
  <si>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</si>
  <si>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</si>
  <si>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</si>
  <si>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</si>
  <si>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</si>
  <si>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</si>
  <si>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</si>
  <si>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</si>
  <si>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</si>
  <si>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</si>
  <si>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</si>
  <si>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</si>
  <si>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</si>
  <si>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</si>
  <si>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</si>
  <si>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</si>
  <si>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</si>
  <si>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</si>
  <si>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</si>
  <si>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</si>
  <si>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</si>
  <si>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</si>
  <si>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</si>
  <si>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</si>
  <si>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</si>
  <si>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</si>
  <si>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</si>
  <si>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</si>
  <si>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</si>
  <si>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</si>
  <si>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</si>
  <si>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</si>
  <si>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</si>
  <si>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</si>
  <si>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</si>
  <si>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</si>
  <si>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</si>
  <si>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</si>
  <si>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</si>
  <si>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</si>
  <si>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</si>
  <si>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</si>
  <si>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</si>
  <si>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</si>
  <si>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</si>
  <si>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</si>
  <si>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</si>
  <si>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</si>
  <si>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</si>
  <si>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</si>
  <si>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</si>
  <si>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</si>
  <si>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</si>
  <si>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</si>
  <si>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</si>
  <si>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</si>
  <si>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</si>
  <si>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</si>
  <si>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</si>
  <si>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</si>
  <si>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</si>
  <si>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</si>
  <si>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</si>
  <si>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</si>
  <si>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</si>
  <si>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</si>
  <si>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</si>
  <si>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</si>
  <si>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</si>
  <si>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</si>
  <si>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</si>
  <si>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</si>
  <si>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</si>
  <si>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</si>
  <si>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</si>
  <si>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</si>
  <si>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</si>
  <si>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</si>
  <si>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</si>
  <si>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</si>
  <si>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</si>
  <si>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</si>
  <si>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</si>
  <si>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</si>
  <si>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</si>
  <si>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</si>
  <si>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</si>
  <si>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</si>
  <si>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</si>
  <si>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</si>
  <si>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</si>
  <si>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</si>
  <si>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</si>
  <si>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</si>
  <si>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</si>
  <si>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</si>
  <si>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</si>
  <si>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</si>
  <si>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</si>
  <si>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</si>
  <si>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</si>
  <si>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</si>
  <si>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</si>
  <si>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</si>
  <si>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</si>
  <si>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</si>
  <si>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</si>
  <si>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</si>
  <si>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</si>
  <si>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</si>
  <si>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</si>
  <si>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</si>
  <si>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</si>
  <si>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</si>
  <si>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</si>
  <si>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</si>
  <si>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</si>
  <si>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</si>
  <si>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</si>
  <si>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</si>
  <si>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</si>
  <si>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</si>
  <si>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</si>
  <si>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</si>
  <si>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</si>
  <si>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</si>
  <si>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</si>
  <si>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</si>
  <si>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</si>
  <si>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</si>
  <si>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</si>
  <si>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</si>
  <si>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</si>
  <si>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</si>
  <si>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</si>
  <si>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</si>
  <si>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</si>
  <si>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</si>
  <si>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</si>
  <si>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</si>
  <si>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</si>
  <si>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</si>
  <si>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</si>
  <si>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</si>
  <si>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</si>
  <si>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</si>
  <si>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</si>
  <si>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</si>
  <si>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</si>
  <si>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</si>
  <si>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</si>
  <si>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</si>
  <si>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</si>
  <si>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</si>
  <si>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</si>
  <si>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</si>
  <si>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</si>
  <si>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</si>
  <si>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</si>
  <si>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</si>
  <si>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</si>
  <si>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</si>
  <si>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</si>
  <si>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</si>
  <si>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</si>
  <si>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</si>
  <si>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</si>
  <si>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</si>
  <si>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</si>
  <si>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</si>
  <si>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</si>
  <si>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</si>
  <si>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</si>
  <si>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</si>
  <si>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</si>
  <si>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</si>
  <si>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</si>
  <si>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</si>
  <si>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</si>
  <si>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</si>
  <si>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</si>
  <si>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</si>
  <si>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</si>
  <si>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</si>
  <si>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</si>
  <si>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</si>
  <si>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</si>
  <si>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</si>
  <si>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</si>
  <si>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</si>
  <si>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</si>
  <si>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</si>
  <si>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</si>
  <si>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</si>
  <si>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</si>
  <si>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</si>
  <si>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</si>
  <si>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</si>
  <si>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</si>
  <si>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</si>
  <si>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</si>
  <si>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</si>
  <si>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</si>
  <si>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</si>
  <si>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</si>
  <si>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</si>
  <si>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</si>
  <si>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</si>
  <si>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</si>
  <si>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</si>
  <si>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</si>
  <si>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</si>
  <si>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</si>
  <si>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</si>
  <si>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</si>
  <si>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</si>
  <si>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</si>
  <si>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</si>
  <si>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</si>
  <si>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</si>
  <si>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</si>
  <si>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</si>
  <si>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</si>
  <si>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</si>
  <si>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</si>
  <si>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</si>
  <si>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</si>
  <si>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</si>
  <si>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</si>
  <si>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</si>
  <si>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</si>
  <si>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</si>
  <si>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</si>
  <si>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</si>
  <si>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</si>
  <si>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</si>
  <si>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</si>
  <si>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</si>
  <si>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</si>
  <si>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</si>
  <si>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</si>
  <si>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</si>
  <si>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</si>
  <si>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</si>
  <si>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</si>
  <si>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</si>
  <si>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</si>
  <si>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</si>
  <si>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</si>
  <si>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</si>
  <si>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</si>
  <si>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</si>
  <si>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</si>
  <si>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</si>
  <si>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</si>
  <si>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</si>
  <si>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</si>
  <si>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</si>
  <si>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</si>
  <si>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</si>
  <si>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</si>
  <si>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</si>
  <si>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</si>
  <si>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</si>
  <si>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</si>
  <si>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</si>
  <si>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</si>
  <si>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</si>
  <si>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</si>
  <si>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</si>
  <si>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</si>
  <si>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</si>
  <si>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</si>
  <si>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</si>
  <si>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</si>
  <si>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</si>
  <si>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</si>
  <si>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</si>
  <si>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</si>
  <si>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</si>
  <si>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</si>
  <si>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</si>
  <si>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</si>
  <si>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</si>
  <si>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</si>
  <si>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</si>
  <si>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</si>
  <si>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</si>
  <si>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</si>
  <si>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</si>
  <si>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</si>
  <si>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</si>
  <si>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</si>
  <si>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</si>
  <si>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</si>
  <si>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</si>
  <si>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</si>
  <si>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</si>
  <si>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</si>
  <si>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</si>
  <si>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</si>
  <si>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</si>
  <si>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</si>
  <si>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</si>
  <si>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</si>
  <si>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</si>
  <si>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</si>
  <si>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</si>
  <si>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</si>
  <si>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</si>
  <si>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</si>
  <si>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</si>
  <si>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</si>
  <si>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</si>
  <si>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</si>
  <si>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</si>
  <si>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</si>
  <si>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</si>
  <si>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</si>
  <si>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</si>
  <si>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</si>
  <si>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</si>
  <si>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</si>
  <si>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</si>
  <si>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</si>
  <si>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</si>
  <si>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</si>
  <si>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</si>
  <si>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</si>
  <si>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</si>
  <si>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</si>
  <si>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</si>
  <si>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</si>
  <si>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</si>
  <si>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</si>
  <si>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</si>
  <si>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</si>
  <si>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</si>
  <si>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</si>
  <si>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</si>
  <si>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</si>
  <si>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</si>
  <si>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</si>
  <si>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</si>
  <si>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</si>
  <si>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</si>
  <si>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</si>
  <si>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</si>
  <si>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</si>
  <si>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</si>
  <si>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</si>
  <si>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</si>
  <si>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</si>
  <si>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</si>
  <si>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</si>
  <si>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</si>
  <si>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</si>
  <si>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</si>
  <si>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</si>
  <si>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</si>
  <si>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</si>
  <si>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</si>
  <si>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</si>
  <si>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</si>
  <si>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</si>
  <si>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</si>
  <si>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</si>
  <si>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</si>
  <si>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</si>
  <si>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</si>
  <si>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</si>
  <si>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</si>
  <si>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</si>
  <si>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</si>
  <si>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</si>
  <si>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</si>
  <si>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</si>
  <si>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</si>
  <si>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</si>
  <si>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</si>
  <si>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</si>
  <si>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</si>
  <si>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</si>
  <si>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</si>
  <si>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</si>
  <si>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</si>
  <si>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</si>
  <si>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</si>
  <si>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</si>
  <si>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</si>
  <si>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</si>
  <si>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</si>
  <si>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</si>
  <si>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</si>
  <si>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</si>
  <si>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</si>
  <si>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</si>
  <si>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</si>
  <si>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</si>
  <si>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</si>
  <si>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</si>
  <si>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</si>
  <si>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</si>
  <si>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</si>
  <si>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</si>
  <si>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</si>
  <si>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</si>
  <si>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</si>
  <si>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</si>
  <si>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</si>
  <si>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</si>
  <si>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</si>
  <si>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</si>
  <si>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</si>
  <si>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</si>
  <si>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</si>
  <si>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</si>
  <si>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</si>
  <si>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</si>
  <si>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</si>
  <si>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</si>
  <si>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</si>
  <si>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</si>
  <si>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</si>
  <si>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</si>
  <si>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</si>
  <si>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</si>
  <si>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</si>
  <si>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</si>
  <si>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</si>
  <si>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</si>
  <si>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</si>
  <si>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</si>
  <si>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</si>
  <si>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</si>
  <si>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</si>
  <si>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</si>
  <si>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</si>
  <si>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</si>
  <si>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</si>
  <si>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</si>
  <si>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</si>
  <si>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</si>
  <si>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</si>
  <si>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</si>
  <si>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</si>
  <si>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</si>
  <si>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</si>
  <si>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</si>
  <si>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</si>
  <si>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</si>
  <si>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</si>
  <si>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</si>
  <si>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</si>
  <si>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</si>
  <si>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</si>
  <si>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</si>
  <si>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</si>
  <si>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</si>
  <si>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</si>
  <si>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</si>
  <si>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</si>
  <si>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</si>
  <si>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</si>
  <si>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</si>
  <si>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</si>
  <si>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</si>
  <si>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</si>
  <si>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</si>
  <si>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</si>
  <si>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</si>
  <si>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</si>
  <si>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</si>
  <si>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</si>
  <si>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</si>
  <si>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</si>
  <si>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</si>
  <si>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</si>
  <si>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</si>
  <si>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</si>
  <si>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</si>
  <si>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</si>
  <si>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</si>
  <si>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</si>
  <si>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</si>
  <si>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</si>
  <si>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</si>
  <si>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</si>
  <si>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</si>
  <si>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</si>
  <si>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</si>
  <si>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</si>
  <si>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</si>
  <si>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</si>
  <si>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</si>
  <si>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</si>
  <si>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</si>
  <si>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</si>
  <si>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</si>
  <si>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</si>
  <si>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</si>
  <si>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</si>
  <si>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</si>
  <si>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</si>
  <si>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</si>
  <si>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</si>
  <si>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</si>
  <si>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</si>
  <si>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</si>
  <si>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</si>
  <si>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</si>
  <si>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</si>
  <si>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</si>
  <si>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</si>
  <si>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</si>
  <si>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</si>
  <si>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</si>
  <si>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</si>
  <si>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</si>
  <si>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</si>
  <si>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</si>
  <si>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</si>
  <si>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</si>
  <si>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</si>
  <si>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</si>
  <si>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</si>
  <si>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</si>
  <si>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</si>
  <si>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</si>
  <si>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</si>
  <si>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</si>
  <si>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</si>
  <si>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</si>
  <si>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</si>
  <si>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</si>
  <si>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</si>
  <si>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</si>
  <si>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</si>
  <si>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</si>
  <si>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</si>
  <si>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</si>
  <si>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</si>
  <si>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</si>
  <si>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</si>
  <si>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</si>
  <si>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</si>
  <si>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</si>
  <si>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</si>
  <si>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</si>
  <si>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</si>
  <si>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</si>
  <si>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</si>
  <si>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</si>
  <si>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</si>
  <si>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</si>
  <si>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</si>
  <si>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</si>
  <si>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</si>
  <si>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</si>
  <si>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</si>
  <si>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</si>
  <si>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</si>
  <si>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</si>
  <si>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</si>
  <si>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</si>
  <si>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</si>
  <si>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</si>
  <si>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</si>
  <si>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</si>
  <si>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</si>
  <si>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</si>
  <si>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</si>
  <si>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</si>
  <si>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</si>
  <si>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</si>
  <si>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</si>
  <si>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</si>
  <si>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</si>
  <si>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</si>
  <si>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</si>
  <si>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</si>
  <si>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</si>
  <si>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</si>
  <si>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</si>
  <si>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</si>
  <si>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</si>
  <si>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</si>
  <si>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</si>
  <si>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</si>
  <si>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</si>
  <si>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</si>
  <si>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</si>
  <si>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</si>
  <si>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</si>
  <si>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</si>
  <si>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</si>
  <si>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</si>
  <si>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</si>
  <si>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</si>
  <si>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</si>
  <si>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</si>
  <si>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</si>
  <si>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</si>
  <si>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</si>
  <si>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</si>
  <si>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</si>
  <si>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</si>
  <si>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</si>
  <si>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</si>
  <si>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</si>
  <si>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</si>
  <si>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</si>
  <si>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</si>
  <si>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</si>
  <si>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</si>
  <si>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</si>
  <si>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</si>
  <si>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</si>
  <si>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</si>
  <si>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</si>
  <si>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</si>
  <si>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</si>
  <si>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</si>
  <si>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</si>
  <si>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</si>
  <si>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</si>
  <si>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</si>
  <si>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</si>
  <si>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</si>
  <si>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</si>
  <si>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</si>
  <si>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</si>
  <si>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</si>
  <si>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</si>
  <si>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</si>
  <si>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</si>
  <si>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</si>
  <si>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</si>
  <si>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</si>
  <si>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</si>
  <si>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</si>
  <si>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</si>
  <si>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</si>
  <si>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</si>
  <si>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</si>
  <si>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</si>
  <si>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</si>
  <si>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</si>
  <si>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</si>
  <si>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</si>
  <si>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</si>
  <si>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</si>
  <si>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</si>
  <si>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</si>
  <si>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</si>
  <si>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</si>
  <si>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</si>
  <si>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</si>
  <si>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</si>
  <si>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</si>
  <si>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</si>
  <si>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</si>
  <si>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</si>
  <si>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</si>
  <si>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</si>
  <si>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</si>
  <si>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</si>
  <si>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</si>
  <si>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</si>
  <si>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</si>
  <si>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</si>
  <si>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</si>
  <si>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</si>
  <si>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</si>
  <si>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</si>
  <si>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</si>
  <si>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</si>
  <si>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</si>
  <si>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</si>
  <si>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</si>
  <si>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</si>
  <si>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</si>
  <si>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</si>
  <si>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</si>
  <si>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</si>
  <si>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</si>
  <si>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</si>
  <si>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</si>
  <si>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</si>
  <si>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</si>
  <si>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</si>
  <si>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</si>
  <si>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</si>
  <si>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</si>
  <si>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</si>
  <si>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</si>
  <si>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</si>
  <si>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</si>
  <si>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</si>
  <si>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</si>
  <si>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</si>
  <si>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</si>
  <si>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</si>
  <si>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</si>
  <si>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</si>
  <si>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</si>
  <si>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</si>
  <si>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</si>
  <si>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</si>
  <si>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</si>
  <si>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</si>
  <si>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</si>
  <si>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</si>
  <si>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</si>
  <si>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</si>
  <si>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</si>
  <si>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</si>
  <si>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</si>
  <si>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</si>
  <si>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</si>
  <si>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</si>
  <si>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</si>
  <si>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</si>
  <si>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</si>
  <si>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</si>
  <si>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</si>
  <si>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</si>
  <si>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</si>
  <si>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</si>
  <si>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</si>
  <si>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</si>
  <si>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</si>
  <si>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</si>
  <si>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</si>
  <si>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</si>
  <si>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</si>
  <si>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</si>
  <si>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</si>
  <si>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</si>
  <si>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</si>
  <si>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</si>
  <si>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</si>
  <si>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</si>
  <si>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</si>
  <si>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</si>
  <si>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</si>
  <si>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</si>
  <si>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</si>
  <si>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</si>
  <si>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</si>
  <si>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</si>
  <si>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</si>
  <si>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</si>
  <si>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</si>
  <si>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</si>
  <si>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</si>
  <si>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</si>
  <si>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</si>
  <si>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</si>
  <si>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</si>
  <si>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</si>
  <si>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</si>
  <si>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</si>
  <si>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</si>
  <si>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</si>
  <si>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</si>
  <si>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</si>
  <si>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</si>
  <si>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</si>
  <si>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</si>
  <si>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</si>
  <si>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</si>
  <si>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</si>
  <si>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</si>
  <si>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</si>
  <si>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</si>
  <si>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</si>
  <si>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</si>
  <si>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</si>
  <si>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</si>
  <si>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</si>
  <si>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</si>
  <si>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</si>
  <si>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</si>
  <si>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</si>
  <si>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</si>
  <si>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</si>
  <si>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</si>
  <si>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</si>
  <si>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</si>
  <si>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</si>
  <si>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</si>
  <si>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</si>
  <si>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</si>
  <si>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</si>
  <si>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</si>
  <si>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</si>
  <si>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</si>
  <si>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</si>
  <si>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</si>
  <si>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</si>
  <si>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</si>
  <si>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</si>
  <si>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</si>
  <si>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</si>
  <si>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</si>
  <si>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</si>
  <si>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</si>
  <si>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</si>
  <si>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</si>
  <si>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</si>
  <si>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</si>
  <si>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</si>
  <si>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</si>
  <si>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</si>
  <si>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</si>
  <si>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</si>
  <si>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</si>
  <si>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</si>
  <si>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</si>
  <si>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</si>
  <si>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</si>
  <si>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</si>
  <si>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</si>
  <si>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</si>
  <si>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</si>
  <si>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</si>
  <si>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</si>
  <si>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</si>
  <si>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</si>
  <si>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</si>
  <si>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</si>
  <si>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</si>
  <si>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</si>
  <si>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</si>
  <si>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</si>
  <si>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</si>
  <si>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</si>
  <si>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</si>
  <si>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</si>
  <si>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</si>
  <si>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</si>
  <si>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</si>
  <si>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</si>
  <si>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</si>
  <si>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</si>
  <si>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</si>
  <si>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</si>
  <si>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</si>
  <si>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</si>
  <si>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</si>
  <si>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</si>
  <si>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</si>
  <si>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</si>
  <si>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</si>
  <si>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</si>
  <si>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</si>
  <si>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</si>
  <si>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</si>
  <si>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</si>
  <si>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</si>
  <si>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</si>
  <si>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</si>
  <si>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</si>
  <si>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</si>
  <si>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</si>
  <si>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</si>
  <si>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</si>
  <si>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</si>
  <si>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</si>
  <si>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</si>
  <si>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</si>
  <si>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</si>
  <si>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</si>
  <si>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</si>
  <si>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</si>
  <si>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</si>
  <si>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</si>
  <si>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</si>
  <si>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</si>
  <si>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</si>
  <si>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</si>
  <si>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</si>
  <si>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</si>
  <si>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</si>
  <si>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</si>
  <si>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</si>
  <si>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</si>
  <si>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</si>
  <si>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</si>
  <si>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</si>
  <si>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</si>
  <si>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</si>
  <si>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</si>
  <si>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</si>
  <si>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</si>
  <si>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</si>
  <si>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</si>
  <si>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</si>
  <si>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</si>
  <si>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</si>
  <si>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</si>
  <si>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</si>
  <si>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</si>
  <si>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</si>
  <si>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</si>
  <si>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</si>
  <si>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</si>
  <si>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</si>
  <si>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</si>
  <si>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</si>
  <si>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</si>
  <si>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</si>
  <si>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</si>
  <si>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</si>
  <si>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</si>
  <si>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</si>
  <si>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</si>
  <si>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</si>
  <si>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</si>
  <si>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</si>
  <si>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</si>
  <si>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</si>
  <si>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</si>
  <si>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</si>
  <si>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</si>
  <si>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</si>
  <si>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</si>
  <si>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</si>
  <si>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</si>
  <si>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</si>
  <si>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</si>
  <si>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</si>
  <si>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</si>
  <si>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</si>
  <si>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</si>
  <si>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</si>
  <si>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</si>
  <si>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</si>
  <si>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</si>
  <si>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</si>
  <si>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</si>
  <si>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</si>
  <si>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</si>
  <si>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</si>
  <si>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</si>
  <si>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</si>
  <si>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</si>
  <si>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</si>
  <si>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</si>
  <si>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</si>
  <si>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</si>
  <si>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</si>
  <si>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</si>
  <si>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</si>
  <si>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</si>
  <si>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</si>
  <si>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</si>
  <si>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</si>
  <si>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</si>
  <si>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</si>
  <si>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</si>
  <si>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</si>
  <si>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</si>
  <si>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</si>
  <si>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</si>
  <si>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</si>
  <si>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</si>
  <si>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</si>
  <si>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</si>
  <si>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</si>
  <si>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</si>
  <si>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</si>
  <si>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</si>
  <si>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</si>
  <si>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</si>
  <si>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</si>
  <si>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</si>
  <si>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</si>
  <si>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</si>
  <si>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</si>
  <si>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</si>
  <si>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</si>
  <si>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</si>
  <si>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</si>
  <si>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</si>
  <si>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</si>
  <si>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</si>
  <si>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</si>
  <si>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</si>
  <si>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</si>
  <si>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</si>
  <si>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</si>
  <si>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</si>
  <si>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</si>
  <si>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</si>
  <si>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</si>
  <si>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</si>
  <si>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</si>
  <si>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</si>
  <si>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</si>
  <si>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</si>
  <si>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</si>
  <si>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</si>
  <si>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</si>
  <si>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</si>
  <si>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</si>
  <si>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</si>
  <si>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</si>
  <si>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</si>
  <si>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</si>
  <si>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</si>
  <si>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</si>
  <si>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</si>
  <si>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</si>
  <si>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</si>
  <si>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</si>
  <si>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</si>
  <si>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</si>
  <si>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</si>
  <si>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</si>
  <si>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</si>
  <si>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</si>
  <si>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</si>
  <si>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</si>
  <si>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</si>
  <si>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</si>
  <si>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</si>
  <si>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</si>
  <si>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</si>
  <si>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</si>
  <si>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</si>
  <si>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</si>
  <si>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</si>
  <si>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</si>
  <si>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</si>
  <si>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</si>
  <si>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</si>
  <si>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</si>
  <si>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</si>
  <si>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</si>
  <si>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</si>
  <si>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</si>
  <si>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</si>
  <si>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</si>
  <si>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</si>
  <si>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</si>
  <si>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</si>
  <si>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</si>
  <si>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</si>
  <si>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</si>
  <si>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</si>
  <si>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</si>
  <si>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</si>
  <si>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</si>
  <si>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</si>
  <si>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</si>
  <si>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</si>
  <si>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</si>
  <si>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</si>
  <si>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</si>
  <si>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</si>
  <si>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</si>
  <si>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</si>
  <si>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</si>
  <si>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</si>
  <si>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</si>
  <si>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</si>
  <si>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</si>
  <si>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</si>
  <si>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</si>
  <si>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</si>
  <si>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</si>
  <si>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</si>
  <si>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</si>
  <si>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</si>
  <si>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</si>
  <si>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</si>
  <si>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</si>
  <si>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</si>
  <si>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</si>
  <si>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</si>
  <si>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</si>
  <si>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</si>
  <si>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</si>
  <si>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</si>
  <si>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</si>
  <si>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</si>
  <si>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</si>
  <si>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</si>
  <si>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</si>
  <si>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</si>
  <si>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</si>
  <si>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</si>
  <si>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</si>
  <si>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</si>
  <si>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</si>
  <si>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</si>
  <si>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</si>
  <si>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</si>
  <si>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</si>
  <si>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</si>
  <si>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</si>
  <si>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</si>
  <si>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</si>
  <si>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</si>
  <si>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</si>
  <si>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</si>
  <si>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</si>
  <si>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</si>
  <si>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</si>
  <si>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</si>
  <si>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</si>
  <si>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</si>
  <si>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</si>
  <si>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</si>
  <si>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</si>
  <si>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</si>
  <si>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</si>
  <si>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</si>
  <si>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</si>
  <si>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</si>
  <si>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</si>
  <si>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</si>
  <si>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</si>
  <si>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</si>
  <si>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</si>
  <si>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</si>
  <si>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</si>
  <si>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</si>
  <si>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</si>
  <si>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</si>
  <si>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</si>
  <si>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</si>
  <si>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</si>
  <si>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</si>
  <si>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</si>
  <si>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</si>
  <si>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</si>
  <si>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</si>
  <si>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</si>
  <si>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</si>
  <si>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</si>
  <si>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</si>
  <si>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</si>
  <si>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</si>
  <si>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</si>
  <si>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</si>
  <si>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</si>
  <si>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</si>
  <si>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</si>
  <si>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</si>
  <si>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</si>
  <si>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</si>
  <si>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</si>
  <si>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</si>
  <si>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</si>
  <si>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</si>
  <si>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</si>
  <si>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</si>
  <si>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</si>
  <si>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</si>
  <si>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</si>
  <si>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</si>
  <si>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</si>
  <si>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</si>
  <si>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</si>
  <si>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</si>
  <si>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</si>
  <si>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</si>
  <si>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</si>
  <si>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</si>
  <si>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</si>
  <si>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</si>
  <si>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</si>
  <si>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</si>
  <si>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</si>
  <si>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</si>
  <si>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</si>
  <si>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</si>
  <si>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</si>
  <si>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</si>
  <si>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</si>
  <si>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</si>
  <si>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</si>
  <si>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</si>
  <si>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</si>
  <si>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</si>
  <si>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</si>
  <si>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</si>
  <si>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</si>
  <si>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</si>
  <si>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</si>
  <si>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</si>
  <si>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</si>
  <si>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</si>
  <si>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</si>
  <si>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</si>
  <si>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</si>
  <si>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</si>
  <si>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</si>
  <si>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</si>
  <si>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</si>
  <si>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</si>
  <si>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</si>
  <si>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</si>
  <si>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</si>
  <si>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</si>
  <si>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</si>
  <si>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</si>
  <si>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</si>
  <si>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</si>
  <si>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</si>
  <si>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</si>
  <si>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</si>
  <si>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</si>
  <si>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</si>
  <si>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</si>
  <si>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</si>
  <si>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</si>
  <si>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</si>
  <si>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</si>
  <si>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</si>
  <si>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</si>
  <si>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</si>
  <si>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</si>
  <si>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</si>
  <si>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</si>
  <si>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</si>
  <si>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</si>
  <si>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</si>
  <si>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</si>
  <si>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</si>
  <si>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</si>
  <si>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</si>
  <si>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</si>
  <si>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</si>
  <si>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</si>
  <si>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</si>
  <si>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</si>
  <si>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</si>
  <si>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</si>
  <si>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</si>
  <si>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</si>
  <si>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</si>
  <si>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</si>
  <si>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</si>
  <si>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</si>
  <si>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</si>
  <si>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</si>
  <si>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</si>
  <si>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</si>
  <si>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</si>
  <si>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</si>
  <si>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</si>
  <si>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</si>
  <si>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</si>
  <si>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</si>
  <si>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</si>
  <si>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</si>
  <si>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</si>
  <si>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</si>
  <si>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</si>
  <si>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</si>
  <si>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</si>
  <si>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</si>
  <si>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</si>
  <si>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</si>
  <si>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</si>
  <si>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</si>
  <si>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</si>
  <si>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</si>
  <si>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</si>
  <si>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</si>
  <si>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</si>
  <si>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</si>
  <si>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</si>
  <si>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</si>
  <si>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</si>
  <si>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</si>
  <si>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</si>
  <si>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</si>
  <si>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</si>
  <si>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</si>
  <si>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</si>
  <si>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</si>
  <si>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</si>
  <si>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</si>
  <si>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</si>
  <si>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</si>
  <si>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</si>
  <si>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</si>
  <si>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</si>
  <si>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</si>
  <si>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</si>
  <si>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</si>
  <si>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</si>
  <si>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</si>
  <si>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</si>
  <si>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</si>
  <si>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</si>
  <si>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</si>
  <si>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</si>
  <si>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</si>
  <si>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</si>
  <si>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</si>
  <si>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</si>
  <si>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</si>
  <si>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</si>
  <si>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</si>
  <si>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</si>
  <si>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</si>
  <si>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</si>
  <si>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</si>
  <si>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</si>
  <si>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</si>
  <si>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</si>
  <si>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</si>
  <si>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</si>
  <si>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</si>
  <si>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</si>
  <si>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</si>
  <si>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</si>
  <si>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</si>
  <si>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</si>
  <si>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</si>
  <si>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</si>
  <si>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</si>
  <si>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</si>
  <si>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</si>
  <si>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</si>
  <si>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</si>
  <si>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</si>
  <si>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</si>
  <si>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</si>
  <si>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</si>
  <si>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</si>
  <si>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</si>
  <si>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</si>
  <si>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</si>
  <si>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</si>
  <si>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</si>
  <si>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</si>
  <si>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</si>
  <si>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</si>
  <si>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</si>
  <si>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</si>
  <si>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</si>
  <si>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</si>
  <si>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</si>
  <si>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</si>
  <si>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</si>
  <si>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</si>
  <si>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</si>
  <si>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</si>
  <si>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</si>
  <si>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</si>
  <si>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</si>
  <si>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</si>
  <si>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</si>
  <si>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</si>
  <si>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</si>
  <si>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</si>
  <si>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</si>
  <si>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</si>
  <si>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</si>
  <si>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</si>
  <si>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</si>
  <si>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</si>
  <si>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</si>
  <si>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</si>
  <si>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</si>
  <si>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</si>
  <si>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</si>
  <si>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</si>
  <si>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</si>
  <si>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</si>
  <si>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</si>
  <si>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</si>
  <si>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</si>
  <si>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</si>
  <si>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</si>
  <si>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</si>
  <si>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</si>
  <si>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</si>
  <si>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</si>
  <si>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</si>
  <si>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</si>
  <si>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</si>
  <si>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</si>
  <si>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</si>
  <si>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</si>
  <si>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</si>
  <si>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</si>
  <si>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</si>
  <si>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</si>
  <si>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</si>
  <si>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</si>
  <si>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</si>
  <si>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</si>
  <si>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</si>
  <si>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</si>
  <si>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</si>
  <si>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</si>
  <si>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</si>
  <si>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</si>
  <si>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</si>
  <si>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</si>
  <si>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</si>
  <si>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</si>
  <si>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</si>
  <si>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</si>
  <si>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</si>
  <si>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</si>
  <si>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</si>
  <si>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</si>
  <si>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</si>
  <si>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</si>
  <si>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</si>
  <si>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</si>
  <si>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</si>
  <si>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</si>
  <si>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</si>
  <si>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</si>
  <si>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</si>
  <si>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</si>
  <si>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</si>
  <si>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</si>
  <si>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</si>
  <si>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</si>
  <si>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</si>
  <si>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</si>
  <si>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</si>
  <si>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</si>
  <si>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</si>
  <si>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</si>
  <si>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</si>
  <si>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</si>
  <si>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</si>
  <si>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</si>
  <si>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</si>
  <si>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</si>
  <si>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</si>
  <si>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</si>
  <si>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</si>
  <si>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</si>
  <si>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</si>
  <si>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</si>
  <si>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</si>
  <si>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</si>
  <si>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</si>
  <si>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</si>
  <si>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</si>
  <si>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</si>
  <si>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</si>
  <si>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</si>
  <si>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</si>
  <si>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</si>
  <si>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</si>
  <si>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</si>
  <si>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</si>
  <si>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</si>
  <si>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</si>
  <si>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</si>
  <si>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</si>
  <si>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</si>
  <si>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</si>
  <si>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</si>
  <si>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</si>
  <si>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</si>
  <si>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</si>
  <si>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</si>
  <si>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</si>
  <si>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</si>
  <si>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</si>
  <si>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</si>
  <si>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</si>
  <si>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</si>
  <si>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</si>
  <si>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</si>
  <si>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</si>
  <si>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</si>
  <si>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</si>
  <si>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</si>
  <si>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</si>
  <si>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</si>
  <si>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</si>
  <si>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</si>
  <si>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</si>
  <si>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</si>
  <si>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</si>
  <si>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</si>
  <si>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</si>
  <si>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</si>
  <si>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</si>
  <si>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</si>
  <si>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</si>
  <si>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</si>
  <si>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</si>
  <si>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</si>
  <si>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</si>
  <si>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</si>
  <si>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</si>
  <si>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</si>
  <si>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</si>
  <si>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</si>
  <si>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</si>
  <si>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</si>
  <si>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</si>
  <si>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</si>
  <si>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</si>
  <si>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</si>
  <si>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</si>
  <si>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</si>
  <si>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</si>
  <si>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</si>
  <si>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</si>
  <si>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</si>
  <si>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</si>
  <si>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</si>
  <si>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</si>
  <si>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</si>
  <si>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</si>
  <si>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</si>
  <si>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</si>
  <si>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</si>
  <si>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</si>
  <si>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</si>
  <si>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</si>
  <si>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</si>
  <si>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</si>
  <si>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</si>
  <si>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</si>
  <si>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</si>
  <si>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</si>
  <si>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</si>
  <si>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</si>
  <si>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</si>
  <si>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</si>
  <si>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</si>
  <si>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</si>
  <si>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</si>
  <si>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</si>
  <si>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</si>
  <si>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</si>
  <si>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</si>
  <si>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</si>
  <si>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</si>
  <si>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</si>
  <si>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</si>
  <si>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</si>
  <si>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</si>
  <si>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</si>
  <si>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</si>
  <si>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</si>
  <si>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</si>
  <si>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</si>
  <si>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</si>
  <si>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</si>
  <si>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</si>
  <si>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</si>
  <si>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</si>
  <si>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</si>
  <si>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</si>
  <si>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</si>
  <si>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</si>
  <si>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</si>
  <si>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</si>
  <si>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</si>
  <si>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</si>
  <si>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</si>
  <si>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</si>
  <si>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</si>
  <si>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</si>
  <si>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</si>
  <si>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</si>
  <si>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</si>
  <si>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</si>
  <si>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</si>
  <si>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</si>
  <si>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</si>
  <si>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</si>
  <si>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</si>
  <si>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</si>
  <si>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</si>
  <si>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</si>
  <si>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</si>
  <si>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</si>
  <si>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</si>
  <si>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</si>
  <si>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</si>
  <si>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</si>
  <si>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</si>
  <si>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</si>
  <si>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</si>
  <si>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</si>
  <si>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</si>
  <si>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</si>
  <si>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</si>
  <si>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</si>
  <si>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</si>
  <si>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</si>
  <si>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</si>
  <si>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</si>
  <si>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</si>
  <si>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</si>
  <si>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</si>
  <si>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</si>
  <si>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</si>
  <si>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</si>
  <si>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</si>
  <si>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</si>
  <si>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</si>
  <si>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</si>
  <si>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</si>
  <si>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</si>
  <si>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</si>
  <si>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</si>
  <si>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</si>
  <si>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</si>
  <si>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</si>
  <si>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</si>
  <si>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</si>
  <si>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</si>
  <si>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</si>
  <si>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</si>
  <si>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</si>
  <si>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</si>
  <si>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</si>
  <si>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</si>
  <si>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</si>
  <si>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</si>
  <si>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</si>
  <si>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</si>
  <si>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</si>
  <si>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</si>
  <si>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</si>
  <si>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</si>
  <si>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</si>
  <si>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</si>
  <si>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</si>
  <si>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</si>
  <si>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</si>
  <si>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</si>
  <si>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</si>
  <si>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</si>
  <si>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</si>
  <si>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</si>
  <si>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</si>
  <si>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</si>
  <si>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</si>
  <si>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</si>
  <si>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</si>
  <si>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</si>
  <si>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</si>
  <si>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</si>
  <si>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</si>
  <si>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</si>
  <si>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</si>
  <si>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</si>
  <si>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</si>
  <si>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</si>
  <si>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</si>
  <si>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</si>
  <si>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</si>
  <si>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</si>
  <si>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</si>
  <si>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</si>
  <si>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</si>
  <si>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</si>
  <si>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</si>
  <si>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</si>
  <si>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</si>
  <si>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</si>
  <si>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</si>
  <si>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</si>
  <si>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</si>
  <si>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</si>
  <si>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</si>
  <si>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</si>
  <si>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</si>
  <si>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</si>
  <si>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</si>
  <si>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</si>
  <si>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</si>
  <si>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</si>
  <si>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</si>
  <si>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</si>
  <si>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</si>
  <si>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</si>
  <si>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</si>
  <si>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</si>
  <si>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</si>
  <si>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</si>
  <si>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</si>
  <si>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</si>
  <si>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</si>
  <si>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</si>
  <si>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</si>
  <si>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</si>
  <si>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</si>
  <si>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</si>
  <si>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</si>
  <si>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</si>
  <si>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</si>
  <si>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</si>
  <si>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</si>
  <si>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</si>
  <si>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</si>
  <si>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</si>
  <si>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</si>
  <si>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</si>
  <si>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</si>
  <si>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</si>
  <si>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</si>
  <si>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</si>
  <si>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</si>
  <si>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</si>
  <si>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</si>
  <si>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</si>
  <si>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</si>
  <si>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</si>
  <si>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</si>
  <si>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</si>
  <si>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</si>
  <si>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</si>
  <si>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</si>
  <si>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</si>
  <si>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</si>
  <si>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</si>
  <si>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</si>
  <si>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</si>
  <si>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</si>
  <si>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</si>
  <si>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</si>
  <si>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</si>
  <si>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</si>
  <si>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</si>
  <si>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</si>
  <si>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</si>
  <si>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</si>
  <si>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</si>
  <si>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</si>
  <si>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</si>
  <si>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</si>
  <si>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</si>
  <si>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</si>
  <si>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</si>
  <si>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</si>
  <si>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</si>
  <si>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</si>
  <si>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</si>
  <si>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</si>
  <si>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</si>
  <si>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</si>
  <si>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</si>
  <si>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</si>
  <si>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</si>
  <si>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</si>
  <si>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</si>
  <si>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</si>
  <si>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</si>
  <si>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</si>
  <si>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</si>
  <si>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</si>
  <si>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</si>
  <si>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</si>
  <si>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</si>
  <si>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</si>
  <si>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</si>
  <si>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</si>
  <si>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</si>
  <si>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</si>
  <si>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</si>
  <si>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</si>
  <si>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</si>
  <si>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</si>
  <si>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</si>
  <si>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</si>
  <si>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</si>
  <si>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</si>
  <si>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</si>
  <si>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</si>
  <si>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</si>
  <si>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</si>
  <si>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</si>
  <si>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</si>
  <si>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</si>
  <si>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</si>
  <si>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</si>
  <si>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</si>
  <si>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</si>
  <si>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</si>
  <si>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</si>
  <si>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</si>
  <si>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</si>
  <si>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</si>
  <si>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</si>
  <si>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</si>
  <si>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</si>
  <si>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</si>
  <si>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</si>
  <si>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</si>
  <si>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</si>
  <si>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</si>
  <si>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</si>
  <si>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</si>
  <si>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</si>
  <si>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</si>
  <si>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</si>
  <si>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</si>
  <si>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</si>
  <si>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</si>
  <si>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</si>
  <si>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</si>
  <si>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</si>
  <si>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</si>
  <si>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</si>
  <si>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</si>
  <si>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</si>
  <si>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</si>
  <si>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</si>
  <si>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</si>
  <si>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</si>
  <si>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</si>
  <si>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</si>
  <si>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</si>
  <si>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</si>
  <si>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</si>
  <si>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</si>
  <si>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</si>
  <si>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</si>
  <si>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</si>
  <si>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</si>
  <si>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</si>
  <si>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</si>
  <si>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</si>
  <si>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</si>
  <si>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</si>
  <si>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</si>
  <si>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</si>
  <si>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</si>
  <si>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</si>
  <si>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</si>
  <si>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</si>
  <si>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</si>
  <si>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</si>
  <si>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</si>
  <si>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</si>
  <si>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</si>
  <si>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</si>
  <si>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</si>
  <si>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</si>
  <si>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</si>
  <si>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</si>
  <si>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</si>
  <si>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</si>
  <si>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</si>
  <si>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</si>
  <si>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</si>
  <si>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</si>
  <si>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</si>
  <si>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</si>
  <si>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</si>
  <si>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</si>
  <si>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</si>
  <si>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</si>
  <si>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</si>
  <si>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</si>
  <si>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</si>
  <si>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</si>
  <si>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</si>
  <si>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</si>
  <si>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</si>
  <si>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</si>
  <si>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</si>
  <si>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</si>
  <si>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</si>
  <si>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</si>
  <si>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</si>
  <si>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</si>
  <si>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</si>
  <si>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</si>
  <si>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</si>
  <si>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</si>
  <si>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</si>
  <si>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</si>
  <si>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</si>
  <si>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</si>
  <si>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</si>
  <si>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</si>
  <si>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</si>
  <si>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</si>
  <si>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</si>
  <si>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</si>
  <si>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</si>
  <si>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</si>
  <si>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</si>
  <si>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</si>
  <si>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</si>
  <si>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</si>
  <si>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</si>
  <si>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</si>
  <si>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</si>
  <si>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</si>
  <si>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</si>
  <si>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</si>
  <si>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</si>
  <si>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</si>
  <si>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</si>
  <si>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</si>
  <si>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</si>
  <si>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</si>
  <si>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</si>
  <si>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</si>
  <si>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</si>
  <si>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</si>
  <si>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</si>
  <si>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</si>
  <si>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</si>
  <si>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</si>
  <si>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</si>
  <si>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</si>
  <si>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</si>
  <si>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</si>
  <si>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</si>
  <si>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</si>
  <si>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</si>
  <si>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</si>
  <si>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</si>
  <si>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</si>
  <si>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</si>
  <si>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</si>
  <si>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</si>
  <si>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</si>
  <si>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</si>
  <si>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</si>
  <si>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</si>
  <si>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</si>
  <si>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</si>
  <si>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</si>
  <si>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</si>
  <si>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</si>
  <si>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</si>
  <si>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</si>
  <si>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</si>
  <si>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</si>
  <si>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</si>
  <si>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</si>
  <si>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</si>
  <si>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</si>
  <si>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</si>
  <si>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</si>
  <si>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</si>
  <si>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</si>
  <si>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</si>
  <si>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</si>
  <si>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</si>
  <si>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</si>
  <si>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</si>
  <si>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</si>
  <si>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</si>
  <si>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</si>
  <si>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</si>
  <si>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</si>
  <si>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</si>
  <si>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</si>
  <si>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</si>
  <si>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</si>
  <si>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</si>
  <si>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</si>
  <si>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</si>
  <si>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</si>
  <si>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</si>
  <si>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</si>
  <si>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</si>
  <si>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</si>
  <si>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</si>
  <si>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</si>
  <si>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</si>
  <si>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</si>
  <si>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</si>
  <si>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</si>
  <si>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</si>
  <si>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</si>
  <si>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</si>
  <si>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</si>
  <si>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</si>
  <si>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</si>
  <si>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</si>
  <si>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</si>
  <si>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</si>
  <si>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</si>
  <si>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</si>
  <si>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</si>
  <si>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</si>
  <si>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</si>
  <si>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</si>
  <si>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</si>
  <si>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</si>
  <si>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</si>
  <si>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</si>
  <si>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</si>
  <si>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</si>
  <si>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</si>
  <si>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</si>
  <si>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</si>
  <si>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</si>
  <si>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</si>
  <si>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</si>
  <si>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</si>
  <si>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</si>
  <si>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</si>
  <si>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</si>
  <si>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</si>
  <si>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</si>
  <si>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</si>
  <si>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</si>
  <si>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</si>
  <si>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</si>
  <si>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</si>
  <si>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</si>
  <si>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</si>
  <si>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</si>
  <si>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</si>
  <si>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</si>
  <si>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</si>
  <si>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</si>
  <si>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</si>
  <si>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</si>
  <si>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</si>
  <si>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</si>
  <si>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</si>
  <si>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</si>
  <si>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</si>
  <si>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</si>
  <si>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</si>
  <si>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</si>
  <si>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</si>
  <si>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</si>
  <si>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</si>
  <si>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</si>
  <si>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</si>
  <si>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</si>
  <si>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</si>
  <si>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</si>
  <si>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</si>
  <si>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</si>
  <si>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</si>
  <si>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</si>
  <si>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</si>
  <si>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</si>
  <si>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</si>
  <si>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</si>
  <si>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</si>
  <si>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</si>
  <si>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</si>
  <si>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</si>
  <si>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</si>
  <si>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</si>
  <si>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</si>
  <si>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</si>
  <si>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</si>
  <si>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</si>
  <si>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</si>
  <si>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</si>
  <si>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</si>
  <si>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</si>
  <si>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</si>
  <si>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</si>
  <si>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</si>
  <si>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</si>
  <si>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</si>
  <si>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</si>
  <si>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</si>
  <si>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</si>
  <si>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</si>
  <si>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</si>
  <si>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</si>
  <si>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</si>
  <si>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</si>
  <si>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</si>
  <si>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</si>
  <si>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</si>
  <si>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</si>
  <si>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</si>
  <si>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</si>
  <si>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</si>
  <si>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</si>
  <si>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</si>
  <si>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</si>
  <si>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</si>
  <si>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</si>
  <si>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</si>
  <si>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</si>
  <si>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</si>
  <si>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</si>
  <si>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</si>
  <si>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</si>
  <si>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</si>
  <si>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</si>
  <si>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</si>
  <si>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</si>
  <si>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</si>
  <si>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</si>
  <si>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</si>
  <si>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</si>
  <si>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</si>
  <si>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</si>
  <si>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</si>
  <si>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</si>
  <si>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</si>
  <si>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</si>
  <si>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</si>
  <si>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</si>
  <si>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</si>
  <si>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</si>
  <si>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</si>
  <si>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</si>
  <si>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</si>
  <si>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</si>
  <si>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</si>
  <si>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</si>
  <si>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</si>
  <si>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</si>
  <si>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</si>
  <si>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</si>
  <si>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</si>
  <si>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</si>
  <si>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</si>
  <si>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</si>
  <si>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</si>
  <si>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</si>
  <si>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</si>
  <si>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</si>
  <si>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</si>
  <si>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</si>
  <si>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</si>
  <si>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</si>
  <si>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</si>
  <si>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</si>
  <si>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</si>
  <si>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</si>
  <si>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</si>
  <si>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</si>
  <si>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</si>
  <si>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</si>
  <si>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</si>
  <si>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</si>
  <si>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</si>
  <si>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</si>
  <si>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</si>
  <si>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</si>
  <si>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</si>
  <si>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</si>
  <si>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</si>
  <si>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</si>
  <si>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</si>
  <si>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</si>
  <si>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</si>
  <si>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</si>
  <si>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</si>
  <si>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</si>
  <si>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</si>
  <si>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</si>
  <si>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</si>
  <si>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</si>
  <si>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</si>
  <si>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</si>
  <si>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</si>
  <si>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</si>
  <si>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</si>
  <si>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</si>
  <si>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</si>
  <si>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</si>
  <si>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</si>
  <si>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</si>
  <si>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</si>
  <si>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</si>
  <si>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</si>
  <si>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</si>
  <si>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</si>
  <si>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</si>
  <si>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</si>
  <si>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</si>
  <si>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</si>
  <si>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</si>
  <si>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</si>
  <si>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</si>
  <si>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</si>
  <si>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</si>
  <si>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</si>
  <si>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</si>
  <si>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</si>
  <si>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</si>
  <si>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</si>
  <si>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</si>
  <si>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</si>
  <si>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</si>
  <si>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</si>
  <si>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</si>
  <si>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</si>
  <si>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</si>
  <si>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</si>
  <si>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</si>
  <si>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</si>
  <si>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</si>
  <si>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</si>
  <si>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</si>
  <si>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</si>
  <si>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</si>
  <si>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</si>
  <si>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</si>
  <si>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</si>
  <si>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</si>
  <si>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</si>
  <si>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</si>
  <si>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</si>
  <si>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</si>
  <si>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</si>
  <si>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</si>
  <si>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</si>
  <si>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</si>
  <si>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</si>
  <si>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</si>
  <si>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</si>
  <si>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</si>
  <si>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</si>
  <si>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</si>
  <si>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</si>
  <si>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</si>
  <si>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</si>
  <si>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</si>
  <si>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</si>
  <si>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</si>
  <si>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</si>
  <si>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</si>
  <si>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</si>
  <si>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</si>
  <si>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</si>
  <si>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</si>
  <si>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</si>
  <si>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</si>
  <si>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</si>
  <si>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</si>
  <si>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</si>
  <si>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</si>
  <si>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</si>
  <si>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</si>
  <si>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</si>
  <si>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</si>
  <si>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</si>
  <si>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</si>
  <si>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</si>
  <si>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</si>
  <si>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</si>
  <si>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</si>
  <si>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</si>
  <si>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</si>
  <si>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</si>
  <si>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</si>
  <si>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</si>
  <si>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</si>
  <si>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</si>
  <si>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</si>
  <si>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</si>
  <si>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</si>
  <si>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</si>
  <si>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</si>
  <si>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</si>
  <si>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</si>
  <si>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</si>
  <si>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</si>
  <si>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</si>
  <si>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</si>
  <si>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</si>
  <si>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</si>
  <si>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</si>
  <si>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</si>
  <si>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</si>
  <si>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</si>
  <si>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</si>
  <si>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</si>
  <si>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</si>
  <si>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</si>
  <si>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</si>
  <si>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</si>
  <si>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</si>
  <si>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</si>
  <si>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</si>
  <si>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</si>
  <si>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</si>
  <si>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</si>
  <si>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</si>
  <si>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</si>
  <si>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</si>
  <si>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</si>
  <si>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</si>
  <si>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</si>
  <si>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</si>
  <si>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</si>
  <si>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</si>
  <si>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</si>
  <si>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</si>
  <si>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</si>
  <si>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</si>
  <si>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</si>
  <si>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</si>
  <si>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</si>
  <si>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</si>
  <si>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</si>
  <si>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</si>
  <si>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</si>
  <si>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</si>
  <si>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</si>
  <si>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</si>
  <si>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</si>
  <si>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</si>
  <si>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</si>
  <si>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</si>
  <si>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</si>
  <si>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</si>
  <si>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</si>
  <si>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</si>
  <si>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</si>
  <si>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</si>
  <si>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</si>
  <si>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</si>
  <si>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</si>
  <si>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</si>
  <si>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</si>
  <si>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</si>
  <si>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</si>
  <si>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</si>
  <si>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</si>
  <si>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</si>
  <si>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</si>
  <si>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</si>
  <si>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</si>
  <si>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</si>
  <si>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</si>
  <si>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</si>
  <si>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</si>
  <si>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</si>
  <si>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</si>
  <si>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</si>
  <si>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</si>
  <si>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</si>
  <si>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</si>
  <si>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</si>
  <si>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</si>
  <si>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</si>
  <si>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</si>
  <si>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</si>
  <si>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</si>
  <si>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</si>
  <si>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</si>
  <si>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</si>
  <si>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</si>
  <si>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</si>
  <si>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</si>
  <si>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</si>
  <si>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</si>
  <si>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</si>
  <si>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</si>
  <si>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</si>
  <si>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</si>
  <si>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</si>
  <si>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</si>
  <si>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</si>
  <si>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</si>
  <si>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</si>
  <si>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</si>
  <si>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</si>
  <si>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</si>
  <si>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</si>
  <si>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</si>
  <si>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</si>
  <si>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</si>
  <si>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</si>
  <si>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</si>
  <si>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</si>
  <si>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</si>
  <si>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</si>
  <si>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</si>
  <si>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</si>
  <si>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</si>
  <si>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</si>
  <si>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</si>
  <si>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</si>
  <si>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</si>
  <si>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</si>
  <si>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</si>
  <si>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</si>
  <si>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</si>
  <si>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</si>
  <si>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</si>
  <si>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</si>
  <si>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</si>
  <si>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</si>
  <si>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</si>
  <si>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</si>
  <si>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</si>
  <si>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</si>
  <si>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</si>
  <si>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</si>
  <si>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</si>
  <si>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</si>
  <si>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</si>
  <si>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</si>
  <si>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</si>
  <si>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</si>
  <si>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</si>
  <si>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</si>
  <si>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</si>
  <si>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</si>
  <si>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</si>
  <si>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</si>
  <si>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</si>
  <si>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</si>
  <si>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</si>
  <si>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</si>
  <si>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</si>
  <si>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</si>
  <si>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</si>
  <si>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</si>
  <si>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</si>
  <si>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</si>
  <si>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</si>
  <si>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</si>
  <si>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</si>
  <si>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</si>
  <si>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</si>
  <si>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</si>
  <si>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</si>
  <si>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</si>
  <si>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</si>
  <si>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</si>
  <si>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</si>
  <si>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</si>
  <si>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</si>
  <si>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</si>
  <si>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</si>
  <si>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</si>
  <si>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</si>
  <si>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</si>
  <si>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</si>
  <si>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</si>
  <si>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</si>
  <si>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</si>
  <si>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</si>
  <si>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</si>
  <si>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</si>
  <si>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</si>
  <si>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</si>
  <si>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</si>
  <si>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</si>
  <si>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</si>
  <si>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</si>
  <si>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</si>
  <si>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</si>
  <si>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</si>
  <si>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</si>
  <si>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</si>
  <si>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</si>
  <si>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</si>
  <si>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</si>
  <si>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</si>
  <si>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</si>
  <si>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</si>
  <si>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</si>
  <si>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</si>
  <si>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</si>
  <si>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</si>
  <si>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</si>
  <si>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</si>
  <si>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</si>
  <si>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</si>
  <si>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</si>
  <si>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</si>
  <si>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</si>
  <si>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</si>
  <si>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</si>
  <si>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</si>
  <si>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</si>
  <si>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</si>
  <si>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</si>
  <si>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</si>
  <si>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</si>
  <si>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</si>
  <si>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</si>
  <si>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</si>
  <si>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</si>
  <si>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</si>
  <si>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</si>
  <si>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</si>
  <si>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</si>
  <si>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</si>
  <si>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</si>
  <si>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</si>
  <si>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</si>
  <si>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</si>
  <si>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</si>
  <si>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</si>
  <si>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</si>
  <si>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</si>
  <si>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</si>
  <si>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</si>
  <si>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</si>
  <si>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</si>
  <si>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</si>
  <si>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</si>
  <si>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</si>
  <si>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</si>
  <si>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</si>
  <si>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</si>
  <si>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</si>
  <si>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</si>
  <si>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</si>
  <si>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</si>
  <si>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</si>
  <si>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</si>
  <si>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</si>
  <si>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</si>
  <si>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</si>
  <si>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</si>
  <si>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</si>
  <si>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</si>
  <si>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</si>
  <si>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</si>
  <si>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</si>
  <si>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</si>
  <si>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</si>
  <si>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</si>
  <si>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</si>
  <si>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</si>
  <si>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</si>
  <si>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</si>
  <si>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</si>
  <si>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</si>
  <si>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</si>
  <si>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</si>
  <si>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</si>
  <si>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</si>
  <si>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</si>
  <si>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</si>
  <si>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</si>
  <si>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</si>
  <si>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</si>
  <si>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</si>
  <si>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</si>
  <si>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</si>
  <si>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</si>
  <si>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</si>
  <si>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</si>
  <si>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</si>
  <si>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</si>
  <si>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</si>
  <si>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</si>
  <si>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</si>
  <si>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</si>
  <si>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</si>
  <si>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</si>
  <si>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</si>
  <si>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</si>
  <si>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</si>
  <si>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</si>
  <si>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</si>
  <si>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</si>
  <si>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</si>
  <si>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</si>
  <si>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</si>
  <si>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</si>
  <si>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</si>
  <si>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</si>
  <si>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</si>
  <si>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</si>
  <si>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</si>
  <si>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</si>
  <si>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</si>
  <si>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</si>
  <si>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</si>
  <si>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</si>
  <si>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</si>
  <si>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</si>
  <si>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</si>
  <si>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</si>
  <si>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</si>
  <si>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</si>
  <si>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</si>
  <si>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</si>
  <si>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</si>
  <si>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</si>
  <si>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</si>
  <si>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</si>
  <si>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</si>
  <si>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</si>
  <si>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</si>
  <si>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</si>
  <si>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</si>
  <si>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</si>
  <si>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</si>
  <si>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</si>
  <si>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</si>
  <si>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</si>
  <si>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</si>
  <si>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</si>
  <si>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</si>
  <si>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</si>
  <si>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</si>
  <si>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</si>
  <si>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</si>
  <si>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</si>
  <si>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</si>
  <si>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</si>
  <si>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</si>
  <si>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</si>
  <si>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</si>
  <si>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</si>
  <si>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</si>
  <si>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</si>
  <si>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</si>
  <si>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</si>
  <si>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</si>
  <si>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</si>
  <si>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</si>
  <si>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</si>
  <si>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</si>
  <si>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</si>
  <si>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</si>
  <si>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</si>
  <si>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</si>
  <si>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</si>
  <si>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</si>
  <si>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</si>
  <si>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</si>
  <si>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</si>
  <si>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</si>
  <si>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</si>
  <si>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</si>
  <si>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</si>
  <si>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</si>
  <si>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</si>
  <si>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</si>
  <si>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</si>
  <si>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</si>
  <si>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</si>
  <si>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</si>
  <si>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</si>
  <si>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</si>
  <si>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</si>
  <si>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</si>
  <si>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</si>
  <si>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</si>
  <si>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</si>
  <si>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</si>
  <si>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</si>
  <si>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</si>
  <si>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</si>
  <si>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</si>
  <si>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</si>
  <si>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</si>
  <si>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</si>
  <si>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</si>
  <si>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</si>
  <si>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</si>
  <si>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</si>
  <si>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</si>
  <si>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</si>
  <si>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</si>
  <si>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</si>
  <si>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</si>
  <si>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</si>
  <si>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</si>
  <si>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</si>
  <si>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</si>
  <si>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</si>
  <si>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</si>
  <si>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</si>
  <si>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</si>
  <si>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</si>
  <si>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</si>
  <si>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</si>
  <si>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</si>
  <si>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</si>
  <si>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</si>
  <si>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</si>
  <si>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</si>
  <si>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</si>
  <si>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</si>
  <si>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</si>
  <si>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</si>
  <si>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</si>
  <si>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</si>
  <si>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</si>
  <si>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</si>
  <si>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</si>
  <si>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</si>
  <si>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</si>
  <si>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</si>
  <si>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</si>
  <si>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</si>
  <si>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</si>
  <si>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</si>
  <si>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</si>
  <si>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</si>
  <si>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</si>
  <si>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</si>
  <si>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</si>
  <si>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</si>
  <si>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</si>
  <si>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</si>
  <si>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</si>
  <si>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</si>
  <si>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</si>
  <si>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</si>
  <si>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</si>
  <si>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</si>
  <si>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</si>
  <si>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</si>
  <si>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</si>
  <si>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</si>
  <si>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</si>
  <si>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</si>
  <si>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</si>
  <si>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</si>
  <si>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</si>
  <si>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</si>
  <si>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</si>
  <si>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</si>
  <si>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</si>
  <si>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</si>
  <si>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</si>
  <si>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</si>
  <si>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</si>
  <si>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</si>
  <si>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</si>
  <si>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</si>
  <si>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</si>
  <si>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</si>
  <si>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</si>
  <si>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</si>
  <si>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</si>
  <si>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</si>
  <si>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</si>
  <si>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</si>
  <si>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</si>
  <si>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</si>
  <si>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</si>
  <si>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</si>
  <si>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</si>
  <si>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</si>
  <si>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</si>
  <si>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</si>
  <si>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</si>
  <si>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</si>
  <si>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</si>
  <si>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</si>
  <si>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</si>
  <si>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</si>
  <si>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</si>
  <si>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</si>
  <si>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</si>
  <si>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</si>
  <si>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</si>
  <si>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</si>
  <si>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</si>
  <si>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</si>
  <si>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</si>
  <si>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</si>
  <si>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</si>
  <si>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</si>
  <si>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</si>
  <si>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</si>
  <si>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</si>
  <si>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</si>
  <si>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</si>
  <si>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</si>
  <si>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</si>
  <si>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</si>
  <si>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</si>
  <si>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</si>
  <si>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</si>
  <si>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</si>
  <si>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</si>
  <si>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</si>
  <si>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</si>
  <si>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</si>
  <si>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</si>
  <si>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</si>
  <si>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</si>
  <si>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</si>
  <si>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</si>
  <si>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</si>
  <si>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</si>
  <si>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</si>
  <si>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</si>
  <si>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</si>
  <si>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</si>
  <si>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</si>
  <si>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</si>
  <si>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</si>
  <si>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</si>
  <si>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</si>
  <si>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</si>
  <si>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</si>
  <si>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</si>
  <si>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</si>
  <si>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</si>
  <si>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</si>
  <si>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</si>
  <si>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</si>
  <si>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</si>
  <si>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</si>
  <si>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</si>
  <si>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</si>
  <si>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</si>
  <si>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</si>
  <si>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</si>
  <si>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</si>
  <si>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</si>
  <si>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</si>
  <si>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</si>
  <si>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</si>
  <si>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</si>
  <si>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</si>
  <si>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</si>
  <si>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</si>
  <si>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</si>
  <si>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</si>
  <si>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</si>
  <si>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</si>
  <si>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</si>
  <si>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</si>
  <si>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</si>
  <si>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</si>
  <si>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</si>
  <si>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</si>
  <si>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</si>
  <si>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</si>
  <si>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</si>
  <si>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</si>
  <si>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</si>
  <si>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</si>
  <si>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</si>
  <si>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</si>
  <si>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</si>
  <si>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</si>
  <si>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</si>
  <si>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</si>
  <si>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</si>
  <si>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</si>
  <si>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</si>
  <si>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</si>
  <si>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</si>
  <si>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</si>
  <si>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</si>
  <si>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</si>
  <si>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</si>
  <si>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</si>
  <si>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</si>
  <si>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</si>
  <si>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</si>
  <si>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</si>
  <si>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</si>
  <si>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</si>
  <si>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</si>
  <si>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</si>
  <si>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</si>
  <si>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</si>
  <si>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</si>
  <si>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</si>
  <si>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</si>
  <si>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</si>
  <si>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</si>
  <si>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</si>
  <si>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</si>
  <si>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</si>
  <si>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</si>
  <si>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</si>
  <si>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</si>
  <si>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</si>
  <si>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</si>
  <si>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</si>
  <si>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</si>
  <si>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</si>
  <si>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</si>
  <si>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</si>
  <si>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</si>
  <si>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</si>
  <si>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</si>
  <si>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</si>
  <si>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</si>
  <si>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</si>
  <si>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</si>
  <si>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</si>
  <si>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</si>
  <si>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</si>
  <si>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</si>
  <si>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</si>
  <si>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</si>
  <si>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</si>
  <si>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</si>
  <si>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</si>
  <si>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</si>
  <si>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</si>
  <si>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</si>
  <si>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</si>
  <si>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</si>
  <si>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</si>
  <si>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</si>
  <si>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</si>
  <si>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</si>
  <si>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</si>
  <si>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</si>
  <si>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</si>
  <si>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</si>
  <si>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</si>
  <si>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</si>
  <si>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</si>
  <si>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</si>
  <si>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</si>
  <si>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</si>
  <si>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</si>
  <si>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</si>
  <si>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</si>
  <si>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</si>
  <si>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</si>
  <si>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</si>
  <si>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</si>
  <si>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</si>
  <si>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</si>
  <si>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</si>
  <si>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</si>
  <si>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小</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</si>
  <si>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</si>
  <si>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</si>
  <si>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</si>
  <si>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</si>
  <si>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</si>
  <si>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</si>
  <si>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</si>
  <si>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</si>
  <si>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</si>
  <si>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</si>
  <si>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</si>
  <si>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</si>
  <si>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</si>
  <si>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</si>
  <si>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</si>
  <si>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</si>
  <si>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</si>
  <si>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</si>
  <si>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</si>
  <si>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</si>
  <si>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</si>
  <si>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</si>
  <si>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</si>
  <si>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</si>
  <si>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</si>
  <si>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</si>
  <si>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</si>
  <si>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</si>
  <si>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</si>
  <si>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</si>
  <si>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</si>
  <si>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</si>
  <si>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</si>
  <si>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</si>
  <si>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</si>
  <si>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</si>
  <si>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</si>
  <si>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</si>
  <si>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</si>
  <si>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</si>
  <si>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</si>
  <si>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</si>
  <si>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</si>
  <si>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</si>
  <si>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</si>
  <si>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</si>
  <si>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</si>
  <si>
    <t>规则</t>
    <phoneticPr fontId="26" type="noConversion"/>
  </si>
  <si>
    <t>较好</t>
    <phoneticPr fontId="21" type="noConversion"/>
  </si>
  <si>
    <t>较好</t>
    <phoneticPr fontId="21" type="noConversion"/>
  </si>
  <si>
    <t>六通</t>
    <phoneticPr fontId="21" type="noConversion"/>
  </si>
  <si>
    <t>支路</t>
  </si>
  <si>
    <t>新民东路</t>
    <phoneticPr fontId="26" type="noConversion"/>
  </si>
  <si>
    <t>淮海北路</t>
    <phoneticPr fontId="26" type="noConversion"/>
  </si>
  <si>
    <t>主干道</t>
  </si>
  <si>
    <t>延安东路</t>
    <phoneticPr fontId="26" type="noConversion"/>
  </si>
  <si>
    <t>延安东路</t>
    <phoneticPr fontId="26" type="noConversion"/>
  </si>
  <si>
    <t>支路</t>
    <phoneticPr fontId="21" type="noConversion"/>
  </si>
  <si>
    <t>次干道</t>
    <phoneticPr fontId="21" type="noConversion"/>
  </si>
  <si>
    <t>主干道</t>
    <phoneticPr fontId="21" type="noConversion"/>
  </si>
  <si>
    <t>主干道</t>
    <phoneticPr fontId="21" type="noConversion"/>
  </si>
  <si>
    <r>
      <rPr>
        <sz val="11"/>
        <color theme="9" tint="-0.249977111117893"/>
        <rFont val="宋体"/>
        <family val="3"/>
        <charset val="134"/>
      </rPr>
      <t>新民东路</t>
    </r>
    <r>
      <rPr>
        <sz val="11"/>
        <color theme="9" tint="-0.249977111117893"/>
        <rFont val="Arial"/>
        <family val="2"/>
      </rPr>
      <t>-</t>
    </r>
    <r>
      <rPr>
        <sz val="11"/>
        <color theme="9" tint="-0.249977111117893"/>
        <rFont val="宋体"/>
        <family val="3"/>
        <charset val="134"/>
      </rPr>
      <t>支路</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</si>
</sst>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4"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7"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176" fontId="11" fillId="17" borderId="2" xfId="0" applyNumberFormat="1" applyFont="1" applyFill="1" applyBorder="1" applyAlignment="1" applyProtection="1">
      <alignment vertical="center" wrapText="1"/>
      <protection locked="0"/>
    </xf>
    <xf numFmtId="0" fontId="75" fillId="17" borderId="57" xfId="0" applyFont="1" applyFill="1" applyBorder="1" applyAlignment="1" applyProtection="1">
      <alignment horizontal="left" vertical="center" wrapText="1"/>
    </xf>
    <xf numFmtId="9" fontId="71" fillId="17" borderId="64" xfId="0" applyNumberFormat="1"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xf>
    <xf numFmtId="0" fontId="52" fillId="17" borderId="2" xfId="0" applyFont="1" applyFill="1" applyBorder="1" applyAlignment="1" applyProtection="1">
      <alignment horizontal="center" vertical="center" wrapText="1"/>
    </xf>
    <xf numFmtId="0" fontId="52" fillId="17" borderId="44" xfId="0" applyFont="1" applyFill="1" applyBorder="1" applyAlignment="1" applyProtection="1">
      <alignment horizontal="center" vertical="center" wrapText="1"/>
    </xf>
    <xf numFmtId="0" fontId="75" fillId="17" borderId="16" xfId="0" applyFont="1" applyFill="1" applyBorder="1" applyAlignment="1" applyProtection="1">
      <alignment horizontal="left" vertical="center" wrapText="1"/>
    </xf>
    <xf numFmtId="0" fontId="247" fillId="17" borderId="24" xfId="0" applyFont="1" applyFill="1" applyBorder="1" applyAlignment="1" applyProtection="1">
      <alignment vertical="center" wrapText="1"/>
    </xf>
    <xf numFmtId="0" fontId="98" fillId="17" borderId="0" xfId="0" applyFont="1" applyFill="1" applyAlignment="1" applyProtection="1">
      <alignment vertical="center"/>
      <protection locked="0"/>
    </xf>
    <xf numFmtId="183" fontId="78" fillId="17" borderId="2" xfId="0" applyNumberFormat="1" applyFont="1" applyFill="1" applyBorder="1" applyAlignment="1" applyProtection="1">
      <alignment horizontal="center" vertical="center" shrinkToFit="1"/>
      <protection locked="0"/>
    </xf>
    <xf numFmtId="0" fontId="71" fillId="17" borderId="5" xfId="0" applyFont="1" applyFill="1" applyBorder="1" applyAlignment="1" applyProtection="1">
      <alignment horizontal="center" vertical="center" wrapText="1"/>
    </xf>
    <xf numFmtId="189" fontId="86" fillId="17"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9" fontId="274" fillId="0" borderId="7" xfId="0" applyNumberFormat="1" applyFont="1" applyFill="1" applyBorder="1" applyAlignment="1" applyProtection="1">
      <alignment horizontal="center" vertical="center" wrapText="1"/>
      <protection locked="0"/>
    </xf>
    <xf numFmtId="49" fontId="274" fillId="0" borderId="12" xfId="0" applyNumberFormat="1" applyFont="1" applyFill="1" applyBorder="1" applyAlignment="1" applyProtection="1">
      <alignment horizontal="center" vertical="center" wrapText="1"/>
      <protection locked="0"/>
    </xf>
    <xf numFmtId="0" fontId="274"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2654</v>
      </c>
      <c r="B1" s="2845" t="s">
        <v>2751</v>
      </c>
    </row>
    <row r="2" spans="1:55" s="2849" customFormat="1" ht="15" thickTop="1">
      <c r="A2" s="2847" t="s">
        <v>2658</v>
      </c>
      <c r="B2" s="2848" t="str">
        <f>'预评函-封皮'!B37</f>
        <v>出让国有建设用地使用权预评估</v>
      </c>
      <c r="AX2" s="2850"/>
      <c r="AZ2" s="2850"/>
      <c r="BA2" s="2851"/>
      <c r="BC2" s="2851"/>
    </row>
    <row r="3" spans="1:55" s="2852" customFormat="1">
      <c r="A3" s="2831" t="s">
        <v>2659</v>
      </c>
      <c r="B3" s="2834">
        <f>'预评函-封皮'!B40</f>
        <v>0</v>
      </c>
    </row>
    <row r="4" spans="1:55" s="2833" customFormat="1">
      <c r="A4" s="2831" t="s">
        <v>2660</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2661</v>
      </c>
      <c r="B5" s="2854" t="str">
        <f>'预评函-封皮'!B49</f>
        <v>康正预评字号</v>
      </c>
    </row>
    <row r="6" spans="1:55" s="2855" customFormat="1" ht="15" thickTop="1">
      <c r="A6" s="2847" t="s">
        <v>2703</v>
      </c>
      <c r="B6" s="2848" t="str">
        <f>'预评函-1'!A4</f>
        <v>受贵公司委托，我公司对出让国有建设用地使用权进行了预评估。</v>
      </c>
      <c r="AM6" s="2856"/>
    </row>
    <row r="7" spans="1:55" s="2830" customFormat="1">
      <c r="A7" s="2831" t="s">
        <v>2655</v>
      </c>
      <c r="B7" s="2832" t="str">
        <f>'预评函-1'!A6</f>
        <v>估价对象为使用的、位于出让国有建设用地使用权。根据《国有土地使用证》[]，估价对象（分摊）出让国有建设用地使用权面积为71994.8平方米。根据《建设工程规划许可证》[]、《出让合同》[]，估价对象规划建筑面积为321749.1平方米。</v>
      </c>
    </row>
    <row r="8" spans="1:55" s="2830" customFormat="1">
      <c r="A8" s="2831" t="s">
        <v>2656</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2706</v>
      </c>
      <c r="B9" s="2832" t="str">
        <f>'预评函-1'!A9</f>
        <v>本次评估为委托估价方了解标的物之市场价格提供参考依据而评估出让国有建设用地使用权市场价格。</v>
      </c>
    </row>
    <row r="10" spans="1:55" s="2830" customFormat="1">
      <c r="A10" s="2831" t="s">
        <v>2657</v>
      </c>
      <c r="B10" s="2832" t="str">
        <f>'预评函-1'!A11</f>
        <v>2019年6月12日（评估专业人员勘察现场之日）</v>
      </c>
    </row>
    <row r="11" spans="1:55" s="2830" customFormat="1">
      <c r="A11" s="2831" t="s">
        <v>2663</v>
      </c>
      <c r="B11" s="2832" t="str">
        <f>'预评函-1'!A14</f>
        <v>根据《国有土地使用证》[]，本次评估估价对象证载（地类）用途为。</v>
      </c>
    </row>
    <row r="12" spans="1:55" s="2830" customFormat="1">
      <c r="A12" s="2831" t="s">
        <v>2664</v>
      </c>
      <c r="B12" s="2832" t="str">
        <f>'预评函-1'!A15</f>
        <v>本次评估设定用途即为证载用途。</v>
      </c>
    </row>
    <row r="13" spans="1:55" s="2830" customFormat="1">
      <c r="A13" s="2831" t="s">
        <v>2665</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2666</v>
      </c>
      <c r="B14" s="2832" t="str">
        <f>'预评函-1'!A18</f>
        <v>。本次评估设定土地开发程度为红线外市政基础设施达“七通”、宗地红线内场地平整。</v>
      </c>
    </row>
    <row r="15" spans="1:55" s="2830" customFormat="1">
      <c r="A15" s="2831" t="s">
        <v>2662</v>
      </c>
      <c r="B15" s="2832" t="str">
        <f>'预评函-1'!A20</f>
        <v>根据《国有土地使用证》[]，估价对象（分摊）出让国有建设用地使用权面积为71994.8平方米。根据《建设工程规划许可证》[]、《出让合同》[]，估价对象规划建筑面积为321749.1平方米。</v>
      </c>
    </row>
    <row r="16" spans="1:55" s="2830" customFormat="1">
      <c r="A16" s="2831" t="s">
        <v>2667</v>
      </c>
      <c r="B16" s="2832" t="str">
        <f>'预评函-1'!A22</f>
        <v>本次估价对象为出让国有建设用地使用权，《国有土地使用证》[]证载土地终止日期为住宅2086年9月25日、商业2056年9月25日车库2066年9月25日。截至估价期日，出让国有建设用地使用权剩余土地使用年限为。</v>
      </c>
    </row>
    <row r="17" spans="1:48" s="2830" customFormat="1">
      <c r="A17" s="2831" t="s">
        <v>2668</v>
      </c>
      <c r="B17" s="2832" t="str">
        <f>'预评函-1'!A23</f>
        <v>本次评估设定估价对象剩余土地使用年限为。</v>
      </c>
    </row>
    <row r="18" spans="1:48" s="2830" customFormat="1">
      <c r="A18" s="2831" t="s">
        <v>2669</v>
      </c>
      <c r="B18" s="2832"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0" customFormat="1">
      <c r="A19" s="2831" t="s">
        <v>2670</v>
      </c>
      <c r="B19" s="283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0" customFormat="1">
      <c r="A20" s="2831" t="s">
        <v>2671</v>
      </c>
      <c r="B20" s="2832" t="str">
        <f>'预评函-1'!A27</f>
        <v>——</v>
      </c>
    </row>
    <row r="21" spans="1:48" s="2846" customFormat="1" ht="15" thickBot="1">
      <c r="A21" s="2853" t="s">
        <v>2672</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2673</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2674</v>
      </c>
      <c r="B23" s="2832" t="str">
        <f>'预评函-2'!K2</f>
        <v>估价期日：2019年6月12日</v>
      </c>
    </row>
    <row r="24" spans="1:48">
      <c r="A24" s="2831" t="s">
        <v>2675</v>
      </c>
      <c r="B24" s="2832" t="str">
        <f>'预评函-2'!R2</f>
        <v>估价期日的国有建设用地使用权性质：出让</v>
      </c>
    </row>
    <row r="25" spans="1:48">
      <c r="A25" s="2831" t="s">
        <v>2731</v>
      </c>
      <c r="B25" s="2832" t="str">
        <f>'预评函-2'!A3</f>
        <v>估价期日土地使用者</v>
      </c>
    </row>
    <row r="26" spans="1:48">
      <c r="A26" s="2831" t="s">
        <v>2707</v>
      </c>
      <c r="B26" s="2832" t="str">
        <f>'预评函-2'!A5</f>
        <v>中信开发</v>
      </c>
    </row>
    <row r="27" spans="1:48">
      <c r="A27" s="2831" t="s">
        <v>2732</v>
      </c>
      <c r="B27" s="2832" t="str">
        <f>'预评函-2'!B3</f>
        <v>宗地编号/不动产单元号</v>
      </c>
    </row>
    <row r="28" spans="1:48">
      <c r="A28" s="2831" t="s">
        <v>2708</v>
      </c>
      <c r="B28" s="2832" t="str">
        <f>'预评函-2'!B5</f>
        <v>11111111111</v>
      </c>
    </row>
    <row r="29" spans="1:48">
      <c r="A29" s="2831" t="s">
        <v>2734</v>
      </c>
      <c r="B29" s="2832">
        <f>'预评函-2'!C5</f>
        <v>22</v>
      </c>
    </row>
    <row r="30" spans="1:48">
      <c r="A30" s="2831" t="s">
        <v>2735</v>
      </c>
      <c r="B30" s="2832" t="str">
        <f>'预评函-2'!D3</f>
        <v>土地使用证编号/不动产权证书编号</v>
      </c>
    </row>
    <row r="31" spans="1:48">
      <c r="A31" s="2831" t="s">
        <v>2709</v>
      </c>
      <c r="B31" s="2832" t="str">
        <f>'预评函-2'!D5</f>
        <v>京国土字第111号</v>
      </c>
    </row>
    <row r="32" spans="1:48">
      <c r="A32" s="2831" t="s">
        <v>2710</v>
      </c>
      <c r="B32" s="2832">
        <f>'预评函-2'!E5</f>
        <v>0</v>
      </c>
      <c r="AV32" s="2836"/>
    </row>
    <row r="33" spans="1:2">
      <c r="A33" s="2831" t="s">
        <v>2711</v>
      </c>
      <c r="B33" s="2832">
        <f>'预评函-2'!F5</f>
        <v>258</v>
      </c>
    </row>
    <row r="34" spans="1:2">
      <c r="A34" s="2831" t="s">
        <v>2712</v>
      </c>
      <c r="B34" s="2832">
        <f>'预评函-2'!G5</f>
        <v>0</v>
      </c>
    </row>
    <row r="35" spans="1:2">
      <c r="A35" s="2831" t="s">
        <v>2713</v>
      </c>
      <c r="B35" s="2832">
        <f>'预评函-2'!H5</f>
        <v>1.5</v>
      </c>
    </row>
    <row r="36" spans="1:2">
      <c r="A36" s="2831" t="s">
        <v>2714</v>
      </c>
      <c r="B36" s="2832">
        <f>'预评函-2'!I5</f>
        <v>1.5</v>
      </c>
    </row>
    <row r="37" spans="1:2">
      <c r="A37" s="2831" t="s">
        <v>2715</v>
      </c>
      <c r="B37" s="2832">
        <f>'预评函-2'!J5</f>
        <v>1.5</v>
      </c>
    </row>
    <row r="38" spans="1:2">
      <c r="A38" s="2831" t="s">
        <v>2716</v>
      </c>
      <c r="B38" s="2832" t="str">
        <f>'预评函-2'!K5</f>
        <v>红线外七通、宗地红线内</v>
      </c>
    </row>
    <row r="39" spans="1:2">
      <c r="A39" s="2831" t="s">
        <v>2717</v>
      </c>
      <c r="B39" s="2832" t="str">
        <f>'预评函-2'!L5</f>
        <v>红线外七通、宗地红线内场地</v>
      </c>
    </row>
    <row r="40" spans="1:2">
      <c r="A40" s="2831" t="s">
        <v>2736</v>
      </c>
      <c r="B40" s="2832" t="str">
        <f>'预评函-2'!M3</f>
        <v>（剩余）土地使用年限/年</v>
      </c>
    </row>
    <row r="41" spans="1:2">
      <c r="A41" s="2831" t="s">
        <v>2718</v>
      </c>
      <c r="B41" s="2832">
        <f>'预评函-2'!M5</f>
        <v>0</v>
      </c>
    </row>
    <row r="42" spans="1:2">
      <c r="A42" s="2831" t="s">
        <v>2737</v>
      </c>
      <c r="B42" s="2832" t="str">
        <f>'预评函-2'!N3</f>
        <v>（分摊）出让国有建设用地使用权面积/㎡</v>
      </c>
    </row>
    <row r="43" spans="1:2">
      <c r="A43" s="2831" t="s">
        <v>2719</v>
      </c>
      <c r="B43" s="2832">
        <f>'预评函-2'!N5</f>
        <v>71994.8</v>
      </c>
    </row>
    <row r="44" spans="1:2">
      <c r="A44" s="2831" t="s">
        <v>2738</v>
      </c>
      <c r="B44" s="2832" t="str">
        <f>'预评函-2'!O3</f>
        <v>规划建筑面积/㎡</v>
      </c>
    </row>
    <row r="45" spans="1:2">
      <c r="A45" s="2831" t="s">
        <v>2720</v>
      </c>
      <c r="B45" s="2832">
        <f>'预评函-2'!O5</f>
        <v>321749.09999999998</v>
      </c>
    </row>
    <row r="46" spans="1:2">
      <c r="A46" s="2831" t="s">
        <v>2721</v>
      </c>
      <c r="B46" s="2832">
        <f ca="1">'预评函-2'!P5</f>
        <v>10629</v>
      </c>
    </row>
    <row r="47" spans="1:2">
      <c r="A47" s="2831" t="s">
        <v>2722</v>
      </c>
      <c r="B47" s="2832">
        <f ca="1">'预评函-2'!Q5</f>
        <v>2378</v>
      </c>
    </row>
    <row r="48" spans="1:2">
      <c r="A48" s="2831" t="s">
        <v>2723</v>
      </c>
      <c r="B48" s="2832">
        <f ca="1">'预评函-2'!R5</f>
        <v>76521</v>
      </c>
    </row>
    <row r="49" spans="1:2">
      <c r="A49" s="2831" t="s">
        <v>2739</v>
      </c>
      <c r="B49" s="2832" t="str">
        <f>'预评函-2'!A6</f>
        <v>抵押价格</v>
      </c>
    </row>
    <row r="50" spans="1:2">
      <c r="A50" s="2831" t="s">
        <v>2724</v>
      </c>
      <c r="B50" s="2832" t="str">
        <f>'预评函-2'!R6</f>
        <v>——</v>
      </c>
    </row>
    <row r="51" spans="1:2">
      <c r="A51" s="2831" t="s">
        <v>2740</v>
      </c>
      <c r="B51" s="2832" t="str">
        <f>'预评函-2'!A7</f>
        <v>——</v>
      </c>
    </row>
    <row r="52" spans="1:2">
      <c r="A52" s="2831" t="s">
        <v>2725</v>
      </c>
      <c r="B52" s="2832" t="str">
        <f>'预评函-2'!R7</f>
        <v>——</v>
      </c>
    </row>
    <row r="53" spans="1:2">
      <c r="A53" s="2831" t="s">
        <v>2741</v>
      </c>
      <c r="B53" s="2832">
        <f>'预评函-2'!A8</f>
        <v>0</v>
      </c>
    </row>
    <row r="54" spans="1:2" s="2846" customFormat="1" ht="15" thickBot="1">
      <c r="A54" s="2853" t="s">
        <v>2726</v>
      </c>
      <c r="B54" s="2854" t="str">
        <f>'预评函-2'!R8</f>
        <v>——</v>
      </c>
    </row>
    <row r="55" spans="1:2" ht="15" thickTop="1">
      <c r="A55" s="2842" t="s">
        <v>2676</v>
      </c>
      <c r="B55" s="2843" t="str">
        <f>'预评函-3'!A2</f>
        <v>1.权利限制：根据估价对象《不动产权证书》原件、《国有土地使用权》复印件，截至估价期日，估价对象抵押权未见登记。未设定租赁等其他他项权利。</v>
      </c>
    </row>
    <row r="56" spans="1:2">
      <c r="A56" s="2831" t="s">
        <v>2677</v>
      </c>
      <c r="B56" s="2832" t="str">
        <f>'预评函-3'!A3</f>
        <v>2.基础设施条件：估价对象实际开发程度为红线外七通、宗地红线内；本次评估设定开发程度为红线外七通、宗地红线内场地。</v>
      </c>
    </row>
    <row r="57" spans="1:2">
      <c r="A57" s="2831" t="s">
        <v>2678</v>
      </c>
      <c r="B57" s="2832" t="str">
        <f>'预评函-3'!A4</f>
        <v>3.估价规划限制条件：详见《建设工程规划许可证》[]、《出让合同》[]。</v>
      </c>
    </row>
    <row r="58" spans="1:2" s="2846" customFormat="1" ht="15" thickBot="1">
      <c r="A58" s="2853" t="s">
        <v>2727</v>
      </c>
      <c r="B58" s="2854" t="str">
        <f>'预评函-3'!A5</f>
        <v>4.影响价格的其他限定条件：无。</v>
      </c>
    </row>
    <row r="59" spans="1:2" ht="15" thickTop="1">
      <c r="A59" s="2842" t="s">
        <v>2679</v>
      </c>
      <c r="B59" s="2843" t="str">
        <f>'预评函-3'!A8</f>
        <v>2.本次评估设定估价对象宗地权属无争议，未被查封或者以其他形式限制其房地产权利，未设定抵押权等他项权利，不涉及第三方权利义务。</v>
      </c>
    </row>
    <row r="60" spans="1:2">
      <c r="A60" s="2831" t="s">
        <v>2680</v>
      </c>
      <c r="B60" s="2832" t="str">
        <f>'预评函-3'!A9</f>
        <v>——</v>
      </c>
    </row>
    <row r="61" spans="1:2">
      <c r="A61" s="2831" t="s">
        <v>2682</v>
      </c>
      <c r="B61" s="2832" t="str">
        <f>'预评函-3'!A10</f>
        <v>——</v>
      </c>
    </row>
    <row r="62" spans="1:2">
      <c r="A62" s="2831" t="s">
        <v>2681</v>
      </c>
      <c r="B62" s="2832" t="str">
        <f>'预评函-3'!A11</f>
        <v>——</v>
      </c>
    </row>
    <row r="63" spans="1:2">
      <c r="A63" s="2831" t="s">
        <v>2683</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2684</v>
      </c>
      <c r="B64" s="2837" t="str">
        <f>'预评函-3'!A13</f>
        <v>（3）。</v>
      </c>
    </row>
    <row r="65" spans="1:2">
      <c r="A65" s="2831" t="s">
        <v>2685</v>
      </c>
      <c r="B65" s="2838" t="str">
        <f>'预评函-3'!A14</f>
        <v>——</v>
      </c>
    </row>
    <row r="66" spans="1:2">
      <c r="A66" s="2831" t="s">
        <v>2686</v>
      </c>
      <c r="B66" s="283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2687</v>
      </c>
      <c r="B67" s="283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2690</v>
      </c>
      <c r="B68" s="2857">
        <f>'预评函-3'!D30</f>
        <v>42558</v>
      </c>
    </row>
    <row r="69" spans="1:2" ht="15" thickTop="1">
      <c r="A69" s="2842" t="s">
        <v>2688</v>
      </c>
      <c r="B69" s="2843" t="str">
        <f>'预评函-3'!A20</f>
        <v>土地估价师</v>
      </c>
    </row>
    <row r="70" spans="1:2">
      <c r="A70" s="2831" t="s">
        <v>2688</v>
      </c>
      <c r="B70" s="2838">
        <f>'预评函-3'!B20</f>
        <v>0</v>
      </c>
    </row>
    <row r="71" spans="1:2">
      <c r="A71" s="2831" t="s">
        <v>2689</v>
      </c>
      <c r="B71" s="2832" t="str">
        <f>'预评函-3'!A21</f>
        <v>土地估价师</v>
      </c>
    </row>
    <row r="72" spans="1:2" s="2846" customFormat="1" ht="15" thickBot="1">
      <c r="A72" s="2853" t="s">
        <v>2689</v>
      </c>
      <c r="B72" s="2859">
        <f>'预评函-3'!B21</f>
        <v>0</v>
      </c>
    </row>
    <row r="73" spans="1:2" ht="15" thickTop="1">
      <c r="A73" s="2842" t="s">
        <v>2748</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2749</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2750</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2785</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1900</v>
      </c>
      <c r="B36" s="1638" t="s">
        <v>1901</v>
      </c>
    </row>
    <row r="37" spans="1:9" ht="28.5" customHeight="1">
      <c r="A37" s="1638"/>
      <c r="B37" s="3227" t="str">
        <f>项目基本情况!B1</f>
        <v>出让国有建设用地使用权预评估</v>
      </c>
      <c r="C37" s="3227"/>
      <c r="D37" s="3227"/>
      <c r="E37" s="3227"/>
      <c r="F37" s="3227"/>
      <c r="G37" s="3227"/>
      <c r="H37" s="3227"/>
      <c r="I37" s="3227"/>
    </row>
    <row r="38" spans="1:9">
      <c r="A38" s="1640"/>
      <c r="B38" s="1640"/>
    </row>
    <row r="39" spans="1:9">
      <c r="A39" s="1638" t="s">
        <v>1900</v>
      </c>
      <c r="B39" s="1638" t="s">
        <v>2045</v>
      </c>
    </row>
    <row r="40" spans="1:9">
      <c r="A40" s="1638"/>
      <c r="B40" s="1638">
        <f>项目基本情况!B5</f>
        <v>0</v>
      </c>
    </row>
    <row r="41" spans="1:9">
      <c r="A41" s="1638"/>
      <c r="B41" s="1638"/>
    </row>
    <row r="42" spans="1:9">
      <c r="A42" s="1638" t="s">
        <v>1900</v>
      </c>
      <c r="B42" s="1638" t="s">
        <v>2046</v>
      </c>
    </row>
    <row r="43" spans="1:9">
      <c r="A43" s="1638"/>
      <c r="B43" s="1638" t="s">
        <v>1902</v>
      </c>
    </row>
    <row r="44" spans="1:9">
      <c r="A44" s="1638"/>
      <c r="B44" s="1638"/>
    </row>
    <row r="45" spans="1:9">
      <c r="A45" s="1638" t="s">
        <v>1900</v>
      </c>
      <c r="B45" s="1638" t="s">
        <v>2044</v>
      </c>
    </row>
    <row r="46" spans="1:9" s="1638" customFormat="1" ht="12.75">
      <c r="B46" s="1638" t="str">
        <f>项目基本情况!K4</f>
        <v>土地估价师、土地估价师</v>
      </c>
    </row>
    <row r="47" spans="1:9">
      <c r="A47" s="1638"/>
      <c r="B47" s="1638"/>
    </row>
    <row r="48" spans="1:9">
      <c r="A48" s="1638" t="s">
        <v>1900</v>
      </c>
      <c r="B48" s="1638" t="s">
        <v>2047</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1904</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56.25">
      <c r="A7" s="1779" t="s">
        <v>2745</v>
      </c>
    </row>
    <row r="8" spans="1:4" ht="18.75">
      <c r="A8" s="1778" t="s">
        <v>1905</v>
      </c>
    </row>
    <row r="9" spans="1:4" ht="37.5">
      <c r="A9" s="178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2931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18.75">
      <c r="A21" s="1775" t="s">
        <v>2073</v>
      </c>
    </row>
    <row r="22" spans="1:1" ht="56.2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本次估价对象为出让国有建设用地使用权，《国有土地使用证》[]证载土地终止日期为住宅2086年9月25日、商业2056年9月25日车库2066年9月25日。截至估价期日，出让国有建设用地使用权剩余土地使用年限为。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1903</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受贵公司委托，我公司对出让国有建设用地使用权进行了预评估。</v>
      </c>
    </row>
    <row r="5" spans="1:4" ht="18.75">
      <c r="A5" s="1778" t="s">
        <v>1904</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93.75">
      <c r="A7" s="2827" t="s">
        <v>2746</v>
      </c>
    </row>
    <row r="8" spans="1:4" ht="18.75">
      <c r="A8" s="1778" t="s">
        <v>1905</v>
      </c>
    </row>
    <row r="9" spans="1:4" ht="37.5">
      <c r="A9" s="178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1" t="s">
        <v>2025</v>
      </c>
    </row>
    <row r="11" spans="1:4" ht="18.75">
      <c r="A11" s="1764" t="str">
        <f>TEXT(项目基本情况!D3,"yyyy年m月d日;;")&amp;IF(项目基本情况!B3=项目基本情况!D3,"（评估专业人员勘察现场之日）","")</f>
        <v>2019年6月12日（评估专业人员勘察现场之日）</v>
      </c>
    </row>
    <row r="12" spans="1:4" ht="18.75">
      <c r="A12" s="1781" t="s">
        <v>2024</v>
      </c>
    </row>
    <row r="13" spans="1:4" ht="18.75">
      <c r="A13" s="1775" t="s">
        <v>2070</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2071</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2072</v>
      </c>
    </row>
    <row r="20" spans="1:1" ht="56.2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2073</v>
      </c>
    </row>
    <row r="23" spans="1:1" ht="18.75">
      <c r="A23" s="2829" t="s">
        <v>2747</v>
      </c>
    </row>
    <row r="24" spans="1:1" ht="18.75">
      <c r="A24" s="1775" t="s">
        <v>2074</v>
      </c>
    </row>
    <row r="25" spans="1:1" ht="75">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2026</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8" t="s">
        <v>2037</v>
      </c>
      <c r="B1" s="3228"/>
      <c r="C1" s="3228"/>
      <c r="D1" s="3228"/>
      <c r="E1" s="3228"/>
      <c r="F1" s="3228"/>
      <c r="G1" s="3228"/>
      <c r="H1" s="3228"/>
      <c r="I1" s="3228"/>
      <c r="J1" s="3228"/>
      <c r="K1" s="3228"/>
      <c r="L1" s="3228"/>
      <c r="M1" s="3228"/>
      <c r="N1" s="3228"/>
      <c r="O1" s="3228"/>
      <c r="P1" s="3228"/>
      <c r="Q1" s="3228"/>
      <c r="R1" s="3228"/>
    </row>
    <row r="2" spans="1:18">
      <c r="A2" s="1791" t="s">
        <v>2039</v>
      </c>
      <c r="B2" s="1791"/>
      <c r="C2" s="1791"/>
      <c r="D2" s="1791"/>
      <c r="E2" s="1791"/>
      <c r="F2" s="1791"/>
      <c r="G2" s="1791"/>
      <c r="H2" s="1791"/>
      <c r="I2" s="1792"/>
      <c r="J2" s="1792"/>
      <c r="K2" s="1793" t="str">
        <f>"估价期日："&amp;TEXT(项目基本情况!D3,"yyyy年m月d日;;")</f>
        <v>估价期日：2019年6月12日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29" t="s">
        <v>2028</v>
      </c>
      <c r="B3" s="3229" t="s">
        <v>2729</v>
      </c>
      <c r="C3" s="3230" t="s">
        <v>2029</v>
      </c>
      <c r="D3" s="3229" t="s">
        <v>2733</v>
      </c>
      <c r="E3" s="3232" t="s">
        <v>2030</v>
      </c>
      <c r="F3" s="3232"/>
      <c r="G3" s="3232"/>
      <c r="H3" s="3232" t="s">
        <v>2031</v>
      </c>
      <c r="I3" s="3232"/>
      <c r="J3" s="3232"/>
      <c r="K3" s="3230" t="s">
        <v>2032</v>
      </c>
      <c r="L3" s="3230" t="s">
        <v>2033</v>
      </c>
      <c r="M3" s="3229" t="s">
        <v>2730</v>
      </c>
      <c r="N3" s="3231" t="str">
        <f>"（分摊）"&amp;项目基本情况!B16&amp;"国有建设用地使用权面积/㎡"</f>
        <v>（分摊）出让国有建设用地使用权面积/㎡</v>
      </c>
      <c r="O3" s="3229" t="s">
        <v>2062</v>
      </c>
      <c r="P3" s="3230" t="s">
        <v>2042</v>
      </c>
      <c r="Q3" s="3230" t="s">
        <v>2063</v>
      </c>
      <c r="R3" s="3230" t="s">
        <v>2034</v>
      </c>
    </row>
    <row r="4" spans="1:18" ht="36.75" customHeight="1">
      <c r="A4" s="3229"/>
      <c r="B4" s="3229"/>
      <c r="C4" s="3230"/>
      <c r="D4" s="3229"/>
      <c r="E4" s="2612" t="s">
        <v>2041</v>
      </c>
      <c r="F4" s="2612" t="s">
        <v>2742</v>
      </c>
      <c r="G4" s="2612" t="s">
        <v>2035</v>
      </c>
      <c r="H4" s="2612" t="s">
        <v>2036</v>
      </c>
      <c r="I4" s="2612" t="s">
        <v>2743</v>
      </c>
      <c r="J4" s="2612" t="s">
        <v>2035</v>
      </c>
      <c r="K4" s="3230"/>
      <c r="L4" s="3230"/>
      <c r="M4" s="3229"/>
      <c r="N4" s="3231"/>
      <c r="O4" s="3229"/>
      <c r="P4" s="3230"/>
      <c r="Q4" s="3230"/>
      <c r="R4" s="3230"/>
    </row>
    <row r="5" spans="1:18" ht="135" customHeight="1">
      <c r="A5" s="1927" t="s">
        <v>2653</v>
      </c>
      <c r="B5" s="2821" t="s">
        <v>2651</v>
      </c>
      <c r="C5" s="2611">
        <v>22</v>
      </c>
      <c r="D5" s="2610" t="s">
        <v>2652</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71994.8</v>
      </c>
      <c r="O5" s="1794">
        <f>项目基本情况!C21</f>
        <v>321749.09999999998</v>
      </c>
      <c r="P5" s="1794">
        <f ca="1">结果表!E42</f>
        <v>10629</v>
      </c>
      <c r="Q5" s="1794">
        <f ca="1">结果表!D42</f>
        <v>2378</v>
      </c>
      <c r="R5" s="1795">
        <f ca="1">结果表!C42</f>
        <v>76521</v>
      </c>
    </row>
    <row r="6" spans="1:18">
      <c r="A6" s="3233" t="str">
        <f>IF(项目基本情况!B9="市场价格","——","抵押价格")</f>
        <v>抵押价格</v>
      </c>
      <c r="B6" s="3234"/>
      <c r="C6" s="3234"/>
      <c r="D6" s="3234"/>
      <c r="E6" s="3234"/>
      <c r="F6" s="3234"/>
      <c r="G6" s="3234"/>
      <c r="H6" s="3234"/>
      <c r="I6" s="3234"/>
      <c r="J6" s="3234"/>
      <c r="K6" s="3234"/>
      <c r="L6" s="3234"/>
      <c r="M6" s="3234"/>
      <c r="N6" s="3234"/>
      <c r="O6" s="3234"/>
      <c r="P6" s="3234"/>
      <c r="Q6" s="3235"/>
      <c r="R6" s="1796" t="str">
        <f>结果表!O39</f>
        <v>——</v>
      </c>
    </row>
    <row r="7" spans="1:18">
      <c r="A7" s="3233" t="str">
        <f>IF(项目基本情况!B9="市场价格","——",IF(项目基本情况!E8="已注销及未注销","抵押担保权已注销时的抵押价格","——"))</f>
        <v>——</v>
      </c>
      <c r="B7" s="3234"/>
      <c r="C7" s="3234"/>
      <c r="D7" s="3234"/>
      <c r="E7" s="3234"/>
      <c r="F7" s="3234"/>
      <c r="G7" s="3234"/>
      <c r="H7" s="3234"/>
      <c r="I7" s="3234"/>
      <c r="J7" s="3234"/>
      <c r="K7" s="3234"/>
      <c r="L7" s="3234"/>
      <c r="M7" s="3234"/>
      <c r="N7" s="3234"/>
      <c r="O7" s="3234"/>
      <c r="P7" s="3234"/>
      <c r="Q7" s="3235"/>
      <c r="R7" s="1796" t="str">
        <f>结果表!O40</f>
        <v>——</v>
      </c>
    </row>
    <row r="8" spans="1:18">
      <c r="A8" s="3233">
        <f>IF(项目基本情况!B9="市场价格","——",项目基本情况!E9)</f>
        <v>0</v>
      </c>
      <c r="B8" s="3234"/>
      <c r="C8" s="3234"/>
      <c r="D8" s="3234"/>
      <c r="E8" s="3234"/>
      <c r="F8" s="3234"/>
      <c r="G8" s="3234"/>
      <c r="H8" s="3234"/>
      <c r="I8" s="3234"/>
      <c r="J8" s="3234"/>
      <c r="K8" s="3234"/>
      <c r="L8" s="3234"/>
      <c r="M8" s="3234"/>
      <c r="N8" s="3234"/>
      <c r="O8" s="3234"/>
      <c r="P8" s="3234"/>
      <c r="Q8" s="3235"/>
      <c r="R8" s="1796" t="str">
        <f>结果表!O41</f>
        <v>——</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36" t="s">
        <v>2064</v>
      </c>
      <c r="B1" s="3236"/>
      <c r="C1" s="3236"/>
      <c r="D1" s="3236"/>
    </row>
    <row r="2" spans="1:4" ht="47.25" customHeight="1">
      <c r="A2" s="3240" t="str">
        <f>"1.权利限制："&amp;项目基本情况!L24&amp;"未设定租赁等其他他项权利。"</f>
        <v>1.权利限制：根据估价对象《不动产权证书》原件、《国有土地使用权》复印件，截至估价期日，估价对象抵押权未见登记。未设定租赁等其他他项权利。</v>
      </c>
      <c r="B2" s="3240"/>
      <c r="C2" s="3240"/>
      <c r="D2" s="3240"/>
    </row>
    <row r="3" spans="1:4" ht="48" customHeight="1">
      <c r="A3" s="323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6"/>
      <c r="C3" s="3236"/>
      <c r="D3" s="3236"/>
    </row>
    <row r="4" spans="1:4" ht="36.75" customHeight="1">
      <c r="A4" s="3236" t="str">
        <f>"3.估价规划限制条件：详见"&amp;项目基本情况!E21&amp;"。"</f>
        <v>3.估价规划限制条件：详见《建设工程规划许可证》[]、《出让合同》[]。</v>
      </c>
      <c r="B4" s="3236"/>
      <c r="C4" s="3236"/>
      <c r="D4" s="3236"/>
    </row>
    <row r="5" spans="1:4">
      <c r="A5" s="3239" t="s">
        <v>2065</v>
      </c>
      <c r="B5" s="3239"/>
      <c r="C5" s="3239"/>
      <c r="D5" s="3239"/>
    </row>
    <row r="6" spans="1:4">
      <c r="A6" s="3236" t="s">
        <v>2043</v>
      </c>
      <c r="B6" s="3236"/>
      <c r="C6" s="3236"/>
      <c r="D6" s="3236"/>
    </row>
    <row r="7" spans="1:4" ht="33" customHeight="1">
      <c r="A7" s="3236" t="s">
        <v>2573</v>
      </c>
      <c r="B7" s="3236"/>
      <c r="C7" s="3236"/>
      <c r="D7" s="3236"/>
    </row>
    <row r="8" spans="1:4" ht="32.25" customHeight="1">
      <c r="A8" s="323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36"/>
      <c r="C8" s="3236"/>
      <c r="D8" s="3236"/>
    </row>
    <row r="9" spans="1:4" ht="33.75" customHeight="1">
      <c r="A9" s="3236" t="str">
        <f>IF(项目基本情况!B8="抵押","3.抵押双方在办理抵押登记手续时，应使用本公司出具的正式《土地估价报告》，特提请报告使用者注意。","——")</f>
        <v>——</v>
      </c>
      <c r="B9" s="3236"/>
      <c r="C9" s="3236"/>
      <c r="D9" s="3236"/>
    </row>
    <row r="10" spans="1:4">
      <c r="A10" s="3236" t="str">
        <f>IF(项目基本情况!B8="抵押","4.估价师所知悉的法定优先受偿款情况为：","——")</f>
        <v>——</v>
      </c>
      <c r="B10" s="3236"/>
      <c r="C10" s="3236"/>
      <c r="D10" s="3236"/>
    </row>
    <row r="11" spans="1:4" ht="37.5" customHeight="1">
      <c r="A11" s="3238" t="str">
        <f>IF(项目基本情况!B8="抵押","（1）"&amp;CONCATENATE(项目基本情况!L24,项目基本情况!L25,项目基本情况!L26),"——")</f>
        <v>——</v>
      </c>
      <c r="B11" s="3238"/>
      <c r="C11" s="3238"/>
      <c r="D11" s="3238"/>
    </row>
    <row r="12" spans="1:4" ht="168" customHeight="1">
      <c r="A12" s="3239" t="s">
        <v>2067</v>
      </c>
      <c r="B12" s="3239"/>
      <c r="C12" s="3239"/>
      <c r="D12" s="3239"/>
    </row>
    <row r="13" spans="1:4">
      <c r="A13" s="3237" t="s">
        <v>2744</v>
      </c>
      <c r="B13" s="3237"/>
      <c r="C13" s="3237"/>
      <c r="D13" s="3237"/>
    </row>
    <row r="14" spans="1:4">
      <c r="A14" s="3238" t="str">
        <f>IF(项目基本情况!B8="抵押","综上，"&amp;结果表!K47,"——")</f>
        <v>——</v>
      </c>
      <c r="B14" s="3238"/>
      <c r="C14" s="3238"/>
      <c r="D14" s="3238"/>
    </row>
    <row r="15" spans="1:4" ht="58.5" customHeight="1">
      <c r="A15" s="323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6"/>
      <c r="C15" s="3236"/>
      <c r="D15" s="3236"/>
    </row>
    <row r="16" spans="1:4" ht="70.5" customHeight="1">
      <c r="A16" s="323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6"/>
      <c r="C16" s="3236"/>
      <c r="D16" s="3236"/>
    </row>
    <row r="17" spans="1:4">
      <c r="A17" s="3236" t="s">
        <v>2700</v>
      </c>
      <c r="B17" s="3236"/>
      <c r="C17" s="3236"/>
      <c r="D17" s="3236"/>
    </row>
    <row r="18" spans="1:4">
      <c r="A18" s="3236" t="s">
        <v>2692</v>
      </c>
      <c r="B18" s="3236"/>
      <c r="C18" s="3236"/>
      <c r="D18" s="3236"/>
    </row>
    <row r="19" spans="1:4">
      <c r="A19" s="2822" t="s">
        <v>2693</v>
      </c>
      <c r="B19" s="2822" t="s">
        <v>2694</v>
      </c>
      <c r="C19" s="2822" t="s">
        <v>2695</v>
      </c>
      <c r="D19" s="2822" t="s">
        <v>2696</v>
      </c>
    </row>
    <row r="20" spans="1:4">
      <c r="A20" s="2822" t="str">
        <f>项目基本情况!B4</f>
        <v>土地估价师</v>
      </c>
      <c r="B20" s="2822">
        <f>项目基本情况!C4</f>
        <v>0</v>
      </c>
      <c r="C20" s="2824"/>
      <c r="D20" s="1784" t="s">
        <v>2701</v>
      </c>
    </row>
    <row r="21" spans="1:4">
      <c r="A21" s="2822" t="str">
        <f>项目基本情况!D4</f>
        <v>土地估价师</v>
      </c>
      <c r="B21" s="2822">
        <f>项目基本情况!E4</f>
        <v>0</v>
      </c>
      <c r="C21" s="2824"/>
      <c r="D21" s="1784" t="s">
        <v>2702</v>
      </c>
    </row>
    <row r="23" spans="1:4">
      <c r="A23" s="3236" t="s">
        <v>2697</v>
      </c>
      <c r="B23" s="3236"/>
      <c r="C23" s="3236"/>
      <c r="D23" s="3236"/>
    </row>
    <row r="24" spans="1:4">
      <c r="A24" s="2822" t="s">
        <v>2693</v>
      </c>
      <c r="B24" s="2822" t="s">
        <v>2698</v>
      </c>
      <c r="C24" s="2822" t="s">
        <v>2695</v>
      </c>
      <c r="D24" s="2822" t="s">
        <v>2696</v>
      </c>
    </row>
    <row r="25" spans="1:4">
      <c r="A25" s="2825" t="s">
        <v>2699</v>
      </c>
      <c r="B25" s="2822" t="s">
        <v>951</v>
      </c>
      <c r="C25" s="2824"/>
      <c r="D25" s="1784" t="s">
        <v>2702</v>
      </c>
    </row>
    <row r="29" spans="1:4">
      <c r="D29" s="2823" t="s">
        <v>2038</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48" t="s">
        <v>53</v>
      </c>
      <c r="B15" s="3249" t="s">
        <v>845</v>
      </c>
      <c r="C15" s="3245"/>
    </row>
    <row r="16" spans="1:7" ht="14.25">
      <c r="A16" s="3248"/>
      <c r="B16" s="3246" t="s">
        <v>54</v>
      </c>
      <c r="C16" s="1168" t="s">
        <v>53</v>
      </c>
    </row>
    <row r="17" spans="1:3" ht="14.25">
      <c r="A17" s="3248"/>
      <c r="B17" s="3246"/>
      <c r="C17" s="1168" t="s">
        <v>55</v>
      </c>
    </row>
    <row r="18" spans="1:3" ht="14.25">
      <c r="A18" s="3248"/>
      <c r="B18" s="3246"/>
      <c r="C18" s="1168" t="s">
        <v>56</v>
      </c>
    </row>
    <row r="19" spans="1:3" ht="14.25">
      <c r="A19" s="3248"/>
      <c r="B19" s="3244" t="s">
        <v>57</v>
      </c>
      <c r="C19" s="3245"/>
    </row>
    <row r="20" spans="1:3" ht="14.25">
      <c r="A20" s="1169" t="s">
        <v>58</v>
      </c>
      <c r="B20" s="1170"/>
      <c r="C20" s="1171"/>
    </row>
    <row r="21" spans="1:3" ht="14.25">
      <c r="A21" s="3247" t="s">
        <v>59</v>
      </c>
      <c r="B21" s="3244" t="s">
        <v>60</v>
      </c>
      <c r="C21" s="3245"/>
    </row>
    <row r="22" spans="1:3" ht="14.25">
      <c r="A22" s="3247"/>
      <c r="B22" s="3244" t="s">
        <v>61</v>
      </c>
      <c r="C22" s="3245"/>
    </row>
    <row r="23" spans="1:3" ht="14.25">
      <c r="A23" s="3247"/>
      <c r="B23" s="3244" t="s">
        <v>62</v>
      </c>
      <c r="C23" s="3245"/>
    </row>
    <row r="24" spans="1:3" ht="14.25">
      <c r="A24" s="3247"/>
      <c r="B24" s="3250" t="s">
        <v>63</v>
      </c>
      <c r="C24" s="1172" t="s">
        <v>836</v>
      </c>
    </row>
    <row r="25" spans="1:3" ht="14.25">
      <c r="A25" s="3247"/>
      <c r="B25" s="3251"/>
      <c r="C25" s="1172" t="s">
        <v>837</v>
      </c>
    </row>
    <row r="26" spans="1:3" ht="14.25">
      <c r="A26" s="3247"/>
      <c r="B26" s="3251"/>
      <c r="C26" s="1172" t="s">
        <v>838</v>
      </c>
    </row>
    <row r="27" spans="1:3" ht="14.25">
      <c r="A27" s="3247"/>
      <c r="B27" s="3251"/>
      <c r="C27" s="1172" t="s">
        <v>839</v>
      </c>
    </row>
    <row r="28" spans="1:3" ht="14.25">
      <c r="A28" s="3247"/>
      <c r="B28" s="3251"/>
      <c r="C28" s="1172" t="s">
        <v>840</v>
      </c>
    </row>
    <row r="29" spans="1:3" ht="14.25">
      <c r="A29" s="3247"/>
      <c r="B29" s="3251"/>
      <c r="C29" s="1172" t="s">
        <v>841</v>
      </c>
    </row>
    <row r="30" spans="1:3" ht="14.25">
      <c r="A30" s="3247"/>
      <c r="B30" s="3251"/>
      <c r="C30" s="1172" t="s">
        <v>842</v>
      </c>
    </row>
    <row r="31" spans="1:3" ht="14.25">
      <c r="A31" s="3247"/>
      <c r="B31" s="3251"/>
      <c r="C31" s="1172" t="s">
        <v>843</v>
      </c>
    </row>
    <row r="32" spans="1:3" ht="14.25">
      <c r="A32" s="3247"/>
      <c r="B32" s="3251"/>
      <c r="C32" s="1172" t="s">
        <v>1645</v>
      </c>
    </row>
    <row r="33" spans="1:3" ht="14.25">
      <c r="A33" s="3247"/>
      <c r="B33" s="3241" t="s">
        <v>1651</v>
      </c>
      <c r="C33" s="1172" t="s">
        <v>1646</v>
      </c>
    </row>
    <row r="34" spans="1:3" ht="14.25">
      <c r="A34" s="3247"/>
      <c r="B34" s="3242"/>
      <c r="C34" s="1177" t="s">
        <v>1647</v>
      </c>
    </row>
    <row r="35" spans="1:3" ht="14.25">
      <c r="A35" s="3247"/>
      <c r="B35" s="3242"/>
      <c r="C35" s="1178" t="s">
        <v>1648</v>
      </c>
    </row>
    <row r="36" spans="1:3" ht="14.25">
      <c r="A36" s="3247"/>
      <c r="B36" s="3242"/>
      <c r="C36" s="1178" t="s">
        <v>1649</v>
      </c>
    </row>
    <row r="37" spans="1:3" ht="14.25">
      <c r="A37" s="3247"/>
      <c r="B37" s="3243"/>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43633</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43849</v>
      </c>
      <c r="D4" s="3130" t="s">
        <v>1913</v>
      </c>
      <c r="E4" s="3130">
        <f ca="1">IF(F4&lt;B2,"已过期",96010014)</f>
        <v>96010014</v>
      </c>
      <c r="F4" s="3133">
        <v>47118</v>
      </c>
    </row>
    <row r="5" spans="1:6" ht="20.25" customHeight="1">
      <c r="A5" s="3130" t="s">
        <v>1914</v>
      </c>
      <c r="B5" s="3130">
        <f ca="1">IF(C5&lt;B2,"已过期",1119970074)</f>
        <v>1119970074</v>
      </c>
      <c r="C5" s="3132">
        <v>43849</v>
      </c>
      <c r="D5" s="3130" t="s">
        <v>1914</v>
      </c>
      <c r="E5" s="3130">
        <f ca="1">IF(F5&lt;B2,"已过期",2002110027)</f>
        <v>2002110027</v>
      </c>
      <c r="F5" s="3133">
        <v>46752</v>
      </c>
    </row>
    <row r="6" spans="1:6" ht="20.25" customHeight="1">
      <c r="A6" s="3130" t="s">
        <v>1915</v>
      </c>
      <c r="B6" s="3130">
        <f ca="1">IF(C6&lt;B2,"已过期",1119970111)</f>
        <v>1119970111</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f ca="1">IF(C8&lt;B2,"已过期",1120000080)</f>
        <v>1120000080</v>
      </c>
      <c r="C8" s="3132">
        <v>43849</v>
      </c>
      <c r="D8" s="3130" t="s">
        <v>1917</v>
      </c>
      <c r="E8" s="3130">
        <f ca="1">IF(F8&lt;B2,"已过期",2000110082)</f>
        <v>2000110082</v>
      </c>
      <c r="F8" s="3133">
        <v>46387</v>
      </c>
    </row>
    <row r="9" spans="1:6" ht="20.25" customHeight="1">
      <c r="A9" s="3130" t="s">
        <v>1918</v>
      </c>
      <c r="B9" s="3130">
        <f ca="1">IF(C9&lt;B2,"已过期",1419970001)</f>
        <v>1419970001</v>
      </c>
      <c r="C9" s="3132">
        <v>43867</v>
      </c>
      <c r="D9" s="3130" t="s">
        <v>1918</v>
      </c>
      <c r="E9" s="3130">
        <f ca="1">IF(F9&lt;B2,"已过期",2002110125)</f>
        <v>2002110125</v>
      </c>
      <c r="F9" s="3133">
        <v>47118</v>
      </c>
    </row>
    <row r="10" spans="1:6" ht="20.25" customHeight="1">
      <c r="A10" s="3130" t="s">
        <v>1919</v>
      </c>
      <c r="B10" s="3130" t="str">
        <f ca="1">IF(C10&lt;B2,"已过期",1120060040)</f>
        <v>已过期</v>
      </c>
      <c r="C10" s="3132">
        <v>43483</v>
      </c>
      <c r="D10" s="3130" t="s">
        <v>1919</v>
      </c>
      <c r="E10" s="3130">
        <f ca="1">IF(F10&lt;B2,"已过期",2004110096)</f>
        <v>2004110096</v>
      </c>
      <c r="F10" s="3133">
        <v>47118</v>
      </c>
    </row>
    <row r="11" spans="1:6" ht="20.25" customHeight="1">
      <c r="A11" s="3130" t="s">
        <v>1920</v>
      </c>
      <c r="B11" s="3130" t="str">
        <f ca="1">IF(C11&lt;B2,"已过期",1120100036)</f>
        <v>已过期</v>
      </c>
      <c r="C11" s="3132">
        <v>43622</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f ca="1">IF(C13&lt;B2,"已过期",1120070131)</f>
        <v>1120070131</v>
      </c>
      <c r="C13" s="3132">
        <v>43814</v>
      </c>
      <c r="D13" s="3130" t="s">
        <v>1921</v>
      </c>
      <c r="E13" s="3130">
        <f ca="1">IF(F13&lt;B2,"已过期",2014110011)</f>
        <v>2014110011</v>
      </c>
      <c r="F13" s="3133">
        <v>49302</v>
      </c>
    </row>
    <row r="14" spans="1:6" ht="20.25" customHeight="1">
      <c r="A14" s="3130" t="s">
        <v>2971</v>
      </c>
      <c r="B14" s="3130">
        <f ca="1">IF(C14&lt;B2,"已过期",1120040230)</f>
        <v>1120040230</v>
      </c>
      <c r="C14" s="3134">
        <v>43835</v>
      </c>
      <c r="D14" s="3135" t="s">
        <v>2972</v>
      </c>
      <c r="E14" s="3130">
        <f ca="1">IF(F14&lt;B2,"已过期",98030020)</f>
        <v>98030020</v>
      </c>
      <c r="F14" s="3133">
        <v>47118</v>
      </c>
    </row>
    <row r="15" spans="1:6" ht="20.25" customHeight="1">
      <c r="A15" s="3130" t="s">
        <v>2572</v>
      </c>
      <c r="B15" s="3130">
        <f ca="1">IF(C15&lt;B2,"已过期",1120070085)</f>
        <v>1120070085</v>
      </c>
      <c r="C15" s="3134">
        <v>43814</v>
      </c>
      <c r="D15" s="3130" t="s">
        <v>2973</v>
      </c>
      <c r="E15" s="3130">
        <f ca="1">IF(F15&lt;B2,"已过期",2004110128)</f>
        <v>2004110128</v>
      </c>
      <c r="F15" s="3136">
        <v>47118</v>
      </c>
    </row>
    <row r="16" spans="1:6" ht="20.25" customHeight="1">
      <c r="A16" s="3130" t="s">
        <v>1922</v>
      </c>
      <c r="B16" s="3130">
        <f ca="1">IF(C16&lt;B2,"已过期",1120140022)</f>
        <v>1120140022</v>
      </c>
      <c r="C16" s="3132">
        <v>44029</v>
      </c>
      <c r="D16" s="3130" t="s">
        <v>2974</v>
      </c>
      <c r="E16" s="3130">
        <f ca="1">IF(F16&lt;B2,"已过期",2008110059)</f>
        <v>2008110059</v>
      </c>
      <c r="F16" s="3133">
        <v>47177</v>
      </c>
    </row>
    <row r="17" spans="1:7" ht="20.25" customHeight="1">
      <c r="A17" s="3130"/>
      <c r="B17" s="3130"/>
      <c r="C17" s="3132"/>
      <c r="D17" s="3135" t="s">
        <v>2975</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2" t="s">
        <v>1925</v>
      </c>
      <c r="B25" s="3252"/>
      <c r="C25" s="3252"/>
      <c r="D25" s="3252"/>
      <c r="E25" s="3252"/>
      <c r="F25" s="3252"/>
      <c r="G25" s="3252"/>
    </row>
    <row r="26" spans="1:7" ht="20.25" customHeight="1">
      <c r="A26" s="3253" t="s">
        <v>1926</v>
      </c>
      <c r="B26" s="3253"/>
      <c r="C26" s="3253"/>
      <c r="D26" s="3253" t="s">
        <v>1927</v>
      </c>
      <c r="E26" s="3253"/>
      <c r="F26" s="3253"/>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4" t="s">
        <v>2933</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5"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4" t="s">
        <v>873</v>
      </c>
    </row>
    <row r="2" spans="1:23">
      <c r="A2" s="8" t="s">
        <v>73</v>
      </c>
      <c r="B2" s="8" t="s">
        <v>150</v>
      </c>
      <c r="C2" s="1536"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7"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c r="A4" s="8" t="s">
        <v>87</v>
      </c>
      <c r="B4" s="8" t="s">
        <v>152</v>
      </c>
      <c r="C4" s="1536"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c r="A5" s="8" t="s">
        <v>94</v>
      </c>
      <c r="B5" s="8" t="s">
        <v>153</v>
      </c>
      <c r="C5" s="1536"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c r="A6" s="8" t="s">
        <v>99</v>
      </c>
      <c r="B6" s="1145" t="s">
        <v>1639</v>
      </c>
      <c r="C6" s="1538"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6" t="s">
        <v>1713</v>
      </c>
      <c r="F7" s="9" t="s">
        <v>154</v>
      </c>
      <c r="H7" s="9" t="s">
        <v>104</v>
      </c>
      <c r="I7" s="9" t="s">
        <v>105</v>
      </c>
    </row>
    <row r="8" spans="1:23">
      <c r="A8" s="8" t="s">
        <v>106</v>
      </c>
      <c r="B8" s="8" t="s">
        <v>107</v>
      </c>
      <c r="C8" s="1536" t="s">
        <v>1714</v>
      </c>
      <c r="F8" s="9" t="s">
        <v>155</v>
      </c>
      <c r="H8" s="9"/>
      <c r="I8" s="9" t="s">
        <v>108</v>
      </c>
    </row>
    <row r="9" spans="1:23">
      <c r="A9" s="8" t="s">
        <v>109</v>
      </c>
      <c r="B9" s="8" t="s">
        <v>156</v>
      </c>
      <c r="C9" s="1536" t="s">
        <v>1715</v>
      </c>
      <c r="F9" s="9" t="s">
        <v>110</v>
      </c>
      <c r="H9" s="9"/>
    </row>
    <row r="10" spans="1:23">
      <c r="A10" s="8" t="s">
        <v>111</v>
      </c>
      <c r="B10" s="8" t="s">
        <v>157</v>
      </c>
      <c r="C10" s="1536" t="s">
        <v>1716</v>
      </c>
      <c r="F10" s="9" t="s">
        <v>6</v>
      </c>
    </row>
    <row r="11" spans="1:23">
      <c r="A11" s="8" t="s">
        <v>112</v>
      </c>
      <c r="B11" s="8" t="s">
        <v>158</v>
      </c>
      <c r="C11" s="1536" t="s">
        <v>1717</v>
      </c>
    </row>
    <row r="12" spans="1:23">
      <c r="A12" s="8" t="s">
        <v>113</v>
      </c>
      <c r="B12" s="8" t="s">
        <v>159</v>
      </c>
      <c r="C12" s="1536" t="s">
        <v>1718</v>
      </c>
    </row>
    <row r="13" spans="1:23">
      <c r="A13" s="8" t="s">
        <v>114</v>
      </c>
      <c r="B13" s="8" t="s">
        <v>160</v>
      </c>
      <c r="C13" s="1536" t="s">
        <v>1719</v>
      </c>
    </row>
    <row r="14" spans="1:23">
      <c r="A14" s="8" t="s">
        <v>115</v>
      </c>
      <c r="B14" s="8" t="s">
        <v>161</v>
      </c>
      <c r="C14" s="1539" t="s">
        <v>1895</v>
      </c>
    </row>
    <row r="15" spans="1:23">
      <c r="A15" s="8" t="s">
        <v>116</v>
      </c>
      <c r="B15" s="8" t="s">
        <v>1680</v>
      </c>
      <c r="C15" s="1539"/>
    </row>
    <row r="16" spans="1:23">
      <c r="A16" s="8" t="s">
        <v>117</v>
      </c>
      <c r="B16" s="8" t="s">
        <v>1681</v>
      </c>
      <c r="C16" s="1539"/>
    </row>
    <row r="17" spans="1:3">
      <c r="A17" s="8" t="s">
        <v>118</v>
      </c>
      <c r="B17" s="8" t="s">
        <v>1682</v>
      </c>
      <c r="C17" s="1539"/>
    </row>
    <row r="18" spans="1:3">
      <c r="A18" s="8" t="s">
        <v>119</v>
      </c>
      <c r="B18" s="3062" t="s">
        <v>2945</v>
      </c>
      <c r="C18" s="1539"/>
    </row>
    <row r="19" spans="1:3">
      <c r="A19" s="8" t="s">
        <v>120</v>
      </c>
      <c r="B19" s="3062" t="s">
        <v>2953</v>
      </c>
      <c r="C19" s="1539"/>
    </row>
    <row r="20" spans="1:3">
      <c r="A20" s="8" t="s">
        <v>121</v>
      </c>
      <c r="B20" s="3062" t="s">
        <v>3140</v>
      </c>
      <c r="C20" s="1539"/>
    </row>
    <row r="21" spans="1:3">
      <c r="A21" s="8" t="s">
        <v>122</v>
      </c>
      <c r="B21" s="8" t="s">
        <v>1640</v>
      </c>
      <c r="C21" s="1539"/>
    </row>
    <row r="22" spans="1:3">
      <c r="A22" s="8" t="s">
        <v>123</v>
      </c>
      <c r="B22" s="8" t="s">
        <v>1640</v>
      </c>
      <c r="C22" s="1539"/>
    </row>
    <row r="23" spans="1:3">
      <c r="A23" s="8" t="s">
        <v>124</v>
      </c>
      <c r="B23" s="8" t="s">
        <v>1640</v>
      </c>
      <c r="C23" s="1539"/>
    </row>
    <row r="24" spans="1:3">
      <c r="A24" s="8" t="s">
        <v>12</v>
      </c>
      <c r="B24" s="8" t="s">
        <v>1640</v>
      </c>
      <c r="C24" s="1539"/>
    </row>
    <row r="25" spans="1:3">
      <c r="A25" s="8" t="s">
        <v>125</v>
      </c>
      <c r="B25" s="8" t="s">
        <v>1640</v>
      </c>
      <c r="C25" s="1539"/>
    </row>
    <row r="26" spans="1:3">
      <c r="A26" s="8" t="s">
        <v>126</v>
      </c>
      <c r="B26" s="8" t="s">
        <v>1640</v>
      </c>
      <c r="C26" s="1539"/>
    </row>
    <row r="27" spans="1:3">
      <c r="A27" s="8" t="s">
        <v>1640</v>
      </c>
      <c r="B27" s="8" t="s">
        <v>1640</v>
      </c>
      <c r="C27" s="1539"/>
    </row>
    <row r="28" spans="1:3">
      <c r="A28" s="8" t="s">
        <v>1640</v>
      </c>
      <c r="B28" s="8" t="s">
        <v>1640</v>
      </c>
      <c r="C28" s="1539"/>
    </row>
    <row r="29" spans="1:3">
      <c r="A29" s="8" t="s">
        <v>1640</v>
      </c>
      <c r="B29" s="8" t="s">
        <v>1640</v>
      </c>
      <c r="C29" s="1539"/>
    </row>
    <row r="30" spans="1:3">
      <c r="A30" s="8" t="s">
        <v>1640</v>
      </c>
      <c r="B30" s="8" t="s">
        <v>1640</v>
      </c>
      <c r="C30" s="1539"/>
    </row>
    <row r="31" spans="1:3">
      <c r="A31" s="8" t="s">
        <v>1640</v>
      </c>
      <c r="B31" s="8" t="s">
        <v>1640</v>
      </c>
      <c r="C31" s="1539"/>
    </row>
    <row r="32" spans="1:3">
      <c r="A32" s="8" t="s">
        <v>1640</v>
      </c>
      <c r="B32" s="8" t="s">
        <v>1640</v>
      </c>
      <c r="C32" s="1539"/>
    </row>
    <row r="33" spans="1:3">
      <c r="A33" s="8" t="s">
        <v>1640</v>
      </c>
      <c r="B33" s="8" t="s">
        <v>1640</v>
      </c>
      <c r="C33" s="1539"/>
    </row>
    <row r="34" spans="1:3">
      <c r="A34" s="8" t="s">
        <v>1640</v>
      </c>
      <c r="B34" s="8" t="s">
        <v>1640</v>
      </c>
      <c r="C34" s="1539"/>
    </row>
    <row r="35" spans="1:3">
      <c r="A35" s="8" t="s">
        <v>1640</v>
      </c>
      <c r="B35" s="8" t="s">
        <v>1640</v>
      </c>
      <c r="C35" s="1539"/>
    </row>
    <row r="36" spans="1:3">
      <c r="A36" s="8" t="s">
        <v>1640</v>
      </c>
      <c r="B36" s="8" t="s">
        <v>1640</v>
      </c>
      <c r="C36" s="1539"/>
    </row>
    <row r="37" spans="1:3">
      <c r="A37" s="8" t="s">
        <v>1640</v>
      </c>
      <c r="B37" s="8" t="s">
        <v>1640</v>
      </c>
      <c r="C37" s="1539"/>
    </row>
    <row r="38" spans="1:3">
      <c r="A38" s="8" t="s">
        <v>1640</v>
      </c>
      <c r="B38" s="8" t="s">
        <v>1640</v>
      </c>
      <c r="C38" s="1539"/>
    </row>
    <row r="39" spans="1:3">
      <c r="A39" s="8" t="s">
        <v>1640</v>
      </c>
      <c r="B39" s="8" t="s">
        <v>1640</v>
      </c>
      <c r="C39" s="1539"/>
    </row>
    <row r="40" spans="1:3">
      <c r="A40" s="8" t="s">
        <v>1640</v>
      </c>
      <c r="B40" s="8" t="s">
        <v>1640</v>
      </c>
      <c r="C40" s="1539"/>
    </row>
    <row r="41" spans="1:3">
      <c r="A41" s="8" t="s">
        <v>1640</v>
      </c>
      <c r="B41" s="8" t="s">
        <v>1640</v>
      </c>
      <c r="C41" s="1539"/>
    </row>
    <row r="42" spans="1:3">
      <c r="A42" s="8" t="s">
        <v>1640</v>
      </c>
      <c r="B42" s="8" t="s">
        <v>1640</v>
      </c>
      <c r="C42" s="1539"/>
    </row>
    <row r="43" spans="1:3">
      <c r="A43" s="8" t="s">
        <v>1640</v>
      </c>
      <c r="B43" s="8" t="s">
        <v>1640</v>
      </c>
      <c r="C43" s="1539"/>
    </row>
    <row r="44" spans="1:3">
      <c r="A44" s="8" t="s">
        <v>1640</v>
      </c>
      <c r="B44" s="8" t="s">
        <v>1640</v>
      </c>
      <c r="C44" s="1539"/>
    </row>
    <row r="45" spans="1:3">
      <c r="A45" s="8" t="s">
        <v>1640</v>
      </c>
      <c r="B45" s="8" t="s">
        <v>1640</v>
      </c>
      <c r="C45" s="1539"/>
    </row>
    <row r="46" spans="1:3">
      <c r="A46" s="8" t="s">
        <v>1640</v>
      </c>
      <c r="B46" s="8" t="s">
        <v>1640</v>
      </c>
      <c r="C46" s="1539"/>
    </row>
    <row r="47" spans="1:3">
      <c r="A47" s="8" t="s">
        <v>1640</v>
      </c>
      <c r="B47" s="8" t="s">
        <v>1640</v>
      </c>
      <c r="C47" s="1539"/>
    </row>
    <row r="48" spans="1:3">
      <c r="A48" s="8" t="s">
        <v>1640</v>
      </c>
      <c r="B48" s="8" t="s">
        <v>1640</v>
      </c>
      <c r="C48" s="1539"/>
    </row>
    <row r="49" spans="1:5">
      <c r="A49" s="8" t="s">
        <v>1640</v>
      </c>
      <c r="B49" s="8" t="s">
        <v>1640</v>
      </c>
      <c r="C49" s="1539"/>
    </row>
    <row r="50" spans="1:5">
      <c r="A50" s="8" t="s">
        <v>1640</v>
      </c>
      <c r="B50" s="8" t="s">
        <v>1640</v>
      </c>
      <c r="C50" s="1539"/>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54"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1"/>
      <c r="E53" s="1751"/>
    </row>
    <row r="54" spans="1:5">
      <c r="A54" s="3254"/>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54"/>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54"/>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54"/>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2048</v>
      </c>
      <c r="B58" s="1750" t="s">
        <v>2049</v>
      </c>
      <c r="C58" s="11" t="s">
        <v>2050</v>
      </c>
      <c r="D58" s="1313"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1936</v>
      </c>
      <c r="B1" s="3257" t="str">
        <f>IF(B10="北京市","北京市",C10)&amp;F10&amp;B16&amp;"国有建设用地使用权"&amp;B9&amp;"预评估"</f>
        <v>出让国有建设用地使用权预评估</v>
      </c>
      <c r="C1" s="3258"/>
      <c r="D1" s="3258"/>
      <c r="E1" s="3258"/>
      <c r="F1" s="3258"/>
      <c r="G1" s="3258"/>
      <c r="H1" s="3258"/>
      <c r="I1" s="3259"/>
      <c r="J1" s="1676"/>
      <c r="K1" s="2417" t="str">
        <f>IF(B10="北京市","北京市",C10)&amp;F10&amp;B16&amp;"国有建设用地使用权"&amp;B9</f>
        <v>出让国有建设用地使用权</v>
      </c>
      <c r="L1" s="1705"/>
      <c r="M1" s="1705"/>
      <c r="N1" s="1676"/>
      <c r="O1" s="1677"/>
      <c r="P1" s="1676"/>
      <c r="Q1" s="1676"/>
      <c r="R1" s="1676"/>
      <c r="S1" s="1676"/>
      <c r="T1" s="1676"/>
      <c r="U1" s="1676"/>
    </row>
    <row r="2" spans="1:21">
      <c r="A2" s="1642" t="s">
        <v>1937</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1938</v>
      </c>
      <c r="B3" s="1644">
        <v>43628</v>
      </c>
      <c r="C3" s="1645" t="s">
        <v>1994</v>
      </c>
      <c r="D3" s="1644">
        <f>B3</f>
        <v>43628</v>
      </c>
      <c r="E3" s="1676"/>
      <c r="F3" s="1676"/>
      <c r="G3" s="1676"/>
      <c r="H3" s="1642"/>
      <c r="I3" s="1677"/>
      <c r="J3" s="1676"/>
      <c r="K3" s="1756"/>
      <c r="L3" s="1705"/>
      <c r="M3" s="1705"/>
      <c r="N3" s="1676"/>
      <c r="O3" s="1677"/>
      <c r="P3" s="1676"/>
      <c r="Q3" s="1676"/>
      <c r="R3" s="1676"/>
      <c r="S3" s="1676"/>
      <c r="T3" s="1676"/>
      <c r="U3" s="1676"/>
    </row>
    <row r="4" spans="1:21" ht="29.25" thickBot="1">
      <c r="A4" s="1646" t="s">
        <v>1939</v>
      </c>
      <c r="B4" s="1825" t="s">
        <v>2886</v>
      </c>
      <c r="C4" s="1828">
        <f>SUMIF(土地估价师,B4,估价师及机构信息!E3:E24)</f>
        <v>0</v>
      </c>
      <c r="D4" s="1825" t="s">
        <v>2886</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1940</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2704</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2705</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1941</v>
      </c>
      <c r="B8" s="1652"/>
      <c r="C8" s="1653"/>
      <c r="D8" s="3263" t="s">
        <v>1943</v>
      </c>
      <c r="E8" s="1826"/>
      <c r="F8" s="1654"/>
      <c r="G8" s="1642"/>
      <c r="H8" s="1642"/>
      <c r="I8" s="1689"/>
      <c r="J8" s="1676"/>
      <c r="K8" s="1756"/>
      <c r="L8" s="1705"/>
      <c r="M8" s="1705"/>
      <c r="N8" s="1676"/>
      <c r="O8" s="1677"/>
      <c r="P8" s="1676"/>
      <c r="Q8" s="1676"/>
      <c r="R8" s="1676"/>
      <c r="S8" s="1676"/>
      <c r="T8" s="1676"/>
      <c r="U8" s="1676"/>
    </row>
    <row r="9" spans="1:21" ht="15" thickBot="1">
      <c r="A9" s="1655" t="s">
        <v>1942</v>
      </c>
      <c r="B9" s="1656"/>
      <c r="C9" s="1657"/>
      <c r="D9" s="3264"/>
      <c r="E9" s="1656"/>
      <c r="F9" s="1729"/>
      <c r="G9" s="1724"/>
      <c r="H9" s="1724"/>
      <c r="I9" s="1725"/>
      <c r="J9" s="1676"/>
      <c r="K9" s="1756"/>
      <c r="L9" s="1705"/>
      <c r="M9" s="1705"/>
      <c r="N9" s="1676"/>
      <c r="O9" s="1677"/>
      <c r="P9" s="1676"/>
      <c r="Q9" s="1676"/>
      <c r="R9" s="1676"/>
      <c r="S9" s="1676"/>
      <c r="T9" s="1676"/>
      <c r="U9" s="1676"/>
    </row>
    <row r="10" spans="1:21" ht="15" thickTop="1">
      <c r="A10" s="1726" t="s">
        <v>1998</v>
      </c>
      <c r="B10" s="1701"/>
      <c r="C10" s="1658"/>
      <c r="D10" s="1649"/>
      <c r="E10" s="1659" t="s">
        <v>1945</v>
      </c>
      <c r="F10" s="1660"/>
      <c r="G10" s="1727"/>
      <c r="H10" s="1728"/>
      <c r="I10" s="1649"/>
      <c r="J10" s="1676"/>
      <c r="K10" s="1756"/>
      <c r="L10" s="1705"/>
      <c r="M10" s="1705"/>
      <c r="N10" s="1676"/>
      <c r="O10" s="1677"/>
      <c r="P10" s="1676"/>
      <c r="Q10" s="1676"/>
      <c r="R10" s="1676"/>
      <c r="S10" s="1676"/>
      <c r="T10" s="1676"/>
      <c r="U10" s="1676"/>
    </row>
    <row r="11" spans="1:21">
      <c r="A11" s="1679" t="s">
        <v>1999</v>
      </c>
      <c r="B11" s="1680" t="s">
        <v>2984</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60"/>
      <c r="C12" s="3261"/>
      <c r="D12" s="3262"/>
      <c r="E12" s="1681" t="s">
        <v>2060</v>
      </c>
      <c r="F12" s="3278" t="s">
        <v>2887</v>
      </c>
      <c r="G12" s="3279"/>
      <c r="H12" s="3279"/>
      <c r="I12" s="3280"/>
      <c r="J12" s="1676"/>
      <c r="K12" s="1756"/>
      <c r="L12" s="1705"/>
      <c r="M12" s="1705"/>
      <c r="N12" s="1676"/>
      <c r="O12" s="1677"/>
      <c r="P12" s="1676"/>
      <c r="Q12" s="1676"/>
      <c r="R12" s="1676"/>
      <c r="S12" s="1676"/>
      <c r="T12" s="1676"/>
      <c r="U12" s="1676"/>
    </row>
    <row r="13" spans="1:21">
      <c r="A13" s="1669" t="s">
        <v>2058</v>
      </c>
      <c r="B13" s="3260"/>
      <c r="C13" s="3261"/>
      <c r="D13" s="3262"/>
      <c r="E13" s="1681" t="s">
        <v>2060</v>
      </c>
      <c r="F13" s="3278" t="s">
        <v>2888</v>
      </c>
      <c r="G13" s="3279"/>
      <c r="H13" s="3279"/>
      <c r="I13" s="3280"/>
      <c r="J13" s="1676"/>
      <c r="K13" s="1756"/>
      <c r="L13" s="1705"/>
      <c r="M13" s="1705"/>
      <c r="N13" s="1676"/>
      <c r="O13" s="1677"/>
      <c r="P13" s="1676"/>
      <c r="Q13" s="1676"/>
      <c r="R13" s="1676"/>
      <c r="S13" s="1676"/>
      <c r="T13" s="1676"/>
      <c r="U13" s="1676"/>
    </row>
    <row r="14" spans="1:21">
      <c r="A14" s="1643" t="s">
        <v>2061</v>
      </c>
      <c r="B14" s="1681"/>
      <c r="C14" s="1827" t="s">
        <v>2985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28.5">
      <c r="A16" s="1662" t="s">
        <v>1946</v>
      </c>
      <c r="B16" s="1663" t="s">
        <v>2980</v>
      </c>
      <c r="C16" s="1681" t="s">
        <v>1947</v>
      </c>
      <c r="D16" s="2608" t="s">
        <v>1948</v>
      </c>
      <c r="E16" s="1704" t="s">
        <v>2986</v>
      </c>
      <c r="F16" s="1704"/>
      <c r="G16" s="1704" t="s">
        <v>3123</v>
      </c>
      <c r="H16" s="1704"/>
      <c r="I16" s="1668" t="s">
        <v>1953</v>
      </c>
      <c r="J16" s="1676"/>
      <c r="K16" s="2418" t="str">
        <f>IF(D17="","",D16&amp;TEXT(D17,"yyyy年m月d日;;"))</f>
        <v>住宅2086年9月25日</v>
      </c>
      <c r="L16" s="1681" t="str">
        <f>IF(OR(K16="",M16=""),"","、")</f>
        <v>、</v>
      </c>
      <c r="M16" s="2418" t="str">
        <f>IF(E17="","",E16&amp;TEXT(E17,"yyyy年m月d日;;"))</f>
        <v>商业2056年9月25日</v>
      </c>
      <c r="N16" s="1681" t="str">
        <f>IF(OR(M16="",O16=""),"","、")</f>
        <v/>
      </c>
      <c r="O16" s="2418" t="str">
        <f>IF(F17="","",F16&amp;TEXT(F17,"yyyy年m月d日;;"))</f>
        <v/>
      </c>
      <c r="P16" s="1681" t="str">
        <f>IF(OR(O16="",Q16=""),"","、")</f>
        <v/>
      </c>
      <c r="Q16" s="2418" t="str">
        <f>IF(G17="","",G16&amp;TEXT(G17,"yyyy年m月d日;;"))</f>
        <v>车库2066年9月25日</v>
      </c>
      <c r="R16" s="1681" t="str">
        <f>IF(OR(Q16="",S16=""),"","、")</f>
        <v/>
      </c>
      <c r="S16" s="2418" t="str">
        <f>IF(H17="","",H16&amp;TEXT(H17,"yyyy年m月d日;;"))</f>
        <v/>
      </c>
      <c r="T16" s="1681" t="str">
        <f>IF(OR(S16="",U16=""),"","、")</f>
        <v/>
      </c>
      <c r="U16" s="2418" t="str">
        <f>IF(I17="","",I16&amp;TEXT(I17,"yyyy年m月d日;;"))</f>
        <v/>
      </c>
    </row>
    <row r="17" spans="1:21">
      <c r="A17" s="1745"/>
      <c r="B17" s="1664"/>
      <c r="C17" s="1665" t="s">
        <v>1954</v>
      </c>
      <c r="D17" s="1682">
        <v>68205</v>
      </c>
      <c r="E17" s="3224">
        <v>57248</v>
      </c>
      <c r="F17" s="1682"/>
      <c r="G17" s="1682">
        <v>60900</v>
      </c>
      <c r="H17" s="1682"/>
      <c r="I17" s="1682"/>
      <c r="J17" s="1676"/>
      <c r="K17" s="2417" t="str">
        <f>CONCATENATE(K16,L16,M16,N16,O16,P16,Q16,R16,S16,T16,,U16)</f>
        <v>住宅2086年9月25日、商业2056年9月25日车库2066年9月25日</v>
      </c>
      <c r="L17" s="1705"/>
      <c r="M17" s="1705"/>
      <c r="N17" s="1676"/>
      <c r="O17" s="1677"/>
      <c r="P17" s="1676"/>
      <c r="Q17" s="1676"/>
      <c r="R17" s="1676"/>
      <c r="S17" s="1676"/>
      <c r="T17" s="1676"/>
      <c r="U17" s="1676"/>
    </row>
    <row r="18" spans="1:21">
      <c r="A18" s="1745"/>
      <c r="B18" s="1664"/>
      <c r="C18" s="1665" t="s">
        <v>1955</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1956</v>
      </c>
      <c r="D19" s="1740">
        <f>IF(B16="出让",IF(D17="","",ROUNDDOWN(MIN((D17-$D$3)/365,D18),2)),D18)</f>
        <v>67.33</v>
      </c>
      <c r="E19" s="1667">
        <f>IF(B16="出让",IF(E17="","",ROUNDDOWN(MIN((E17-$D$3)/365,E18),2)),E18)</f>
        <v>37.31</v>
      </c>
      <c r="F19" s="1667" t="str">
        <f>IF(B16="出让",IF(F17="","",ROUNDDOWN(MIN((F17-$D$3)/365,F18),2)),F18)</f>
        <v/>
      </c>
      <c r="G19" s="1667">
        <f>IF(B16="出让",IF(G17="","",ROUNDDOWN(MIN((G17-$D$3)/365,G18),2)),G18)</f>
        <v>47.32</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75"/>
      <c r="E20" s="3276"/>
      <c r="F20" s="3276"/>
      <c r="G20" s="3276"/>
      <c r="H20" s="3276"/>
      <c r="I20" s="3277"/>
      <c r="J20" s="1676"/>
      <c r="K20" s="1756"/>
      <c r="L20" s="1705"/>
      <c r="M20" s="1705"/>
      <c r="N20" s="1676"/>
      <c r="O20" s="1677"/>
      <c r="P20" s="1676"/>
      <c r="Q20" s="1676"/>
      <c r="R20" s="1676"/>
      <c r="S20" s="1676"/>
      <c r="T20" s="1676"/>
      <c r="U20" s="1676"/>
    </row>
    <row r="21" spans="1:21">
      <c r="A21" s="1745" t="s">
        <v>1957</v>
      </c>
      <c r="B21" s="1746" t="s">
        <v>1958</v>
      </c>
      <c r="C21" s="1741">
        <f>'数据-汇总表'!E3</f>
        <v>321749.09999999998</v>
      </c>
      <c r="D21" s="1742" t="s">
        <v>1959</v>
      </c>
      <c r="E21" s="3265" t="s">
        <v>1997</v>
      </c>
      <c r="F21" s="3266"/>
      <c r="G21" s="3266"/>
      <c r="H21" s="3266"/>
      <c r="I21" s="3267"/>
      <c r="J21" s="1676"/>
      <c r="K21" s="1756"/>
      <c r="L21" s="1705"/>
      <c r="M21" s="1705"/>
      <c r="N21" s="1676"/>
      <c r="O21" s="1677"/>
      <c r="P21" s="1676"/>
      <c r="Q21" s="1676"/>
      <c r="R21" s="1676"/>
      <c r="S21" s="1676"/>
      <c r="T21" s="1676"/>
      <c r="U21" s="1676"/>
    </row>
    <row r="22" spans="1:21">
      <c r="A22" s="3094" t="s">
        <v>951</v>
      </c>
      <c r="B22" s="1643" t="s">
        <v>1960</v>
      </c>
      <c r="C22" s="1668">
        <f>'数据-汇总表'!D3</f>
        <v>71994.8</v>
      </c>
      <c r="D22" s="1669" t="s">
        <v>1959</v>
      </c>
      <c r="E22" s="3265" t="s">
        <v>2889</v>
      </c>
      <c r="F22" s="3266"/>
      <c r="G22" s="3266"/>
      <c r="H22" s="3266"/>
      <c r="I22" s="3267"/>
      <c r="J22" s="1676"/>
      <c r="K22" s="1756"/>
      <c r="L22" s="1705"/>
      <c r="M22" s="1705"/>
      <c r="N22" s="1676"/>
      <c r="O22" s="1677"/>
      <c r="P22" s="1676"/>
      <c r="Q22" s="1676"/>
      <c r="R22" s="1676"/>
      <c r="S22" s="1676"/>
      <c r="T22" s="1676"/>
      <c r="U22" s="1676"/>
    </row>
    <row r="23" spans="1:21" ht="43.5" thickBot="1">
      <c r="A23" s="1747" t="s">
        <v>1961</v>
      </c>
      <c r="B23" s="1683" t="s">
        <v>1962</v>
      </c>
      <c r="C23" s="1684"/>
      <c r="D23" s="1685" t="s">
        <v>1963</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68" t="s">
        <v>1965</v>
      </c>
      <c r="C24" s="3269"/>
      <c r="D24" s="3270" t="s">
        <v>1966</v>
      </c>
      <c r="E24" s="3271"/>
      <c r="F24" s="1690" t="s">
        <v>1967</v>
      </c>
      <c r="G24" s="1676"/>
      <c r="H24" s="1676"/>
      <c r="I24" s="1689"/>
      <c r="J24" s="1676"/>
      <c r="K24" s="3256" t="s">
        <v>1968</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2324</v>
      </c>
      <c r="C25" s="1691" t="s">
        <v>1969</v>
      </c>
      <c r="D25" s="1692"/>
      <c r="E25" s="1693" t="s">
        <v>951</v>
      </c>
      <c r="F25" s="1694"/>
      <c r="G25" s="1676"/>
      <c r="H25" s="1676"/>
      <c r="I25" s="1689"/>
      <c r="J25" s="1676"/>
      <c r="K25" s="3256"/>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1970</v>
      </c>
      <c r="C26" s="1691" t="s">
        <v>2325</v>
      </c>
      <c r="D26" s="1642"/>
      <c r="E26" s="1642"/>
      <c r="F26" s="1670"/>
      <c r="G26" s="1676"/>
      <c r="H26" s="1676"/>
      <c r="I26" s="1689"/>
      <c r="J26" s="1676"/>
      <c r="K26" s="3256"/>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5" thickTop="1">
      <c r="A31" s="3283" t="s">
        <v>2000</v>
      </c>
      <c r="B31" s="1746" t="s">
        <v>2001</v>
      </c>
      <c r="C31" s="3281"/>
      <c r="D31" s="3282"/>
      <c r="E31" s="1676"/>
      <c r="F31" s="1676"/>
      <c r="G31" s="1676"/>
      <c r="H31" s="1676"/>
      <c r="I31" s="1689"/>
      <c r="J31" s="1676"/>
      <c r="K31" s="2420"/>
      <c r="L31" s="1676"/>
      <c r="M31" s="1676"/>
      <c r="N31" s="1676"/>
      <c r="O31" s="1676"/>
      <c r="P31" s="1676"/>
      <c r="Q31" s="1676"/>
      <c r="R31" s="1676"/>
      <c r="S31" s="1676"/>
      <c r="T31" s="1676"/>
      <c r="U31" s="1676"/>
    </row>
    <row r="32" spans="1:21">
      <c r="A32" s="3283"/>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83"/>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84"/>
      <c r="B34" s="1643" t="s">
        <v>2004</v>
      </c>
      <c r="C34" s="3285"/>
      <c r="D34" s="3286"/>
      <c r="E34" s="1676"/>
      <c r="F34" s="1676"/>
      <c r="G34" s="1676"/>
      <c r="H34" s="1676"/>
      <c r="I34" s="1689"/>
      <c r="J34" s="1676"/>
      <c r="K34" s="2420"/>
      <c r="L34" s="1676"/>
      <c r="M34" s="1676"/>
      <c r="N34" s="1676"/>
      <c r="O34" s="1676"/>
      <c r="P34" s="1676"/>
      <c r="Q34" s="1676"/>
      <c r="R34" s="1676"/>
      <c r="S34" s="1676"/>
      <c r="T34" s="1676"/>
      <c r="U34" s="1676"/>
    </row>
    <row r="35" spans="1:21">
      <c r="A35" s="3287" t="s">
        <v>846</v>
      </c>
      <c r="B35" s="1704"/>
      <c r="C35" s="1758" t="str">
        <f>IF(B35="场地平整","——","具体情况：")</f>
        <v>具体情况：</v>
      </c>
      <c r="D35" s="3289"/>
      <c r="E35" s="3290"/>
      <c r="F35" s="3290"/>
      <c r="G35" s="3290"/>
      <c r="H35" s="3290"/>
      <c r="I35" s="3291"/>
      <c r="J35" s="1676"/>
      <c r="K35" s="1757"/>
      <c r="L35" s="1705"/>
      <c r="M35" s="1705"/>
      <c r="N35" s="1676"/>
      <c r="O35" s="1677"/>
      <c r="P35" s="1676"/>
      <c r="Q35" s="1676"/>
      <c r="R35" s="1676"/>
      <c r="S35" s="1676"/>
      <c r="T35" s="1676"/>
      <c r="U35" s="1676"/>
    </row>
    <row r="36" spans="1:21">
      <c r="A36" s="3283"/>
      <c r="B36" s="3292" t="s">
        <v>2053</v>
      </c>
      <c r="C36" s="3293"/>
      <c r="D36" s="1774"/>
      <c r="E36" s="3294"/>
      <c r="F36" s="3294"/>
      <c r="G36" s="1669" t="str">
        <f>IF(B35="场地未平整","估价结果处理","")</f>
        <v/>
      </c>
      <c r="H36" s="3295"/>
      <c r="I36" s="3295"/>
      <c r="J36" s="1676"/>
      <c r="K36" s="1757"/>
      <c r="L36" s="1705"/>
      <c r="M36" s="1705"/>
      <c r="N36" s="1676"/>
      <c r="O36" s="1677"/>
      <c r="P36" s="1676"/>
      <c r="Q36" s="1676"/>
      <c r="R36" s="1676"/>
      <c r="S36" s="1676"/>
      <c r="T36" s="1676"/>
      <c r="U36" s="1676"/>
    </row>
    <row r="37" spans="1:21" ht="28.5">
      <c r="A37" s="3283"/>
      <c r="B37" s="3272"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83"/>
      <c r="B38" s="3273"/>
      <c r="C38" s="1651" t="s">
        <v>849</v>
      </c>
      <c r="D38" s="1773">
        <f>ROUNDDOWN(MIN(('数据-取费表'!$B$2-D37)/365,D34),1)</f>
        <v>119.5</v>
      </c>
      <c r="E38" s="1709" t="s">
        <v>850</v>
      </c>
      <c r="F38" s="1676"/>
      <c r="G38" s="1676"/>
      <c r="H38" s="1676"/>
      <c r="I38" s="1689"/>
      <c r="J38" s="1676"/>
      <c r="K38" s="1757"/>
      <c r="L38" s="1676"/>
      <c r="M38" s="1676"/>
      <c r="N38" s="1676"/>
      <c r="O38" s="1676"/>
      <c r="P38" s="1676"/>
      <c r="Q38" s="1676"/>
      <c r="R38" s="1676"/>
      <c r="S38" s="1676"/>
      <c r="T38" s="1676"/>
      <c r="U38" s="1676"/>
    </row>
    <row r="39" spans="1:21">
      <c r="A39" s="3284"/>
      <c r="B39" s="3274"/>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c r="C40" s="1672"/>
      <c r="D40" s="1672"/>
      <c r="E40" s="1672"/>
      <c r="F40" s="1672"/>
      <c r="G40" s="1672"/>
      <c r="H40" s="1672"/>
      <c r="I40" s="1689"/>
      <c r="J40" s="1676"/>
      <c r="K40" s="1712">
        <f>COUNTIF(B40:H40,"——")</f>
        <v>0</v>
      </c>
      <c r="L40" s="1681" t="s">
        <v>1977</v>
      </c>
      <c r="M40" s="1678" t="s">
        <v>1978</v>
      </c>
      <c r="N40" s="1678" t="s">
        <v>1979</v>
      </c>
      <c r="O40" s="1678" t="s">
        <v>1980</v>
      </c>
      <c r="P40" s="1678" t="s">
        <v>1981</v>
      </c>
      <c r="Q40" s="1678" t="s">
        <v>1982</v>
      </c>
      <c r="R40" s="1678" t="s">
        <v>1983</v>
      </c>
      <c r="S40" s="3255" t="s">
        <v>1984</v>
      </c>
      <c r="T40" s="1713" t="str">
        <f>NUMBERSTRING(7-K40,1)&amp;"通"</f>
        <v>七通</v>
      </c>
      <c r="U40" s="1676"/>
    </row>
    <row r="41" spans="1:21">
      <c r="A41" s="1645"/>
      <c r="B41" s="3288" t="s">
        <v>1720</v>
      </c>
      <c r="C41" s="3288"/>
      <c r="D41" s="3288"/>
      <c r="E41" s="3288"/>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55"/>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2890</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6" t="s">
        <v>0</v>
      </c>
      <c r="B1" s="3296" t="s">
        <v>4</v>
      </c>
      <c r="C1" s="3296" t="s">
        <v>5</v>
      </c>
      <c r="D1" s="3297" t="s">
        <v>40</v>
      </c>
      <c r="E1" s="3297" t="s">
        <v>41</v>
      </c>
      <c r="F1" s="3297"/>
      <c r="G1" s="3297"/>
      <c r="H1" s="3297"/>
      <c r="I1" s="3297"/>
      <c r="J1" s="3297"/>
      <c r="K1" s="3297"/>
      <c r="L1" s="3297"/>
      <c r="M1" s="3297"/>
    </row>
    <row r="2" spans="1:13" ht="27" customHeight="1">
      <c r="A2" s="3296"/>
      <c r="B2" s="3296"/>
      <c r="C2" s="3296"/>
      <c r="D2" s="3297"/>
      <c r="E2" s="3297" t="s">
        <v>24</v>
      </c>
      <c r="F2" s="3297" t="s">
        <v>25</v>
      </c>
      <c r="G2" s="3297"/>
      <c r="H2" s="3297"/>
      <c r="I2" s="3297"/>
      <c r="J2" s="3297" t="s">
        <v>26</v>
      </c>
      <c r="K2" s="3297"/>
      <c r="L2" s="3297"/>
      <c r="M2" s="3297"/>
    </row>
    <row r="3" spans="1:13" ht="28.5">
      <c r="A3" s="3296"/>
      <c r="B3" s="3296"/>
      <c r="C3" s="3296"/>
      <c r="D3" s="3297"/>
      <c r="E3" s="32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7" t="s">
        <v>42</v>
      </c>
      <c r="B9" s="3297"/>
      <c r="C9" s="32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2332</v>
      </c>
      <c r="BA2" s="2323"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71994.8</v>
      </c>
      <c r="B3" s="22">
        <f>IF(C3="否",G5-AT5,G5)</f>
        <v>321749.09999999998</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321749.09999999998</v>
      </c>
      <c r="H5" s="27">
        <f t="shared" ref="H5:AT5" si="0">SUM(H13:H641)</f>
        <v>321749.09999999998</v>
      </c>
      <c r="I5" s="27">
        <f t="shared" si="0"/>
        <v>305661.65000000002</v>
      </c>
      <c r="J5" s="27">
        <f t="shared" si="0"/>
        <v>0</v>
      </c>
      <c r="K5" s="27">
        <f t="shared" si="0"/>
        <v>16087.449999999953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321749.09999999998</v>
      </c>
      <c r="BA5" s="29">
        <f t="shared" si="1"/>
        <v>321749.09999999998</v>
      </c>
      <c r="BB5" s="29">
        <f t="shared" si="1"/>
        <v>305661.65000000002</v>
      </c>
      <c r="BC5" s="29">
        <f t="shared" si="1"/>
        <v>16087.449999999953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2988</v>
      </c>
      <c r="J9" s="51"/>
      <c r="K9" s="2969" t="s">
        <v>2988</v>
      </c>
      <c r="L9" s="51"/>
      <c r="M9" s="2969"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922</v>
      </c>
      <c r="J10" s="51"/>
      <c r="K10" s="2971" t="s">
        <v>2986</v>
      </c>
      <c r="L10" s="51"/>
      <c r="M10" s="2971" t="s">
        <v>3123</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2330</v>
      </c>
      <c r="AK10" s="2316"/>
      <c r="AL10" s="2297" t="s">
        <v>2318</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t="s">
        <v>2989</v>
      </c>
      <c r="J11" s="71"/>
      <c r="K11" s="2970" t="s">
        <v>3120</v>
      </c>
      <c r="L11" s="71"/>
      <c r="M11" s="70" t="s">
        <v>3123</v>
      </c>
      <c r="N11" s="71"/>
      <c r="O11" s="70"/>
      <c r="P11" s="71"/>
      <c r="Q11" s="70"/>
      <c r="R11" s="71"/>
      <c r="S11" s="70"/>
      <c r="T11" s="71"/>
      <c r="U11" s="70"/>
      <c r="V11" s="71"/>
      <c r="W11" s="70"/>
      <c r="X11" s="71"/>
      <c r="Y11" s="70"/>
      <c r="Z11" s="71"/>
      <c r="AA11" s="70"/>
      <c r="AB11" s="71"/>
      <c r="AC11" s="55"/>
      <c r="AD11" s="2317" t="s">
        <v>2329</v>
      </c>
      <c r="AE11" s="1002"/>
      <c r="AF11" s="2317" t="s">
        <v>2329</v>
      </c>
      <c r="AG11" s="1002"/>
      <c r="AH11" s="2317" t="s">
        <v>2328</v>
      </c>
      <c r="AI11" s="2318"/>
      <c r="AJ11" s="2317" t="s">
        <v>2328</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71994.8</v>
      </c>
      <c r="F13" s="81"/>
      <c r="G13" s="82">
        <f t="shared" ref="G13:G20" si="7">H13+AC13+AT13</f>
        <v>321749.09999999998</v>
      </c>
      <c r="H13" s="33">
        <f t="shared" ref="H13:H20" si="8">SUMIF(I$12:AB$12,"总值",I13:AB13)</f>
        <v>321749.09999999998</v>
      </c>
      <c r="I13" s="3215">
        <f>ROUND(321749.1*0.95,2)</f>
        <v>305661.65000000002</v>
      </c>
      <c r="J13" s="2968"/>
      <c r="K13" s="2968">
        <f>321749.1-I13</f>
        <v>16087.449999999953</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71994.8</v>
      </c>
      <c r="AZ13" s="27">
        <f t="shared" ref="AZ13:AZ20" si="12">BA13+BL13</f>
        <v>321749.09999999998</v>
      </c>
      <c r="BA13" s="27">
        <f t="shared" ref="BA13:BA20" si="13">SUM(BB13:BK13)</f>
        <v>321749.09999999998</v>
      </c>
      <c r="BB13" s="27">
        <f t="shared" ref="BB13:BB20" si="14">IF($D13="是",I13-J13,0)</f>
        <v>305661.65000000002</v>
      </c>
      <c r="BC13" s="27">
        <f t="shared" ref="BC13:BC20" si="15">IF($D13="是",K13-L13,0)</f>
        <v>16087.449999999953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22" sqref="D22"/>
    </sheetView>
  </sheetViews>
  <sheetFormatPr defaultRowHeight="13.5"/>
  <cols>
    <col min="1" max="1" width="14.375" customWidth="1"/>
    <col min="4" max="4" width="10.5" bestFit="1" customWidth="1"/>
    <col min="11" max="11" width="12.875" customWidth="1"/>
  </cols>
  <sheetData>
    <row r="2" spans="1:17">
      <c r="A2" s="3182" t="s">
        <v>3121</v>
      </c>
      <c r="B2" s="3182" t="s">
        <v>3134</v>
      </c>
      <c r="C2" s="3182" t="s">
        <v>3139</v>
      </c>
      <c r="D2" s="3182"/>
    </row>
    <row r="3" spans="1:17">
      <c r="A3">
        <v>41090</v>
      </c>
      <c r="B3">
        <v>80000</v>
      </c>
      <c r="C3">
        <f ca="1">结果表!G19</f>
        <v>76737</v>
      </c>
    </row>
    <row r="4" spans="1:17">
      <c r="A4">
        <f>ROUND(A3/'数据-汇总表'!F27*10000,0)</f>
        <v>1277</v>
      </c>
      <c r="B4">
        <f>ROUND(B3/'数据-汇总表'!F27*10000,0)</f>
        <v>2486</v>
      </c>
      <c r="C4">
        <f ca="1">ROUND(C3/'数据-汇总表'!F27*10000,0)</f>
        <v>2385</v>
      </c>
      <c r="D4" s="3199">
        <f ca="1">A4/C4</f>
        <v>0.53542976939203357</v>
      </c>
    </row>
    <row r="6" spans="1:17">
      <c r="A6">
        <f>A3*1.0305</f>
        <v>42343.244999999995</v>
      </c>
    </row>
    <row r="7" spans="1:17">
      <c r="K7" s="3182" t="s">
        <v>3106</v>
      </c>
      <c r="L7">
        <v>285076</v>
      </c>
      <c r="O7" s="3182" t="s">
        <v>3131</v>
      </c>
      <c r="P7" s="3182" t="s">
        <v>3132</v>
      </c>
      <c r="Q7" s="3182" t="s">
        <v>3133</v>
      </c>
    </row>
    <row r="8" spans="1:17">
      <c r="K8" s="3182" t="s">
        <v>3107</v>
      </c>
      <c r="L8">
        <v>15135</v>
      </c>
      <c r="M8" s="3182" t="s">
        <v>3110</v>
      </c>
      <c r="N8" s="3182" t="s">
        <v>3126</v>
      </c>
      <c r="O8">
        <f>L8/2+L10/5</f>
        <v>7771.1</v>
      </c>
      <c r="P8">
        <v>10000</v>
      </c>
      <c r="Q8">
        <v>1</v>
      </c>
    </row>
    <row r="9" spans="1:17">
      <c r="K9" s="3182" t="s">
        <v>3108</v>
      </c>
      <c r="L9">
        <v>3551</v>
      </c>
      <c r="N9" s="3182" t="s">
        <v>3127</v>
      </c>
      <c r="O9">
        <f>L8/2+L10/5</f>
        <v>7771.1</v>
      </c>
      <c r="P9">
        <f>$P$8*Q9</f>
        <v>6000</v>
      </c>
      <c r="Q9">
        <v>0.6</v>
      </c>
    </row>
    <row r="10" spans="1:17">
      <c r="K10" s="3182" t="s">
        <v>3109</v>
      </c>
      <c r="L10">
        <v>1018</v>
      </c>
      <c r="M10" s="3182" t="s">
        <v>3125</v>
      </c>
      <c r="N10" s="3182" t="s">
        <v>3128</v>
      </c>
      <c r="O10">
        <f>L10/5</f>
        <v>203.6</v>
      </c>
      <c r="P10">
        <f t="shared" ref="P10:P12" si="0">$P$8*Q10</f>
        <v>5000</v>
      </c>
      <c r="Q10">
        <v>0.5</v>
      </c>
    </row>
    <row r="11" spans="1:17">
      <c r="K11" s="3182" t="s">
        <v>3111</v>
      </c>
      <c r="L11">
        <v>3853</v>
      </c>
      <c r="N11" s="3182" t="s">
        <v>3129</v>
      </c>
      <c r="O11">
        <f>O10</f>
        <v>203.6</v>
      </c>
      <c r="P11">
        <f t="shared" si="0"/>
        <v>5000</v>
      </c>
      <c r="Q11">
        <v>0.5</v>
      </c>
    </row>
    <row r="12" spans="1:17">
      <c r="K12" s="3182" t="s">
        <v>3112</v>
      </c>
      <c r="L12">
        <v>584</v>
      </c>
      <c r="N12" s="3182" t="s">
        <v>3130</v>
      </c>
      <c r="O12">
        <f>O10</f>
        <v>203.6</v>
      </c>
      <c r="P12">
        <f t="shared" si="0"/>
        <v>5000</v>
      </c>
      <c r="Q12">
        <v>0.5</v>
      </c>
    </row>
    <row r="13" spans="1:17">
      <c r="K13" s="3182" t="s">
        <v>3114</v>
      </c>
      <c r="L13">
        <v>1690</v>
      </c>
      <c r="O13">
        <f>SUM(O8:O12)</f>
        <v>16153.000000000002</v>
      </c>
      <c r="P13">
        <f>ROUND((P12*O12+P11*O11+P10*O10+P9*O9+P8*O8)/O13,0)</f>
        <v>7887</v>
      </c>
    </row>
    <row r="14" spans="1:17">
      <c r="K14" s="3182" t="s">
        <v>3115</v>
      </c>
      <c r="L14">
        <v>150</v>
      </c>
    </row>
    <row r="15" spans="1:17">
      <c r="K15" s="3182" t="s">
        <v>3116</v>
      </c>
      <c r="L15">
        <v>584</v>
      </c>
    </row>
    <row r="16" spans="1:17">
      <c r="K16" s="3182" t="s">
        <v>3117</v>
      </c>
      <c r="L16">
        <v>25</v>
      </c>
    </row>
    <row r="17" spans="11:13">
      <c r="K17" s="3182" t="s">
        <v>3119</v>
      </c>
      <c r="L17">
        <v>60</v>
      </c>
    </row>
    <row r="18" spans="11:13">
      <c r="K18" s="3182" t="s">
        <v>3113</v>
      </c>
      <c r="L18">
        <v>760</v>
      </c>
    </row>
    <row r="20" spans="11:13">
      <c r="K20" s="3182"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68" customWidth="1"/>
    <col min="2" max="2" width="10.25" style="1968" customWidth="1"/>
    <col min="3" max="3" width="18.5" style="1968" customWidth="1"/>
    <col min="4" max="4" width="11.125" style="1968" customWidth="1"/>
    <col min="5" max="5" width="13.375" style="1968" customWidth="1"/>
    <col min="6" max="8" width="11.5" style="1968" customWidth="1"/>
    <col min="9" max="9" width="10.375" style="1968" customWidth="1"/>
    <col min="10" max="10" width="3.125" style="1968" customWidth="1"/>
    <col min="11" max="16" width="11.625" style="1968" customWidth="1"/>
    <col min="17" max="17" width="3.375" style="1968" customWidth="1"/>
    <col min="18" max="16384" width="9.25" style="1968"/>
  </cols>
  <sheetData>
    <row r="1" spans="1:16" ht="18.75">
      <c r="A1" s="104" t="s">
        <v>202</v>
      </c>
      <c r="B1" s="1967"/>
      <c r="C1" s="1967"/>
      <c r="D1" s="1967"/>
      <c r="E1" s="1967"/>
      <c r="F1" s="1967"/>
      <c r="G1" s="1967"/>
      <c r="H1" s="1967"/>
      <c r="I1" s="1967"/>
      <c r="J1" s="1967"/>
      <c r="K1" s="1967"/>
      <c r="L1" s="1967"/>
    </row>
    <row r="2" spans="1:16" ht="15">
      <c r="A2" s="3307" t="s">
        <v>203</v>
      </c>
      <c r="B2" s="3307"/>
      <c r="C2" s="3307"/>
      <c r="D2" s="1958" t="s">
        <v>204</v>
      </c>
      <c r="E2" s="106" t="s">
        <v>205</v>
      </c>
      <c r="F2" s="1967"/>
      <c r="G2" s="1194"/>
      <c r="H2" s="1195"/>
      <c r="I2" s="1196" t="s">
        <v>856</v>
      </c>
      <c r="J2" s="1967"/>
      <c r="K2" s="1967"/>
      <c r="L2" s="1967"/>
    </row>
    <row r="3" spans="1:16" ht="15.75" thickBot="1">
      <c r="A3" s="3308" t="s">
        <v>206</v>
      </c>
      <c r="B3" s="3308"/>
      <c r="C3" s="3308"/>
      <c r="D3" s="107">
        <f>'数据-基础表'!AY6</f>
        <v>71994.8</v>
      </c>
      <c r="E3" s="107">
        <f>'数据-基础表'!AZ5</f>
        <v>321749.09999999998</v>
      </c>
      <c r="F3" s="1967"/>
      <c r="G3" s="280" t="s">
        <v>857</v>
      </c>
      <c r="H3" s="275" t="s">
        <v>858</v>
      </c>
      <c r="I3" s="1959">
        <f>ROUND('数据-基础表'!B3/'数据-基础表'!A3,2)</f>
        <v>4.47</v>
      </c>
      <c r="J3" s="1967"/>
      <c r="K3" s="1967"/>
      <c r="L3" s="1967"/>
    </row>
    <row r="4" spans="1:16" ht="15">
      <c r="A4" s="3309"/>
      <c r="B4" s="3310"/>
      <c r="C4" s="3311"/>
      <c r="D4" s="108" t="s">
        <v>204</v>
      </c>
      <c r="E4" s="109" t="s">
        <v>205</v>
      </c>
      <c r="F4" s="1967"/>
      <c r="G4" s="1197"/>
      <c r="H4" s="275" t="s">
        <v>859</v>
      </c>
      <c r="I4" s="1959">
        <f>ROUND(SUMIF('数据-基础表'!I9:AS9,"地上",'数据-基础表'!I5:AS5)/'数据-基础表'!A3,2)</f>
        <v>4.47</v>
      </c>
      <c r="J4" s="1967"/>
      <c r="K4" s="1967"/>
      <c r="L4" s="1967"/>
    </row>
    <row r="5" spans="1:16">
      <c r="A5" s="110" t="s">
        <v>207</v>
      </c>
      <c r="B5" s="3312" t="s">
        <v>230</v>
      </c>
      <c r="C5" s="3312"/>
      <c r="D5" s="111">
        <f>ROUND($D$3*E5/$E$3,2)</f>
        <v>68395.06</v>
      </c>
      <c r="E5" s="112">
        <f>SUMIF('数据-基础表'!$11:$11,"住宅",'数据-基础表'!$5:$5)</f>
        <v>305661.65000000002</v>
      </c>
      <c r="F5" s="1967"/>
      <c r="G5" s="280" t="s">
        <v>860</v>
      </c>
      <c r="H5" s="275" t="s">
        <v>858</v>
      </c>
      <c r="I5" s="1959">
        <f>ROUND(E31/D31,2)</f>
        <v>4.47</v>
      </c>
      <c r="J5" s="1967"/>
      <c r="K5" s="1967"/>
      <c r="L5" s="1967"/>
    </row>
    <row r="6" spans="1:16" ht="15" thickBot="1">
      <c r="A6" s="113"/>
      <c r="B6" s="3312" t="s">
        <v>208</v>
      </c>
      <c r="C6" s="3312"/>
      <c r="D6" s="111">
        <f>ROUND($D$3*E6/$E$3,2)</f>
        <v>3599.74</v>
      </c>
      <c r="E6" s="112">
        <f>E3-E5</f>
        <v>16087.449999999953</v>
      </c>
      <c r="F6" s="1967"/>
      <c r="G6" s="1197"/>
      <c r="H6" s="275" t="s">
        <v>859</v>
      </c>
      <c r="I6" s="1959">
        <f>ROUND(F31/D31,2)</f>
        <v>4.47</v>
      </c>
      <c r="J6" s="1967"/>
      <c r="K6" s="1967"/>
      <c r="L6" s="1967"/>
    </row>
    <row r="7" spans="1:16" ht="15">
      <c r="A7" s="3304"/>
      <c r="B7" s="3305"/>
      <c r="C7" s="3306"/>
      <c r="D7" s="108" t="s">
        <v>204</v>
      </c>
      <c r="E7" s="114" t="s">
        <v>231</v>
      </c>
      <c r="F7" s="1967"/>
      <c r="G7" s="1152" t="s">
        <v>1644</v>
      </c>
      <c r="H7" s="1153"/>
      <c r="I7" s="1829"/>
      <c r="J7" s="1967"/>
      <c r="K7" s="1967"/>
      <c r="L7" s="1967"/>
    </row>
    <row r="8" spans="1:16">
      <c r="A8" s="110" t="s">
        <v>209</v>
      </c>
      <c r="B8" s="115" t="s">
        <v>210</v>
      </c>
      <c r="C8" s="111" t="s">
        <v>211</v>
      </c>
      <c r="D8" s="111">
        <f t="shared" ref="D8:D15" si="0">ROUND($D$3*E8/$E$3,2)</f>
        <v>71994.8</v>
      </c>
      <c r="E8" s="116">
        <f>SUMIF('数据-基础表'!BB10:BK10,"地上",'数据-基础表'!BB5:BK5)</f>
        <v>321749.09999999998</v>
      </c>
      <c r="F8" s="1967"/>
      <c r="G8" s="1969"/>
      <c r="H8" s="1969"/>
      <c r="I8" s="1967"/>
      <c r="J8" s="1967"/>
      <c r="K8" s="1967"/>
      <c r="L8" s="1967"/>
    </row>
    <row r="9" spans="1:16">
      <c r="A9" s="117"/>
      <c r="B9" s="118"/>
      <c r="C9" s="111" t="s">
        <v>212</v>
      </c>
      <c r="D9" s="111">
        <f t="shared" si="0"/>
        <v>0</v>
      </c>
      <c r="E9" s="119">
        <f>'数据-基础表'!AC13</f>
        <v>0</v>
      </c>
      <c r="F9" s="1967"/>
      <c r="G9" s="1969"/>
      <c r="H9" s="1969"/>
      <c r="I9" s="1967"/>
      <c r="J9" s="1967"/>
      <c r="K9" s="1967"/>
      <c r="L9" s="1967"/>
    </row>
    <row r="10" spans="1:16">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c r="A11" s="117"/>
      <c r="B11" s="118"/>
      <c r="C11" s="2314" t="s">
        <v>2326</v>
      </c>
      <c r="D11" s="111">
        <f t="shared" si="0"/>
        <v>0</v>
      </c>
      <c r="E11" s="116">
        <f>SUMPRODUCT(('数据-基础表'!BB10:BK10="地下")*('数据-基础表'!BB11:BK11="办公")*('数据-基础表'!BB5:BK5))+'数据-基础表'!AJ5</f>
        <v>0</v>
      </c>
      <c r="F11" s="1967"/>
      <c r="G11" s="1969"/>
      <c r="H11" s="1969"/>
      <c r="I11" s="1967"/>
      <c r="J11" s="1967"/>
      <c r="K11" s="1967"/>
      <c r="L11" s="1967"/>
    </row>
    <row r="12" spans="1:16">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c r="A13" s="117"/>
      <c r="B13" s="118"/>
      <c r="C13" s="2314" t="s">
        <v>2333</v>
      </c>
      <c r="D13" s="111">
        <f t="shared" si="0"/>
        <v>0</v>
      </c>
      <c r="E13" s="116">
        <f>SUMPRODUCT(('数据-基础表'!BB10:BK10="地下")*('数据-基础表'!BB11:BK11="车库")*('数据-基础表'!BB5:BK5))</f>
        <v>0</v>
      </c>
      <c r="F13" s="1967"/>
      <c r="G13" s="1969"/>
      <c r="H13" s="1969"/>
      <c r="I13" s="1967"/>
      <c r="J13" s="1967"/>
      <c r="K13" s="1967"/>
      <c r="L13" s="1967"/>
    </row>
    <row r="14" spans="1:16">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75" thickBot="1">
      <c r="A16" s="113"/>
      <c r="B16" s="118"/>
      <c r="C16" s="115" t="s">
        <v>215</v>
      </c>
      <c r="D16" s="115">
        <f>SUM(D8:D15)</f>
        <v>71994.8</v>
      </c>
      <c r="E16" s="120">
        <f>SUM(E8:E15)</f>
        <v>321749.09999999998</v>
      </c>
      <c r="F16" s="1967"/>
      <c r="G16" s="1969"/>
      <c r="H16" s="968" t="s">
        <v>219</v>
      </c>
      <c r="I16" s="969"/>
      <c r="J16" s="1967"/>
      <c r="K16" s="3298" t="s">
        <v>2564</v>
      </c>
      <c r="L16" s="3299"/>
      <c r="M16" s="3299"/>
      <c r="N16" s="3299"/>
      <c r="O16" s="3299"/>
      <c r="P16" s="3300"/>
    </row>
    <row r="17" spans="1:19" ht="15">
      <c r="A17" s="121" t="s">
        <v>216</v>
      </c>
      <c r="B17" s="122" t="s">
        <v>217</v>
      </c>
      <c r="C17" s="2281" t="s">
        <v>2312</v>
      </c>
      <c r="D17" s="108" t="s">
        <v>204</v>
      </c>
      <c r="E17" s="124" t="s">
        <v>205</v>
      </c>
      <c r="F17" s="125"/>
      <c r="G17" s="1360"/>
      <c r="H17" s="970" t="s">
        <v>218</v>
      </c>
      <c r="I17" s="971" t="s">
        <v>2311</v>
      </c>
      <c r="J17" s="1967"/>
      <c r="K17" s="3301" t="s">
        <v>2565</v>
      </c>
      <c r="L17" s="3302"/>
      <c r="M17" s="3303"/>
      <c r="N17" s="3301" t="s">
        <v>2566</v>
      </c>
      <c r="O17" s="3302"/>
      <c r="P17" s="3303"/>
      <c r="R17" s="2282" t="s">
        <v>2310</v>
      </c>
      <c r="S17" s="144"/>
    </row>
    <row r="18" spans="1:19" ht="15">
      <c r="A18" s="117"/>
      <c r="B18" s="128"/>
      <c r="C18" s="129"/>
      <c r="D18" s="2604"/>
      <c r="E18" s="130" t="s">
        <v>220</v>
      </c>
      <c r="F18" s="131" t="s">
        <v>221</v>
      </c>
      <c r="G18" s="1361" t="s">
        <v>222</v>
      </c>
      <c r="H18" s="972" t="s">
        <v>223</v>
      </c>
      <c r="I18" s="973" t="s">
        <v>224</v>
      </c>
      <c r="J18" s="1967"/>
      <c r="K18" s="2567" t="s">
        <v>2567</v>
      </c>
      <c r="L18" s="2568" t="s">
        <v>2568</v>
      </c>
      <c r="M18" s="2569" t="s">
        <v>2569</v>
      </c>
      <c r="N18" s="2567" t="s">
        <v>2567</v>
      </c>
      <c r="O18" s="2568" t="s">
        <v>2568</v>
      </c>
      <c r="P18" s="2569" t="s">
        <v>2569</v>
      </c>
      <c r="R18" s="2283" t="s">
        <v>2308</v>
      </c>
      <c r="S18" s="2283" t="s">
        <v>2309</v>
      </c>
    </row>
    <row r="19" spans="1:19">
      <c r="A19" s="133"/>
      <c r="B19" s="115" t="s">
        <v>225</v>
      </c>
      <c r="C19" s="2975" t="s">
        <v>2990</v>
      </c>
      <c r="D19" s="111">
        <f t="shared" ref="D19:D26" si="1">ROUND($D$3*E19/$E$3,2)</f>
        <v>68395.06</v>
      </c>
      <c r="E19" s="134">
        <f t="shared" ref="E19:E26" si="2">SUM(F19:G19)</f>
        <v>305661.65000000002</v>
      </c>
      <c r="F19" s="135">
        <f>'数据-基础表'!I13</f>
        <v>305661.65000000002</v>
      </c>
      <c r="G19" s="1362"/>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68395.06</v>
      </c>
      <c r="S19" s="2284">
        <f t="shared" si="5"/>
        <v>305661.65000000002</v>
      </c>
    </row>
    <row r="20" spans="1:19">
      <c r="A20" s="138"/>
      <c r="B20" s="115" t="s">
        <v>226</v>
      </c>
      <c r="C20" s="2975" t="s">
        <v>3124</v>
      </c>
      <c r="D20" s="111">
        <f t="shared" si="1"/>
        <v>3599.74</v>
      </c>
      <c r="E20" s="134">
        <f t="shared" si="2"/>
        <v>16087.449999999953</v>
      </c>
      <c r="F20" s="135">
        <f>'数据-基础表'!K13</f>
        <v>16087.449999999953</v>
      </c>
      <c r="G20" s="1362"/>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3599.74</v>
      </c>
      <c r="S20" s="2284">
        <f t="shared" si="5"/>
        <v>16087.449999999953</v>
      </c>
    </row>
    <row r="21" spans="1:19">
      <c r="A21" s="138"/>
      <c r="B21" s="115" t="s">
        <v>226</v>
      </c>
      <c r="C21" s="2975"/>
      <c r="D21" s="111">
        <f t="shared" si="1"/>
        <v>0</v>
      </c>
      <c r="E21" s="134">
        <f t="shared" si="2"/>
        <v>0</v>
      </c>
      <c r="F21" s="135"/>
      <c r="G21" s="1362"/>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c r="A22" s="138"/>
      <c r="B22" s="115" t="s">
        <v>226</v>
      </c>
      <c r="C22" s="1359"/>
      <c r="D22" s="111">
        <f t="shared" si="1"/>
        <v>0</v>
      </c>
      <c r="E22" s="134">
        <f t="shared" si="2"/>
        <v>0</v>
      </c>
      <c r="F22" s="140"/>
      <c r="G22" s="1363"/>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c r="A23" s="138"/>
      <c r="B23" s="115" t="s">
        <v>226</v>
      </c>
      <c r="C23" s="139"/>
      <c r="D23" s="111">
        <f>ROUND($D$3*E23/$E$3,2)</f>
        <v>0</v>
      </c>
      <c r="E23" s="134">
        <f>SUM(F23:G23)</f>
        <v>0</v>
      </c>
      <c r="F23" s="140"/>
      <c r="G23" s="1363"/>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c r="A24" s="138"/>
      <c r="B24" s="115" t="s">
        <v>226</v>
      </c>
      <c r="C24" s="139"/>
      <c r="D24" s="111">
        <f>ROUND($D$3*E24/$E$3,2)</f>
        <v>0</v>
      </c>
      <c r="E24" s="134">
        <f>SUM(F24:G24)</f>
        <v>0</v>
      </c>
      <c r="F24" s="140"/>
      <c r="G24" s="1363"/>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75" thickBot="1">
      <c r="A27" s="138"/>
      <c r="B27" s="111"/>
      <c r="C27" s="127" t="s">
        <v>215</v>
      </c>
      <c r="D27" s="134">
        <f>SUM(D19:D26)</f>
        <v>71994.8</v>
      </c>
      <c r="E27" s="143">
        <f>IF(SUM(E19:E26)='数据-基础表'!BA5,SUM(E19:E26),IF(F27="地上面积有误","面积有误","地下面积有误"))</f>
        <v>321749.09999999998</v>
      </c>
      <c r="F27" s="134">
        <f>IF(SUM(F19:F26)=E8,SUM(F19:F26),"地上面积有误")</f>
        <v>321749.09999999998</v>
      </c>
      <c r="G27" s="112">
        <f>SUM(G19:G26)</f>
        <v>0</v>
      </c>
      <c r="H27" s="975">
        <f>SUM(H19:H26)</f>
        <v>0</v>
      </c>
      <c r="I27" s="976">
        <f>SUM(I19:I26)</f>
        <v>0</v>
      </c>
      <c r="J27" s="1967"/>
      <c r="K27" s="2579">
        <f>SUM(K19:K26)</f>
        <v>0</v>
      </c>
      <c r="L27" s="2580">
        <f>SUM(L19:L26)</f>
        <v>0</v>
      </c>
      <c r="M27" s="2581">
        <f>SUM(M19:M26)</f>
        <v>0</v>
      </c>
      <c r="N27" s="2579">
        <f t="shared" ref="N27:O27" si="10">SUM(N19:N26)</f>
        <v>0</v>
      </c>
      <c r="O27" s="2580">
        <f t="shared" si="10"/>
        <v>0</v>
      </c>
      <c r="P27" s="2582">
        <f>SUM(P19:P26)</f>
        <v>0</v>
      </c>
      <c r="R27" s="2288">
        <f>IF(SUM(R19:R26)=$D$3,SUM(R19:R26),SUM(R19:R26)&amp;"误差"&amp;ROUND(SUM(R19:R26)-$D$3,2))</f>
        <v>71994.8</v>
      </c>
      <c r="S27" s="275">
        <f>IF(SUM(S19:S26)=$E$3,SUM(S19:S26),SUM(S19:S26)&amp;"误差"&amp;ROUND(SUM(S19:S26)-E3,2))</f>
        <v>321749.09999999998</v>
      </c>
    </row>
    <row r="28" spans="1:19">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2321</v>
      </c>
      <c r="D31" s="1366">
        <f>D27+D30</f>
        <v>71994.8</v>
      </c>
      <c r="E31" s="1366">
        <f>E27+E30</f>
        <v>321749.09999999998</v>
      </c>
      <c r="F31" s="1367">
        <f>F27+F30</f>
        <v>321749.09999999998</v>
      </c>
      <c r="G31" s="1368">
        <f>G27+G30</f>
        <v>0</v>
      </c>
      <c r="H31" s="1967"/>
      <c r="I31" s="1967"/>
      <c r="J31" s="1967"/>
      <c r="K31" s="1967"/>
      <c r="L31" s="1967"/>
    </row>
    <row r="32" spans="1:19">
      <c r="A32" s="1967"/>
      <c r="B32" s="2325" t="s">
        <v>2320</v>
      </c>
      <c r="C32" s="2609"/>
      <c r="D32" s="1197"/>
      <c r="E32" s="1197">
        <f>SUMIF(C19:C26,"*住宅*",E19:E26)</f>
        <v>305661.65000000002</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6" sqref="K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1"/>
    <col min="42" max="42" width="0" style="1981" hidden="1" customWidth="1"/>
    <col min="43" max="83" width="13.75" style="1981"/>
    <col min="84" max="16384" width="13.75" style="1199"/>
  </cols>
  <sheetData>
    <row r="1" spans="1:83" ht="19.5"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75" thickBot="1">
      <c r="A2" s="149" t="s">
        <v>235</v>
      </c>
      <c r="B2" s="2321">
        <f>项目基本情况!D3</f>
        <v>43628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5"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54">
      <c r="A5" s="2287"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2322</v>
      </c>
      <c r="AI5" s="171" t="s">
        <v>2291</v>
      </c>
      <c r="AJ5" s="171" t="s">
        <v>258</v>
      </c>
      <c r="AK5" s="159" t="s">
        <v>259</v>
      </c>
      <c r="AL5" s="159" t="s">
        <v>260</v>
      </c>
      <c r="AM5" s="172" t="s">
        <v>261</v>
      </c>
      <c r="AN5" s="2353" t="s">
        <v>2372</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25">
      <c r="A6" s="2285" t="str">
        <f>'数据-汇总表'!C19</f>
        <v>住宅</v>
      </c>
      <c r="B6" s="2320" t="str">
        <f>IF(A6=0,"","经营性")</f>
        <v>经营性</v>
      </c>
      <c r="C6" s="173" t="s">
        <v>922</v>
      </c>
      <c r="D6" s="2291">
        <f>SUMIF(项目基本情况!D$15:I$15,C6,项目基本情况!D$18:I$18)</f>
        <v>70</v>
      </c>
      <c r="E6" s="2292">
        <f>IF(B6="","",SUMIF(项目基本情况!D$15:I$15,C6,项目基本情况!D$17:I$17))</f>
        <v>68205</v>
      </c>
      <c r="F6" s="174">
        <f>SUMIF(项目基本情况!D$15:I$15,C6,项目基本情况!D$19:I$19)</f>
        <v>67.33</v>
      </c>
      <c r="G6" s="175">
        <f>IF(ISERROR(ROUND(POWER(1+H6,D6-F6)*(POWER(1+H6,F6)-1)/(POWER(1+H6,D6)-1),3)),0,ROUND(POWER(1+H6,D6-F6)*(POWER(1+H6,F6)-1)/(POWER(1+H6,D6)-1),3))</f>
        <v>0.99399999999999999</v>
      </c>
      <c r="H6" s="2976">
        <v>4.4999999999999998E-2</v>
      </c>
      <c r="I6" s="2976">
        <v>0.05</v>
      </c>
      <c r="J6" s="176">
        <v>8.5000000000000006E-2</v>
      </c>
      <c r="K6" s="179">
        <f>SUMIF('数据-汇总表'!C$19:C$33,'数据-取费表'!A6,'数据-汇总表'!E$19:E$33)</f>
        <v>305661.65000000002</v>
      </c>
      <c r="L6" s="2977">
        <v>2500</v>
      </c>
      <c r="M6" s="177">
        <f t="shared" ref="M6:M14" si="0">ROUND(K6*L6/10000,0)</f>
        <v>76415</v>
      </c>
      <c r="N6" s="2978">
        <v>0</v>
      </c>
      <c r="O6" s="177">
        <f>IF($N$5="成新度","——",ROUND(M6*N6,0))</f>
        <v>0</v>
      </c>
      <c r="P6" s="178">
        <f>IF($N$5="成新度","——",M6-O6)</f>
        <v>76415</v>
      </c>
      <c r="Q6" s="2979">
        <v>0.25</v>
      </c>
      <c r="R6" s="179">
        <f>SUMIF('数据-汇总表'!C$19:C$33,A6,'数据-汇总表'!R$19:R$33)</f>
        <v>68395.06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0.94799999999999995</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25">
      <c r="A7" s="2285" t="str">
        <f>'数据-汇总表'!C20</f>
        <v>商业</v>
      </c>
      <c r="B7" s="2320" t="str">
        <f t="shared" ref="B7:B13" si="1">IF(A7=0,"","经营性")</f>
        <v>经营性</v>
      </c>
      <c r="C7" s="173" t="s">
        <v>2986</v>
      </c>
      <c r="D7" s="2291">
        <f>SUMIF(项目基本情况!D$15:I$15,C7,项目基本情况!D$18:I$18)</f>
        <v>40</v>
      </c>
      <c r="E7" s="2292">
        <f>IF(B7="","",SUMIF(项目基本情况!D$15:I$15,C7,项目基本情况!D$17:I$17))</f>
        <v>57248</v>
      </c>
      <c r="F7" s="174">
        <f>SUMIF(项目基本情况!D$15:I$15,C7,项目基本情况!D$19:I$19)</f>
        <v>37.31</v>
      </c>
      <c r="G7" s="175">
        <f t="shared" ref="G7:G11" si="2">IF(ISERROR(ROUND(POWER(1+H7,D7-F7)*(POWER(1+H7,F7)-1)/(POWER(1+H7,D7)-1),3)),0,ROUND(POWER(1+H7,D7-F7)*(POWER(1+H7,F7)-1)/(POWER(1+H7,D7)-1),3))</f>
        <v>0.97699999999999998</v>
      </c>
      <c r="H7" s="2976">
        <v>0.05</v>
      </c>
      <c r="I7" s="2976">
        <v>5.5E-2</v>
      </c>
      <c r="J7" s="176">
        <v>8.5000000000000006E-2</v>
      </c>
      <c r="K7" s="179">
        <f>SUMIF('数据-汇总表'!C$19:C$33,'数据-取费表'!A7,'数据-汇总表'!E$19:E$33)</f>
        <v>16087.449999999953</v>
      </c>
      <c r="L7" s="2977">
        <v>2500</v>
      </c>
      <c r="M7" s="177">
        <f t="shared" si="0"/>
        <v>4022</v>
      </c>
      <c r="N7" s="2978">
        <v>0</v>
      </c>
      <c r="O7" s="177">
        <f t="shared" ref="O7:O14" si="3">IF($N$5="成新度","——",ROUND(M7*N7,0))</f>
        <v>0</v>
      </c>
      <c r="P7" s="178">
        <f t="shared" ref="P7:P14" si="4">IF($N$5="成新度","——",M7-O7)</f>
        <v>4022</v>
      </c>
      <c r="Q7" s="2979">
        <v>0.3</v>
      </c>
      <c r="R7" s="179">
        <f>SUMIF('数据-汇总表'!C$19:C$33,A7,'数据-汇总表'!R$19:R$33)</f>
        <v>3599.74</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1.9</v>
      </c>
      <c r="V7" s="181">
        <v>0.02</v>
      </c>
      <c r="W7" s="181">
        <v>0.2</v>
      </c>
      <c r="X7" s="2304"/>
      <c r="Y7" s="182">
        <v>1</v>
      </c>
      <c r="Z7" s="183"/>
      <c r="AA7" s="176"/>
      <c r="AB7" s="176"/>
      <c r="AC7" s="2307"/>
      <c r="AD7" s="184"/>
      <c r="AE7" s="972">
        <f t="shared" ref="AE7:AE13" ca="1" si="6">IF(AN7="",0,SUMIF(INDIRECT("'"&amp;AN7&amp;"'"&amp;"!E:E"),$AE$5,INDIRECT("'"&amp;AN7&amp;"'"&amp;"!F:F")))</f>
        <v>37.31</v>
      </c>
      <c r="AF7" s="141"/>
      <c r="AG7" s="1209">
        <f t="shared" ref="AG7:AG13" si="7">IF(AF7="",0,AE7-AF7)</f>
        <v>0</v>
      </c>
      <c r="AH7" s="141"/>
      <c r="AI7" s="187">
        <v>365</v>
      </c>
      <c r="AJ7" s="188"/>
      <c r="AK7" s="189">
        <v>0.02</v>
      </c>
      <c r="AL7" s="190">
        <v>2E-3</v>
      </c>
      <c r="AM7" s="2990">
        <v>0.02</v>
      </c>
      <c r="AN7" s="2354" t="s">
        <v>3136</v>
      </c>
      <c r="AO7" s="1983"/>
      <c r="AP7" s="1200">
        <f t="shared" ref="AP7:AP13" si="8">ROUND(1-1/(1+H7)^F7,3)</f>
        <v>0.83799999999999997</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25">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3210"/>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990"/>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25">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25">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25">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25">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25">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4.25">
      <c r="A14" s="2286" t="s">
        <v>2313</v>
      </c>
      <c r="B14" s="2289" t="s">
        <v>1678</v>
      </c>
      <c r="C14" s="2290" t="s">
        <v>2313</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7">
      <c r="A15" s="2295" t="s">
        <v>2315</v>
      </c>
      <c r="B15" s="2289" t="s">
        <v>1678</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321749.09999999998</v>
      </c>
      <c r="L16" s="206">
        <f>ROUND(M16*10000/SUM(K6:K14),0)</f>
        <v>2500</v>
      </c>
      <c r="M16" s="206">
        <f>SUM(M6:M14)</f>
        <v>80437</v>
      </c>
      <c r="N16" s="207">
        <f>ROUND(SUMPRODUCT(M6:M14,N6:N14)/M16,3)</f>
        <v>0</v>
      </c>
      <c r="O16" s="206">
        <f>SUM(O6:O14)</f>
        <v>0</v>
      </c>
      <c r="P16" s="206">
        <f>SUM(P6:P14)</f>
        <v>80437</v>
      </c>
      <c r="Q16" s="208">
        <f>ROUND(SUMPRODUCT(Q6:Q13,K6:K13)/SUMPRODUCT((Q6:Q13&gt;0)*(K6:K13)),2)</f>
        <v>0.25</v>
      </c>
      <c r="R16" s="2294">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0.94299999999999995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5"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25">
      <c r="A19" s="217" t="s">
        <v>264</v>
      </c>
      <c r="B19" s="218">
        <v>0</v>
      </c>
      <c r="C19" s="2326" t="s">
        <v>2335</v>
      </c>
      <c r="D19" s="1976"/>
      <c r="E19" s="1975"/>
      <c r="F19" s="1975"/>
      <c r="G19" s="1975"/>
      <c r="H19" s="1975"/>
      <c r="I19" s="1975"/>
      <c r="J19" s="1975"/>
      <c r="K19" s="1974"/>
      <c r="L19" s="1974"/>
      <c r="M19" s="1972"/>
      <c r="N19" s="1972"/>
      <c r="O19" s="1972"/>
      <c r="P19" s="1972"/>
      <c r="Q19" s="1972"/>
      <c r="R19" s="1972"/>
      <c r="S19" s="1972"/>
      <c r="T19" s="1972"/>
      <c r="U19" s="1972" t="s">
        <v>3215</v>
      </c>
      <c r="V19" s="1972">
        <v>1</v>
      </c>
      <c r="W19" s="1972">
        <v>2.5</v>
      </c>
      <c r="X19" s="1972"/>
      <c r="Y19" s="1972"/>
      <c r="Z19" s="1972"/>
      <c r="AA19" s="1972"/>
      <c r="AB19" s="1972"/>
      <c r="AC19" s="1972"/>
      <c r="AD19" s="1972"/>
      <c r="AE19" s="1972"/>
      <c r="AF19" s="1972"/>
      <c r="AG19" s="1972"/>
      <c r="AH19" s="1972"/>
      <c r="AI19" s="1972"/>
      <c r="AJ19" s="1972"/>
      <c r="AK19" s="1972"/>
      <c r="AL19" s="1972"/>
      <c r="AM19" s="1972"/>
    </row>
    <row r="20" spans="1:83" ht="14.25">
      <c r="A20" s="219" t="s">
        <v>265</v>
      </c>
      <c r="B20" s="220">
        <v>3</v>
      </c>
      <c r="C20" s="2326" t="s">
        <v>2334</v>
      </c>
      <c r="D20" s="1976"/>
      <c r="E20" s="1975"/>
      <c r="F20" s="1975"/>
      <c r="G20" s="1975"/>
      <c r="H20" s="1975"/>
      <c r="I20" s="1975"/>
      <c r="J20" s="1975"/>
      <c r="K20" s="1974"/>
      <c r="L20" s="1974"/>
      <c r="M20" s="1972"/>
      <c r="N20" s="1972"/>
      <c r="O20" s="1972"/>
      <c r="P20" s="1972"/>
      <c r="Q20" s="1972"/>
      <c r="R20" s="1972"/>
      <c r="S20" s="1972"/>
      <c r="T20" s="1972"/>
      <c r="U20" s="1972" t="s">
        <v>3216</v>
      </c>
      <c r="V20" s="1972">
        <v>0.7</v>
      </c>
      <c r="W20" s="1972">
        <f>W19*V20</f>
        <v>1.75</v>
      </c>
      <c r="X20" s="1972"/>
      <c r="Y20" s="1972"/>
      <c r="Z20" s="1972"/>
      <c r="AA20" s="1972"/>
      <c r="AB20" s="1972"/>
      <c r="AC20" s="1972"/>
      <c r="AD20" s="1972"/>
      <c r="AE20" s="1972"/>
      <c r="AF20" s="1972"/>
      <c r="AG20" s="1972"/>
      <c r="AH20" s="1972"/>
      <c r="AI20" s="1972"/>
      <c r="AJ20" s="1972"/>
      <c r="AK20" s="1972"/>
      <c r="AL20" s="1972"/>
      <c r="AM20" s="1972"/>
    </row>
    <row r="21" spans="1:83" ht="14.25">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3214" t="s">
        <v>3217</v>
      </c>
      <c r="V21" s="1972"/>
      <c r="W21" s="1972">
        <f>ROUND((W19*V19+W20*V20)/2,1)</f>
        <v>1.9</v>
      </c>
      <c r="X21" s="1972"/>
      <c r="Y21" s="1972"/>
      <c r="Z21" s="1972"/>
      <c r="AA21" s="1972"/>
      <c r="AB21" s="1972"/>
      <c r="AC21" s="1972"/>
      <c r="AD21" s="1972"/>
      <c r="AE21" s="1972"/>
      <c r="AF21" s="1972"/>
      <c r="AG21" s="1972"/>
      <c r="AH21" s="1972"/>
      <c r="AI21" s="1972"/>
      <c r="AJ21" s="1972"/>
      <c r="AK21" s="1972"/>
      <c r="AL21" s="1972"/>
      <c r="AM21" s="1972"/>
    </row>
    <row r="22" spans="1:83" ht="14.25">
      <c r="A22" s="219" t="s">
        <v>267</v>
      </c>
      <c r="B22" s="222">
        <f>B19+B20</f>
        <v>3</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25">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3</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5"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7.75">
      <c r="A27" s="226" t="s">
        <v>2337</v>
      </c>
      <c r="B27" s="227">
        <v>105</v>
      </c>
      <c r="C27" s="2329" t="s">
        <v>2341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7.75">
      <c r="A28" s="228" t="s">
        <v>2338</v>
      </c>
      <c r="B28" s="229">
        <v>105</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8.5" thickBot="1">
      <c r="A29" s="231" t="s">
        <v>2336</v>
      </c>
      <c r="B29" s="232"/>
      <c r="C29" s="1537" t="s">
        <v>2339</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7">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7">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7.75"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25">
      <c r="A33" s="226" t="s">
        <v>278</v>
      </c>
      <c r="B33" s="1373">
        <v>0.04</v>
      </c>
      <c r="C33" s="2327" t="s">
        <v>2891</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25">
      <c r="A34" s="228" t="s">
        <v>279</v>
      </c>
      <c r="B34" s="233">
        <v>0.05</v>
      </c>
      <c r="C34" s="2327" t="s">
        <v>2892</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25">
      <c r="A35" s="228" t="s">
        <v>276</v>
      </c>
      <c r="B35" s="229">
        <v>150</v>
      </c>
      <c r="C35" s="2327" t="s">
        <v>2893</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2894</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25">
      <c r="A37" s="235" t="s">
        <v>280</v>
      </c>
      <c r="B37" s="236">
        <v>0.02</v>
      </c>
      <c r="C37" s="2327" t="s">
        <v>2895</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25">
      <c r="A38" s="228" t="s">
        <v>281</v>
      </c>
      <c r="B38" s="233">
        <v>0.02</v>
      </c>
      <c r="C38" s="2327" t="s">
        <v>2895</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25">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2340</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25">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25">
      <c r="A42" s="979" t="s">
        <v>283</v>
      </c>
      <c r="B42" s="240">
        <v>0.05</v>
      </c>
      <c r="C42" s="3049">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25">
      <c r="A43" s="979"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25">
      <c r="A44" s="239" t="s">
        <v>285</v>
      </c>
      <c r="B44" s="242">
        <v>7.0000000000000007E-2</v>
      </c>
      <c r="C44" s="2327" t="s">
        <v>2896</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25">
      <c r="A45" s="239" t="s">
        <v>286</v>
      </c>
      <c r="B45" s="240">
        <v>0.03</v>
      </c>
      <c r="C45" s="2329" t="s">
        <v>2897</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25">
      <c r="A46" s="239" t="s">
        <v>287</v>
      </c>
      <c r="B46" s="240">
        <v>0.02</v>
      </c>
      <c r="C46" s="2329" t="s">
        <v>2898</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4" t="s">
        <v>2899</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25">
      <c r="A48" s="245" t="s">
        <v>289</v>
      </c>
      <c r="B48" s="246">
        <v>0.03</v>
      </c>
      <c r="C48" s="3025" t="s">
        <v>2900</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5" t="s">
        <v>2901</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25">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25">
      <c r="A52" s="247" t="s">
        <v>293</v>
      </c>
      <c r="B52" s="250">
        <f>SUMIF(A54:A63,B53,B54:B63)</f>
        <v>16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7">
      <c r="A53" s="228" t="s">
        <v>294</v>
      </c>
      <c r="B53" s="251" t="s">
        <v>1095</v>
      </c>
      <c r="C53" s="3026" t="s">
        <v>2902</v>
      </c>
      <c r="D53" s="3027" t="s">
        <v>2903</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25">
      <c r="A54" s="3029" t="s">
        <v>2904</v>
      </c>
      <c r="B54" s="186">
        <v>16</v>
      </c>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25">
      <c r="A55" s="3029" t="s">
        <v>2905</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25">
      <c r="A56" s="3029" t="s">
        <v>2906</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25">
      <c r="A57" s="3029" t="s">
        <v>2907</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25">
      <c r="A58" s="3029" t="s">
        <v>2908</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25">
      <c r="A59" s="3029" t="s">
        <v>2909</v>
      </c>
      <c r="B59" s="186"/>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25">
      <c r="A60" s="3029" t="s">
        <v>2910</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25">
      <c r="A61" s="3029" t="s">
        <v>2911</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25">
      <c r="A62" s="3029" t="s">
        <v>2912</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2913</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0" sqref="K10"/>
    </sheetView>
  </sheetViews>
  <sheetFormatPr defaultColWidth="9" defaultRowHeight="13.5"/>
  <cols>
    <col min="1" max="1" width="9.5" style="1991" customWidth="1"/>
    <col min="2" max="2" width="24.5" style="2006" customWidth="1"/>
    <col min="3" max="3" width="24.5" style="2008" customWidth="1"/>
    <col min="4" max="4" width="2.625" style="2008" customWidth="1"/>
    <col min="5" max="5" width="5.875" style="2008" customWidth="1"/>
    <col min="6" max="6" width="27" style="2006" customWidth="1"/>
    <col min="7" max="7" width="27" style="2007" customWidth="1"/>
    <col min="8" max="8" width="11.875" style="2006" customWidth="1"/>
    <col min="9" max="9" width="16.75" style="2007" customWidth="1"/>
    <col min="10" max="10" width="2.625" style="2008" customWidth="1"/>
    <col min="11" max="11" width="11.875" style="2006" customWidth="1"/>
    <col min="12" max="12" width="16.75" style="2007" customWidth="1"/>
    <col min="13" max="13" width="2.625" style="2008" customWidth="1"/>
    <col min="14" max="14" width="11.875" style="2006" customWidth="1"/>
    <col min="15" max="15" width="16.75" style="2007" customWidth="1"/>
    <col min="16" max="16" width="2.625" style="2008" customWidth="1"/>
    <col min="17" max="17" width="11.875" style="2006" customWidth="1"/>
    <col min="18" max="18" width="16.75" style="2009" customWidth="1"/>
    <col min="19" max="16384" width="9" style="1991"/>
  </cols>
  <sheetData>
    <row r="1" spans="1:18" s="1990" customFormat="1" ht="19.5" thickBot="1">
      <c r="A1" s="3313" t="s">
        <v>1662</v>
      </c>
      <c r="B1" s="3314"/>
      <c r="C1" s="3314"/>
      <c r="D1" s="3314"/>
      <c r="E1" s="3314"/>
      <c r="F1" s="3314"/>
      <c r="G1" s="3314"/>
      <c r="H1" s="1985"/>
      <c r="I1" s="1986"/>
      <c r="J1" s="1987"/>
      <c r="K1" s="1985"/>
      <c r="L1" s="1986"/>
      <c r="M1" s="1987"/>
      <c r="N1" s="1985"/>
      <c r="O1" s="1986"/>
      <c r="P1" s="1987"/>
      <c r="Q1" s="1988"/>
      <c r="R1" s="1989"/>
    </row>
    <row r="2" spans="1:18" ht="14.25" thickBot="1">
      <c r="A2" s="1217"/>
      <c r="B2" s="1218"/>
      <c r="C2" s="1219" t="s">
        <v>1663</v>
      </c>
      <c r="D2" s="1220"/>
      <c r="E2" s="1221"/>
      <c r="F2" s="1222"/>
      <c r="G2" s="1219" t="s">
        <v>1664</v>
      </c>
      <c r="H2" s="1991"/>
      <c r="I2" s="1991"/>
      <c r="J2" s="1991"/>
      <c r="K2" s="1991"/>
      <c r="L2" s="1991"/>
      <c r="M2" s="1991"/>
      <c r="N2" s="1991"/>
      <c r="O2" s="1991"/>
      <c r="P2" s="1991"/>
      <c r="Q2" s="1991"/>
      <c r="R2" s="1991"/>
    </row>
    <row r="3" spans="1:18" ht="27">
      <c r="A3" s="1223" t="s">
        <v>1665</v>
      </c>
      <c r="B3" s="3218" t="s">
        <v>1652</v>
      </c>
      <c r="C3" s="3526" t="s">
        <v>3220</v>
      </c>
      <c r="D3" s="1992"/>
      <c r="E3" s="1224" t="s">
        <v>1665</v>
      </c>
      <c r="F3" s="1225" t="s">
        <v>1653</v>
      </c>
      <c r="G3" s="3034"/>
      <c r="H3" s="1991"/>
      <c r="I3" s="1991"/>
      <c r="J3" s="1991"/>
      <c r="K3" s="1991"/>
      <c r="L3" s="1991"/>
      <c r="M3" s="1991"/>
      <c r="N3" s="1991"/>
      <c r="O3" s="1991"/>
      <c r="P3" s="1991"/>
      <c r="Q3" s="1991"/>
      <c r="R3" s="1991"/>
    </row>
    <row r="4" spans="1:18" ht="14.25">
      <c r="A4" s="1224"/>
      <c r="B4" s="3219" t="s">
        <v>1666</v>
      </c>
      <c r="C4" s="3527" t="s">
        <v>3221</v>
      </c>
      <c r="D4" s="1992"/>
      <c r="E4" s="1227"/>
      <c r="F4" s="1228" t="s">
        <v>1667</v>
      </c>
      <c r="G4" s="3032"/>
      <c r="H4" s="1991"/>
      <c r="I4" s="1991"/>
      <c r="J4" s="1991"/>
      <c r="K4" s="1991"/>
      <c r="L4" s="1991"/>
      <c r="M4" s="1991"/>
      <c r="N4" s="1991"/>
      <c r="O4" s="1991"/>
      <c r="P4" s="1991"/>
      <c r="Q4" s="1991"/>
      <c r="R4" s="1991"/>
    </row>
    <row r="5" spans="1:18" ht="14.25">
      <c r="A5" s="1224"/>
      <c r="B5" s="3219" t="s">
        <v>1668</v>
      </c>
      <c r="C5" s="3031"/>
      <c r="D5" s="1992"/>
      <c r="E5" s="1227"/>
      <c r="F5" s="1226" t="s">
        <v>2544</v>
      </c>
      <c r="G5" s="3032"/>
      <c r="H5" s="1991"/>
      <c r="I5" s="1991"/>
      <c r="J5" s="1991"/>
      <c r="K5" s="1991"/>
      <c r="L5" s="1991"/>
      <c r="M5" s="1991"/>
      <c r="N5" s="1991"/>
      <c r="O5" s="1991"/>
      <c r="P5" s="1991"/>
      <c r="Q5" s="1991"/>
      <c r="R5" s="1991"/>
    </row>
    <row r="6" spans="1:18" ht="14.25">
      <c r="A6" s="1224"/>
      <c r="B6" s="3219" t="s">
        <v>1654</v>
      </c>
      <c r="C6" s="3528" t="s">
        <v>3221</v>
      </c>
      <c r="D6" s="1992"/>
      <c r="E6" s="1227"/>
      <c r="F6" s="1226" t="s">
        <v>2545</v>
      </c>
      <c r="G6" s="3032"/>
      <c r="H6" s="1991"/>
      <c r="I6" s="1991"/>
      <c r="J6" s="1991"/>
      <c r="K6" s="1991"/>
      <c r="L6" s="1991"/>
      <c r="M6" s="1991"/>
      <c r="N6" s="1991"/>
      <c r="O6" s="1991"/>
      <c r="P6" s="1991"/>
      <c r="Q6" s="1991"/>
      <c r="R6" s="1991"/>
    </row>
    <row r="7" spans="1:18" ht="15" thickBot="1">
      <c r="A7" s="1224"/>
      <c r="B7" s="3219" t="s">
        <v>2544</v>
      </c>
      <c r="C7" s="3528" t="s">
        <v>3221</v>
      </c>
      <c r="D7" s="1993"/>
      <c r="E7" s="1229"/>
      <c r="F7" s="1230" t="s">
        <v>1669</v>
      </c>
      <c r="G7" s="3035"/>
      <c r="H7" s="1991"/>
      <c r="I7" s="1991"/>
      <c r="J7" s="1991"/>
      <c r="K7" s="1991"/>
      <c r="L7" s="1991"/>
      <c r="M7" s="1991"/>
      <c r="N7" s="1991"/>
      <c r="O7" s="1991"/>
      <c r="P7" s="1991"/>
      <c r="Q7" s="1991"/>
      <c r="R7" s="1991"/>
    </row>
    <row r="8" spans="1:18">
      <c r="A8" s="1224"/>
      <c r="B8" s="3219" t="s">
        <v>2545</v>
      </c>
      <c r="C8" s="3528" t="s">
        <v>3222</v>
      </c>
      <c r="D8" s="1993"/>
      <c r="E8" s="1993"/>
      <c r="F8" s="1538"/>
      <c r="G8" s="1538"/>
      <c r="H8" s="1991"/>
      <c r="I8" s="1991"/>
      <c r="J8" s="1991"/>
      <c r="K8" s="1991"/>
      <c r="L8" s="1991"/>
      <c r="M8" s="1991"/>
      <c r="N8" s="1991"/>
      <c r="O8" s="1991"/>
      <c r="P8" s="1991"/>
      <c r="Q8" s="1991"/>
      <c r="R8" s="1991"/>
    </row>
    <row r="9" spans="1:18">
      <c r="A9" s="1224"/>
      <c r="B9" s="3219" t="s">
        <v>1655</v>
      </c>
      <c r="C9" s="3527" t="s">
        <v>3221</v>
      </c>
      <c r="D9" s="1992"/>
      <c r="E9" s="1993"/>
      <c r="F9" s="1538"/>
      <c r="G9" s="1538"/>
      <c r="H9" s="1991"/>
      <c r="I9" s="1991"/>
      <c r="J9" s="1991"/>
      <c r="K9" s="1991"/>
      <c r="L9" s="1991"/>
      <c r="M9" s="1991"/>
      <c r="N9" s="1991"/>
      <c r="O9" s="1991"/>
      <c r="P9" s="1991"/>
      <c r="Q9" s="1991"/>
      <c r="R9" s="1991"/>
    </row>
    <row r="10" spans="1:18" s="1999" customFormat="1" ht="15" thickBot="1">
      <c r="A10" s="1231"/>
      <c r="B10" s="3220" t="s">
        <v>1670</v>
      </c>
      <c r="C10" s="3033" t="s">
        <v>3233</v>
      </c>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8.75">
      <c r="A12" s="1994"/>
      <c r="B12" s="1993"/>
      <c r="C12" s="1992"/>
      <c r="D12" s="2540"/>
      <c r="E12" s="1992"/>
      <c r="F12" s="1993"/>
      <c r="G12" s="1995"/>
      <c r="H12" s="2000"/>
      <c r="I12" s="2001"/>
      <c r="J12" s="2000"/>
      <c r="K12" s="2000"/>
      <c r="L12" s="2002"/>
      <c r="M12" s="2000"/>
      <c r="N12" s="2003"/>
      <c r="O12" s="2004"/>
      <c r="P12" s="2005"/>
      <c r="Q12" s="2003"/>
      <c r="R12" s="1989"/>
    </row>
    <row r="13" spans="1:18" ht="19.5" thickBot="1">
      <c r="A13" s="2539" t="s">
        <v>1671</v>
      </c>
      <c r="B13" s="2540"/>
      <c r="C13" s="2540"/>
      <c r="D13" s="1220"/>
      <c r="E13" s="2540"/>
      <c r="F13" s="2540"/>
      <c r="G13" s="2540"/>
    </row>
    <row r="14" spans="1:18" ht="14.25" thickBot="1">
      <c r="A14" s="1232"/>
      <c r="B14" s="1233"/>
      <c r="C14" s="1234" t="s">
        <v>1663</v>
      </c>
      <c r="D14" s="1992"/>
      <c r="E14" s="1235"/>
      <c r="F14" s="1235"/>
      <c r="G14" s="1219" t="s">
        <v>1664</v>
      </c>
    </row>
    <row r="15" spans="1:18" ht="27">
      <c r="A15" s="2550" t="s">
        <v>1656</v>
      </c>
      <c r="B15" s="1236" t="s">
        <v>1652</v>
      </c>
      <c r="C15" s="1237" t="str">
        <f>C3</f>
        <v>较好</v>
      </c>
      <c r="D15" s="1992"/>
      <c r="E15" s="2547" t="s">
        <v>1657</v>
      </c>
      <c r="F15" s="1236" t="s">
        <v>1672</v>
      </c>
      <c r="G15" s="1238">
        <f>G3</f>
        <v>0</v>
      </c>
    </row>
    <row r="16" spans="1:18">
      <c r="A16" s="2551"/>
      <c r="B16" s="1239" t="s">
        <v>1666</v>
      </c>
      <c r="C16" s="1240" t="str">
        <f>C4</f>
        <v>较好</v>
      </c>
      <c r="D16" s="1992"/>
      <c r="E16" s="2548"/>
      <c r="F16" s="1241" t="s">
        <v>1667</v>
      </c>
      <c r="G16" s="1005">
        <f>G4</f>
        <v>0</v>
      </c>
    </row>
    <row r="17" spans="1:7" ht="14.25">
      <c r="A17" s="2551"/>
      <c r="B17" s="1239" t="s">
        <v>1668</v>
      </c>
      <c r="C17" s="1240">
        <f>C5</f>
        <v>0</v>
      </c>
      <c r="D17" s="1993"/>
      <c r="E17" s="2548"/>
      <c r="F17" s="1241" t="s">
        <v>1673</v>
      </c>
      <c r="G17" s="2748"/>
    </row>
    <row r="18" spans="1:7">
      <c r="A18" s="2551"/>
      <c r="B18" s="1241" t="s">
        <v>1654</v>
      </c>
      <c r="C18" s="1005" t="str">
        <f>C6</f>
        <v>较好</v>
      </c>
      <c r="D18" s="1993"/>
      <c r="E18" s="2548"/>
      <c r="F18" s="1241" t="s">
        <v>1669</v>
      </c>
      <c r="G18" s="1005">
        <f>G7</f>
        <v>0</v>
      </c>
    </row>
    <row r="19" spans="1:7" ht="14.25">
      <c r="A19" s="2551"/>
      <c r="B19" s="1241" t="s">
        <v>1658</v>
      </c>
      <c r="C19" s="2748"/>
      <c r="D19" s="1992"/>
      <c r="E19" s="2548"/>
      <c r="F19" s="1226" t="s">
        <v>2544</v>
      </c>
      <c r="G19" s="1005">
        <f>G5</f>
        <v>0</v>
      </c>
    </row>
    <row r="20" spans="1:7">
      <c r="A20" s="2551"/>
      <c r="B20" s="1241" t="s">
        <v>1659</v>
      </c>
      <c r="C20" s="1240" t="str">
        <f>C9</f>
        <v>较好</v>
      </c>
      <c r="D20" s="1993"/>
      <c r="E20" s="2548"/>
      <c r="F20" s="1226" t="s">
        <v>2545</v>
      </c>
      <c r="G20" s="1005">
        <f>G6</f>
        <v>0</v>
      </c>
    </row>
    <row r="21" spans="1:7" ht="14.25">
      <c r="A21" s="2551"/>
      <c r="B21" s="1226" t="s">
        <v>2544</v>
      </c>
      <c r="C21" s="1005" t="str">
        <f>C7</f>
        <v>较好</v>
      </c>
      <c r="D21" s="1992"/>
      <c r="E21" s="2548"/>
      <c r="F21" s="1241" t="s">
        <v>1660</v>
      </c>
      <c r="G21" s="3036"/>
    </row>
    <row r="22" spans="1:7" ht="14.25">
      <c r="A22" s="2551"/>
      <c r="B22" s="1226" t="s">
        <v>2545</v>
      </c>
      <c r="C22" s="1005" t="str">
        <f>C8</f>
        <v>六通</v>
      </c>
      <c r="D22" s="1992"/>
      <c r="E22" s="2548"/>
      <c r="F22" s="1241" t="s">
        <v>1670</v>
      </c>
      <c r="G22" s="2748"/>
    </row>
    <row r="23" spans="1:7" ht="15" thickBot="1">
      <c r="A23" s="2551"/>
      <c r="B23" s="1241" t="s">
        <v>1660</v>
      </c>
      <c r="C23" s="3036"/>
      <c r="E23" s="2549"/>
      <c r="F23" s="1242" t="s">
        <v>1674</v>
      </c>
      <c r="G23" s="3037"/>
    </row>
    <row r="24" spans="1:7" ht="14.25" thickBot="1">
      <c r="A24" s="2552"/>
      <c r="B24" s="1242" t="s">
        <v>1661</v>
      </c>
      <c r="C24" s="1243" t="str">
        <f>C10</f>
        <v>新民东路-支路</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25" defaultRowHeight="13.5"/>
  <cols>
    <col min="1" max="1" width="24.375" customWidth="1"/>
  </cols>
  <sheetData>
    <row r="1" spans="1:9" ht="16.5">
      <c r="A1" s="2995" t="s">
        <v>2842</v>
      </c>
      <c r="B1" s="2995">
        <f>SUM(B14:B23)</f>
        <v>321749.09999999998</v>
      </c>
      <c r="C1" s="2996"/>
      <c r="D1" s="2996"/>
      <c r="E1" s="2996"/>
      <c r="F1" s="2996"/>
    </row>
    <row r="2" spans="1:9" ht="16.5">
      <c r="A2" s="2995" t="s">
        <v>2843</v>
      </c>
      <c r="B2" s="2995">
        <f>SUM(C14:C23)</f>
        <v>71994.8</v>
      </c>
      <c r="C2" s="2996"/>
      <c r="D2" s="2996"/>
      <c r="E2" s="2996"/>
      <c r="F2" s="2996"/>
    </row>
    <row r="3" spans="1:9" ht="16.5">
      <c r="A3" s="2995" t="s">
        <v>2844</v>
      </c>
      <c r="B3" s="2997">
        <f>项目基本情况!D3</f>
        <v>43628</v>
      </c>
      <c r="C3" s="2996"/>
      <c r="D3" s="2996"/>
      <c r="E3" s="2996"/>
      <c r="F3" s="2996"/>
    </row>
    <row r="4" spans="1:9" ht="33">
      <c r="A4" s="2995" t="s">
        <v>2845</v>
      </c>
      <c r="B4" s="2995" t="s">
        <v>2846</v>
      </c>
      <c r="C4" s="2995" t="s">
        <v>2847</v>
      </c>
      <c r="D4" s="2995" t="s">
        <v>2848</v>
      </c>
      <c r="E4" s="2996"/>
      <c r="F4" s="2996"/>
    </row>
    <row r="5" spans="1:9" ht="16.5">
      <c r="A5" s="2995" t="s">
        <v>2849</v>
      </c>
      <c r="B5" s="2995">
        <f ca="1">SUM(D14:D23)</f>
        <v>76521</v>
      </c>
      <c r="C5" s="2995">
        <f ca="1">ROUND(B5*10000/$B$1,0)</f>
        <v>2378</v>
      </c>
      <c r="D5" s="2995">
        <f ca="1">ROUND(B5*10000/$B$2,0)</f>
        <v>10629</v>
      </c>
      <c r="E5" s="2996"/>
      <c r="F5" s="2996"/>
    </row>
    <row r="6" spans="1:9" ht="16.5">
      <c r="A6" s="2995" t="s">
        <v>2850</v>
      </c>
      <c r="B6" s="2995">
        <f>SUM(G14:G23)</f>
        <v>0</v>
      </c>
      <c r="C6" s="2995">
        <f t="shared" ref="C6:C8" si="0">ROUND(B6*10000/$B$1,0)</f>
        <v>0</v>
      </c>
      <c r="D6" s="2995">
        <f t="shared" ref="D6:D8" si="1">ROUND(B6*10000/$B$2,0)</f>
        <v>0</v>
      </c>
      <c r="E6" s="2996"/>
      <c r="F6" s="2996"/>
    </row>
    <row r="7" spans="1:9" ht="16.5">
      <c r="A7" s="2995" t="s">
        <v>2851</v>
      </c>
      <c r="B7" s="2995">
        <f>SUM(H14:H23)</f>
        <v>0</v>
      </c>
      <c r="C7" s="2995">
        <f t="shared" si="0"/>
        <v>0</v>
      </c>
      <c r="D7" s="2995">
        <f t="shared" si="1"/>
        <v>0</v>
      </c>
      <c r="E7" s="2996"/>
      <c r="F7" s="2996"/>
    </row>
    <row r="8" spans="1:9" ht="16.5">
      <c r="A8" s="2995" t="s">
        <v>2852</v>
      </c>
      <c r="B8" s="2995">
        <f>SUM(I14:I23)</f>
        <v>0</v>
      </c>
      <c r="C8" s="2995">
        <f t="shared" si="0"/>
        <v>0</v>
      </c>
      <c r="D8" s="2995">
        <f t="shared" si="1"/>
        <v>0</v>
      </c>
      <c r="E8" s="2996"/>
      <c r="F8" s="2996"/>
    </row>
    <row r="9" spans="1:9" ht="16.5">
      <c r="A9" s="2995" t="s">
        <v>2853</v>
      </c>
      <c r="B9" s="2998"/>
      <c r="C9" s="2996"/>
      <c r="D9" s="2996"/>
      <c r="E9" s="2996"/>
      <c r="F9" s="2996"/>
    </row>
    <row r="10" spans="1:9" ht="16.5">
      <c r="A10" s="2995" t="s">
        <v>2854</v>
      </c>
      <c r="B10" s="2998"/>
      <c r="C10" s="2996"/>
      <c r="D10" s="2996"/>
      <c r="E10" s="2996"/>
      <c r="F10" s="2996"/>
    </row>
    <row r="11" spans="1:9" ht="16.5">
      <c r="A11" s="2995" t="s">
        <v>2871</v>
      </c>
      <c r="B11" s="2998"/>
      <c r="C11" s="2996"/>
      <c r="D11" s="2996"/>
      <c r="E11" s="2996"/>
      <c r="F11" s="2996"/>
    </row>
    <row r="12" spans="1:9" ht="16.5">
      <c r="A12" s="2996"/>
      <c r="B12" s="2996"/>
      <c r="C12" s="2996"/>
      <c r="D12" s="2996"/>
      <c r="E12" s="2996"/>
      <c r="F12" s="2996"/>
    </row>
    <row r="13" spans="1:9" ht="33">
      <c r="A13" s="3001" t="s">
        <v>2870</v>
      </c>
      <c r="B13" s="2999" t="s">
        <v>2842</v>
      </c>
      <c r="C13" s="2999" t="s">
        <v>2843</v>
      </c>
      <c r="D13" s="2999" t="s">
        <v>2855</v>
      </c>
      <c r="E13" s="2995" t="s">
        <v>2869</v>
      </c>
      <c r="F13" s="2995" t="s">
        <v>2848</v>
      </c>
      <c r="G13" s="2999" t="s">
        <v>2856</v>
      </c>
      <c r="H13" s="2999" t="s">
        <v>2857</v>
      </c>
      <c r="I13" s="2999" t="s">
        <v>2858</v>
      </c>
    </row>
    <row r="14" spans="1:9" ht="16.5">
      <c r="A14" s="3002" t="s">
        <v>2868</v>
      </c>
      <c r="B14" s="2999">
        <f>结果表!L38</f>
        <v>321749.09999999998</v>
      </c>
      <c r="C14" s="2999">
        <f>结果表!K38</f>
        <v>71994.8</v>
      </c>
      <c r="D14" s="2999">
        <f ca="1">结果表!C42</f>
        <v>76521</v>
      </c>
      <c r="E14" s="2999">
        <f ca="1">ROUND(D14*10000/B14,0)</f>
        <v>2378</v>
      </c>
      <c r="F14" s="2999">
        <f ca="1">ROUND(D14*10000/C14,0)</f>
        <v>10629</v>
      </c>
      <c r="G14" s="2999" t="str">
        <f>结果表!C44</f>
        <v>——</v>
      </c>
      <c r="H14" s="2999" t="str">
        <f>结果表!C45</f>
        <v>——</v>
      </c>
      <c r="I14" s="2999" t="str">
        <f>结果表!C46</f>
        <v>——</v>
      </c>
    </row>
    <row r="15" spans="1:9" ht="16.5">
      <c r="A15" s="3002" t="s">
        <v>2859</v>
      </c>
      <c r="B15" s="3003"/>
      <c r="C15" s="3003"/>
      <c r="D15" s="3003"/>
      <c r="E15" s="2999" t="e">
        <f t="shared" ref="E15:E23" si="2">ROUND(D15*10000/B15,0)</f>
        <v>#DIV/0!</v>
      </c>
      <c r="F15" s="2999" t="e">
        <f t="shared" ref="F15:F23" si="3">ROUND(D15*10000/C15,0)</f>
        <v>#DIV/0!</v>
      </c>
      <c r="G15" s="3000"/>
      <c r="H15" s="3000"/>
      <c r="I15" s="3003"/>
    </row>
    <row r="16" spans="1:9" ht="16.5">
      <c r="A16" s="3002" t="s">
        <v>2860</v>
      </c>
      <c r="B16" s="3003"/>
      <c r="C16" s="3003"/>
      <c r="D16" s="3003"/>
      <c r="E16" s="2999" t="e">
        <f t="shared" si="2"/>
        <v>#DIV/0!</v>
      </c>
      <c r="F16" s="2999" t="e">
        <f t="shared" si="3"/>
        <v>#DIV/0!</v>
      </c>
      <c r="G16" s="3000"/>
      <c r="H16" s="3000"/>
      <c r="I16" s="3003"/>
    </row>
    <row r="17" spans="1:9" ht="16.5">
      <c r="A17" s="3002" t="s">
        <v>2861</v>
      </c>
      <c r="B17" s="3003"/>
      <c r="C17" s="3003"/>
      <c r="D17" s="3003"/>
      <c r="E17" s="2999" t="e">
        <f t="shared" si="2"/>
        <v>#DIV/0!</v>
      </c>
      <c r="F17" s="2999" t="e">
        <f t="shared" si="3"/>
        <v>#DIV/0!</v>
      </c>
      <c r="G17" s="3000"/>
      <c r="H17" s="3000"/>
      <c r="I17" s="3003"/>
    </row>
    <row r="18" spans="1:9" ht="16.5">
      <c r="A18" s="3002" t="s">
        <v>2862</v>
      </c>
      <c r="B18" s="3003"/>
      <c r="C18" s="3003"/>
      <c r="D18" s="3003"/>
      <c r="E18" s="2999" t="e">
        <f t="shared" si="2"/>
        <v>#DIV/0!</v>
      </c>
      <c r="F18" s="2999" t="e">
        <f t="shared" si="3"/>
        <v>#DIV/0!</v>
      </c>
      <c r="G18" s="3003"/>
      <c r="H18" s="3003"/>
      <c r="I18" s="3003"/>
    </row>
    <row r="19" spans="1:9" ht="16.5">
      <c r="A19" s="3002" t="s">
        <v>2863</v>
      </c>
      <c r="B19" s="3003"/>
      <c r="C19" s="3003"/>
      <c r="D19" s="3003"/>
      <c r="E19" s="2999" t="e">
        <f t="shared" si="2"/>
        <v>#DIV/0!</v>
      </c>
      <c r="F19" s="2999" t="e">
        <f t="shared" si="3"/>
        <v>#DIV/0!</v>
      </c>
      <c r="G19" s="3003"/>
      <c r="H19" s="3003"/>
      <c r="I19" s="3003"/>
    </row>
    <row r="20" spans="1:9" ht="16.5">
      <c r="A20" s="3002" t="s">
        <v>2864</v>
      </c>
      <c r="B20" s="3003"/>
      <c r="C20" s="3003"/>
      <c r="D20" s="3003"/>
      <c r="E20" s="2999" t="e">
        <f t="shared" si="2"/>
        <v>#DIV/0!</v>
      </c>
      <c r="F20" s="2999" t="e">
        <f t="shared" si="3"/>
        <v>#DIV/0!</v>
      </c>
      <c r="G20" s="3003"/>
      <c r="H20" s="3003"/>
      <c r="I20" s="3003"/>
    </row>
    <row r="21" spans="1:9" ht="16.5">
      <c r="A21" s="3002" t="s">
        <v>2865</v>
      </c>
      <c r="B21" s="3003"/>
      <c r="C21" s="3003"/>
      <c r="D21" s="3003"/>
      <c r="E21" s="2999" t="e">
        <f t="shared" si="2"/>
        <v>#DIV/0!</v>
      </c>
      <c r="F21" s="2999" t="e">
        <f t="shared" si="3"/>
        <v>#DIV/0!</v>
      </c>
      <c r="G21" s="3003"/>
      <c r="H21" s="3003"/>
      <c r="I21" s="3003"/>
    </row>
    <row r="22" spans="1:9" ht="16.5">
      <c r="A22" s="3002" t="s">
        <v>2866</v>
      </c>
      <c r="B22" s="3003"/>
      <c r="C22" s="3003"/>
      <c r="D22" s="3003"/>
      <c r="E22" s="2999" t="e">
        <f t="shared" si="2"/>
        <v>#DIV/0!</v>
      </c>
      <c r="F22" s="2999" t="e">
        <f t="shared" si="3"/>
        <v>#DIV/0!</v>
      </c>
      <c r="G22" s="3003"/>
      <c r="H22" s="3003"/>
      <c r="I22" s="3003"/>
    </row>
    <row r="23" spans="1:9" ht="16.5">
      <c r="A23" s="3002" t="s">
        <v>2867</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91" zoomScaleNormal="100" zoomScaleSheetLayoutView="100" zoomScalePageLayoutView="80" workbookViewId="0">
      <selection activeCell="N74" sqref="N74"/>
    </sheetView>
  </sheetViews>
  <sheetFormatPr defaultColWidth="12.625" defaultRowHeight="21.75" customHeight="1"/>
  <cols>
    <col min="1" max="2" width="12.75" style="1244" bestFit="1" customWidth="1"/>
    <col min="3" max="4" width="12.625" style="1244" customWidth="1"/>
    <col min="5" max="9" width="12.75" style="1244"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4"/>
  </cols>
  <sheetData>
    <row r="1" spans="1:22" ht="21.75" customHeight="1" thickBot="1">
      <c r="A1" s="1759" t="s">
        <v>2054</v>
      </c>
      <c r="B1" s="1760"/>
      <c r="C1" s="1788" t="s">
        <v>2055</v>
      </c>
      <c r="D1" s="1789"/>
      <c r="E1" s="1788" t="s">
        <v>2056</v>
      </c>
      <c r="F1" s="1790"/>
      <c r="G1" s="311"/>
      <c r="H1" s="311"/>
      <c r="I1" s="311"/>
      <c r="J1" s="2012"/>
      <c r="K1" s="2012"/>
      <c r="L1" s="2012"/>
      <c r="M1" s="2012"/>
      <c r="N1" s="2012"/>
      <c r="O1" s="2012"/>
      <c r="P1" s="2012"/>
      <c r="Q1" s="2012"/>
      <c r="R1" s="2012"/>
      <c r="S1" s="2012"/>
      <c r="T1" s="2012"/>
      <c r="U1" s="2012"/>
      <c r="V1" s="2012"/>
    </row>
    <row r="2" spans="1:22" ht="21.75" customHeight="1" thickBot="1">
      <c r="A2" s="3360" t="str">
        <f>项目基本情况!K2</f>
        <v>出让国有建设用地使用权</v>
      </c>
      <c r="B2" s="3361"/>
      <c r="C2" s="3362"/>
      <c r="D2" s="3362"/>
      <c r="E2" s="3362"/>
      <c r="F2" s="3362"/>
      <c r="G2" s="3361"/>
      <c r="H2" s="3361"/>
      <c r="I2" s="3363"/>
      <c r="J2" s="2013"/>
      <c r="K2" s="2012"/>
      <c r="L2" s="2012"/>
      <c r="M2" s="2012"/>
      <c r="N2" s="2012"/>
      <c r="O2" s="2012"/>
      <c r="P2" s="2012"/>
      <c r="Q2" s="2012"/>
      <c r="R2" s="2012"/>
      <c r="S2" s="2012"/>
      <c r="T2" s="2012"/>
      <c r="U2" s="2012"/>
      <c r="V2" s="2012"/>
    </row>
    <row r="3" spans="1:22" ht="14.25">
      <c r="A3" s="3371" t="s">
        <v>298</v>
      </c>
      <c r="B3" s="3372"/>
      <c r="C3" s="3372"/>
      <c r="D3" s="3372"/>
      <c r="E3" s="3372"/>
      <c r="F3" s="3372"/>
      <c r="G3" s="3372"/>
      <c r="H3" s="3372"/>
      <c r="I3" s="3372"/>
      <c r="J3" s="2013"/>
      <c r="K3" s="2012"/>
      <c r="L3" s="2012"/>
      <c r="M3" s="2012"/>
      <c r="N3" s="2012"/>
      <c r="O3" s="2012"/>
      <c r="P3" s="2012"/>
      <c r="Q3" s="2012"/>
      <c r="R3" s="2012"/>
      <c r="S3" s="2012"/>
      <c r="T3" s="2012"/>
      <c r="U3" s="2012"/>
      <c r="V3" s="2012"/>
    </row>
    <row r="4" spans="1:22" ht="14.25">
      <c r="A4" s="258" t="s">
        <v>299</v>
      </c>
      <c r="B4" s="259" t="s">
        <v>300</v>
      </c>
      <c r="C4" s="260" t="s">
        <v>2991</v>
      </c>
      <c r="D4" s="260" t="s">
        <v>2992</v>
      </c>
      <c r="E4" s="3335" t="s">
        <v>301</v>
      </c>
      <c r="F4" s="3377"/>
      <c r="G4" s="3377"/>
      <c r="H4" s="3377"/>
      <c r="I4" s="3336"/>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4.25">
      <c r="A5" s="3364" t="s">
        <v>302</v>
      </c>
      <c r="B5" s="3365">
        <v>25</v>
      </c>
      <c r="C5" s="3373"/>
      <c r="D5" s="3376"/>
      <c r="E5" s="261" t="s">
        <v>303</v>
      </c>
      <c r="F5" s="262"/>
      <c r="G5" s="262"/>
      <c r="H5" s="262"/>
      <c r="I5" s="263"/>
      <c r="J5" s="2013"/>
      <c r="K5" s="2012"/>
      <c r="L5" s="2012"/>
      <c r="M5" s="2012"/>
      <c r="N5" s="2012"/>
      <c r="O5" s="2012"/>
      <c r="P5" s="2012"/>
      <c r="Q5" s="2012"/>
      <c r="R5" s="2012"/>
      <c r="S5" s="2012"/>
      <c r="T5" s="2012"/>
      <c r="U5" s="2012"/>
      <c r="V5" s="2012"/>
    </row>
    <row r="6" spans="1:22" ht="14.25">
      <c r="A6" s="3364"/>
      <c r="B6" s="3365"/>
      <c r="C6" s="3374"/>
      <c r="D6" s="3376"/>
      <c r="E6" s="261" t="s">
        <v>304</v>
      </c>
      <c r="F6" s="262"/>
      <c r="G6" s="262"/>
      <c r="H6" s="262"/>
      <c r="I6" s="263"/>
      <c r="J6" s="2013"/>
      <c r="K6" s="2012"/>
      <c r="L6" s="2012"/>
      <c r="M6" s="2012"/>
      <c r="N6" s="2012"/>
      <c r="O6" s="2012"/>
      <c r="P6" s="2012"/>
      <c r="Q6" s="2012"/>
      <c r="R6" s="2012"/>
      <c r="S6" s="2012"/>
      <c r="T6" s="2012"/>
      <c r="U6" s="2012"/>
      <c r="V6" s="2012"/>
    </row>
    <row r="7" spans="1:22" ht="14.25">
      <c r="A7" s="3364"/>
      <c r="B7" s="3365"/>
      <c r="C7" s="3375"/>
      <c r="D7" s="3376"/>
      <c r="E7" s="261" t="s">
        <v>305</v>
      </c>
      <c r="F7" s="262"/>
      <c r="G7" s="262"/>
      <c r="H7" s="262"/>
      <c r="I7" s="263"/>
      <c r="J7" s="2013"/>
      <c r="K7" s="2012"/>
      <c r="L7" s="2012"/>
      <c r="M7" s="2012"/>
      <c r="N7" s="2012"/>
      <c r="O7" s="2012"/>
      <c r="P7" s="2012"/>
      <c r="Q7" s="2012"/>
      <c r="R7" s="2012"/>
      <c r="S7" s="2012"/>
      <c r="T7" s="2012"/>
      <c r="U7" s="2012"/>
      <c r="V7" s="2012"/>
    </row>
    <row r="8" spans="1:22" ht="14.25">
      <c r="A8" s="3364" t="s">
        <v>306</v>
      </c>
      <c r="B8" s="3365">
        <v>15</v>
      </c>
      <c r="C8" s="3373"/>
      <c r="D8" s="3376"/>
      <c r="E8" s="261" t="s">
        <v>307</v>
      </c>
      <c r="F8" s="262"/>
      <c r="G8" s="262"/>
      <c r="H8" s="262"/>
      <c r="I8" s="263"/>
      <c r="J8" s="2013"/>
      <c r="K8" s="2012"/>
      <c r="L8" s="2012"/>
      <c r="M8" s="2012"/>
      <c r="N8" s="2012"/>
      <c r="O8" s="2012"/>
      <c r="P8" s="2012"/>
      <c r="Q8" s="2012"/>
      <c r="R8" s="2012"/>
      <c r="S8" s="2012"/>
      <c r="T8" s="2012"/>
      <c r="U8" s="2012"/>
      <c r="V8" s="2012"/>
    </row>
    <row r="9" spans="1:22" ht="14.25">
      <c r="A9" s="3364"/>
      <c r="B9" s="3365"/>
      <c r="C9" s="3375"/>
      <c r="D9" s="3376"/>
      <c r="E9" s="261" t="s">
        <v>308</v>
      </c>
      <c r="F9" s="262"/>
      <c r="G9" s="262"/>
      <c r="H9" s="262"/>
      <c r="I9" s="263"/>
      <c r="J9" s="2013"/>
      <c r="K9" s="2012"/>
      <c r="L9" s="2012"/>
      <c r="M9" s="2012"/>
      <c r="N9" s="2012"/>
      <c r="O9" s="2012"/>
      <c r="P9" s="2012"/>
      <c r="Q9" s="2012"/>
      <c r="R9" s="2012"/>
      <c r="S9" s="2012"/>
      <c r="T9" s="2012"/>
      <c r="U9" s="2012"/>
      <c r="V9" s="2012"/>
    </row>
    <row r="10" spans="1:22" ht="14.25">
      <c r="A10" s="3364" t="s">
        <v>309</v>
      </c>
      <c r="B10" s="3365">
        <v>15</v>
      </c>
      <c r="C10" s="3373"/>
      <c r="D10" s="3376"/>
      <c r="E10" s="261" t="s">
        <v>310</v>
      </c>
      <c r="F10" s="262"/>
      <c r="G10" s="262"/>
      <c r="H10" s="262"/>
      <c r="I10" s="263"/>
      <c r="J10" s="2013"/>
      <c r="K10" s="2012"/>
      <c r="L10" s="2012"/>
      <c r="M10" s="2012"/>
      <c r="N10" s="2012"/>
      <c r="O10" s="2012"/>
      <c r="P10" s="2012"/>
      <c r="Q10" s="2012"/>
      <c r="R10" s="2012"/>
      <c r="S10" s="2012"/>
      <c r="T10" s="2012"/>
      <c r="U10" s="2012"/>
      <c r="V10" s="2012"/>
    </row>
    <row r="11" spans="1:22" ht="14.25">
      <c r="A11" s="3364"/>
      <c r="B11" s="3365"/>
      <c r="C11" s="3375"/>
      <c r="D11" s="3376"/>
      <c r="E11" s="261" t="s">
        <v>311</v>
      </c>
      <c r="F11" s="262"/>
      <c r="G11" s="262"/>
      <c r="H11" s="262"/>
      <c r="I11" s="263"/>
      <c r="J11" s="2013"/>
      <c r="K11" s="2012"/>
      <c r="L11" s="2012"/>
      <c r="M11" s="2012"/>
      <c r="N11" s="2012"/>
      <c r="O11" s="2012"/>
      <c r="P11" s="2012"/>
      <c r="Q11" s="2012"/>
      <c r="R11" s="2012"/>
      <c r="S11" s="2012"/>
      <c r="T11" s="2012"/>
      <c r="U11" s="2012"/>
      <c r="V11" s="2012"/>
    </row>
    <row r="12" spans="1:22" ht="14.25">
      <c r="A12" s="3364" t="s">
        <v>312</v>
      </c>
      <c r="B12" s="3365">
        <v>15</v>
      </c>
      <c r="C12" s="3373"/>
      <c r="D12" s="3376"/>
      <c r="E12" s="261" t="s">
        <v>313</v>
      </c>
      <c r="F12" s="262"/>
      <c r="G12" s="262"/>
      <c r="H12" s="262"/>
      <c r="I12" s="263"/>
      <c r="J12" s="2013"/>
      <c r="K12" s="2012"/>
      <c r="L12" s="2012"/>
      <c r="M12" s="2012"/>
      <c r="N12" s="2012"/>
      <c r="O12" s="2012"/>
      <c r="P12" s="2012"/>
      <c r="Q12" s="2012"/>
      <c r="R12" s="2012"/>
      <c r="S12" s="2012"/>
      <c r="T12" s="2012"/>
      <c r="U12" s="2012"/>
      <c r="V12" s="2012"/>
    </row>
    <row r="13" spans="1:22" ht="14.25">
      <c r="A13" s="3364"/>
      <c r="B13" s="3365"/>
      <c r="C13" s="3375"/>
      <c r="D13" s="3376"/>
      <c r="E13" s="261" t="s">
        <v>314</v>
      </c>
      <c r="F13" s="262"/>
      <c r="G13" s="262"/>
      <c r="H13" s="262"/>
      <c r="I13" s="263"/>
      <c r="J13" s="2013"/>
      <c r="K13" s="2012"/>
      <c r="L13" s="2012"/>
      <c r="M13" s="2012"/>
      <c r="N13" s="2012"/>
      <c r="O13" s="2012"/>
      <c r="P13" s="2012"/>
      <c r="Q13" s="2012"/>
      <c r="R13" s="2012"/>
      <c r="S13" s="2012"/>
      <c r="T13" s="2012"/>
      <c r="U13" s="2012"/>
      <c r="V13" s="2012"/>
    </row>
    <row r="14" spans="1:22" ht="14.25">
      <c r="A14" s="3364" t="s">
        <v>315</v>
      </c>
      <c r="B14" s="3365">
        <v>30</v>
      </c>
      <c r="C14" s="3373">
        <v>5</v>
      </c>
      <c r="D14" s="3376">
        <v>5</v>
      </c>
      <c r="E14" s="261" t="s">
        <v>316</v>
      </c>
      <c r="F14" s="262"/>
      <c r="G14" s="262"/>
      <c r="H14" s="262"/>
      <c r="I14" s="263"/>
      <c r="J14" s="2013"/>
      <c r="K14" s="2012"/>
      <c r="L14" s="2012"/>
      <c r="M14" s="2012"/>
      <c r="N14" s="2012"/>
      <c r="O14" s="2012"/>
      <c r="P14" s="2012"/>
      <c r="Q14" s="2012"/>
      <c r="R14" s="2012"/>
      <c r="S14" s="2012"/>
      <c r="T14" s="2012"/>
      <c r="U14" s="2012"/>
      <c r="V14" s="2012"/>
    </row>
    <row r="15" spans="1:22" ht="14.25">
      <c r="A15" s="3364"/>
      <c r="B15" s="3365"/>
      <c r="C15" s="3374"/>
      <c r="D15" s="3376"/>
      <c r="E15" s="261" t="s">
        <v>317</v>
      </c>
      <c r="F15" s="262"/>
      <c r="G15" s="262"/>
      <c r="H15" s="262"/>
      <c r="I15" s="263"/>
      <c r="J15" s="2013"/>
      <c r="K15" s="2012"/>
      <c r="L15" s="2012"/>
      <c r="M15" s="2012"/>
      <c r="N15" s="2012"/>
      <c r="O15" s="2012"/>
      <c r="P15" s="2012"/>
      <c r="Q15" s="2012"/>
      <c r="R15" s="2012"/>
      <c r="S15" s="2012"/>
      <c r="T15" s="2012"/>
      <c r="U15" s="2012"/>
      <c r="V15" s="2012"/>
    </row>
    <row r="16" spans="1:22" ht="14.25">
      <c r="A16" s="3364"/>
      <c r="B16" s="3365"/>
      <c r="C16" s="3375"/>
      <c r="D16" s="3376"/>
      <c r="E16" s="261" t="s">
        <v>318</v>
      </c>
      <c r="F16" s="262"/>
      <c r="G16" s="262"/>
      <c r="H16" s="262"/>
      <c r="I16" s="263"/>
      <c r="J16" s="2013"/>
      <c r="K16" s="2012"/>
      <c r="L16" s="2012"/>
      <c r="M16" s="2012"/>
      <c r="N16" s="2012"/>
      <c r="O16" s="2012"/>
      <c r="P16" s="2012"/>
      <c r="Q16" s="2012"/>
      <c r="R16" s="2012"/>
      <c r="S16" s="2012"/>
      <c r="T16" s="2012"/>
      <c r="U16" s="2012"/>
      <c r="V16" s="2012"/>
    </row>
    <row r="17" spans="1:26" ht="15">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7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5">
      <c r="A19" s="268" t="s">
        <v>321</v>
      </c>
      <c r="B19" s="269" t="s">
        <v>322</v>
      </c>
      <c r="C19" s="270">
        <f ca="1">SUMIF(INDIRECT("'"&amp;C4&amp;"'"&amp;"!A:A"),结果表!B19,INDIRECT("'"&amp;C4&amp;"'"&amp;"!B:B"))</f>
        <v>75708</v>
      </c>
      <c r="D19" s="271">
        <f ca="1">SUMIF(INDIRECT("'"&amp;D4&amp;"'"&amp;"!A:A"),结果表!B19,INDIRECT("'"&amp;D4&amp;"'"&amp;"!B:B"))</f>
        <v>77765</v>
      </c>
      <c r="E19" s="268" t="s">
        <v>323</v>
      </c>
      <c r="F19" s="269" t="s">
        <v>322</v>
      </c>
      <c r="G19" s="272">
        <f ca="1">ROUND(C19*$C$18+D19*$D$18,0)</f>
        <v>76737</v>
      </c>
      <c r="H19" s="273" t="s">
        <v>324</v>
      </c>
      <c r="I19" s="311"/>
      <c r="J19" s="2012"/>
      <c r="K19" s="2012"/>
      <c r="L19" s="2012"/>
      <c r="M19" s="2012"/>
      <c r="N19" s="2012"/>
      <c r="O19" s="2012"/>
      <c r="P19" s="2012"/>
      <c r="Q19" s="2012"/>
      <c r="R19" s="2012"/>
      <c r="S19" s="2012"/>
      <c r="T19" s="2012"/>
      <c r="U19" s="2012"/>
      <c r="V19" s="2012"/>
    </row>
    <row r="20" spans="1:26" ht="15">
      <c r="A20" s="274"/>
      <c r="B20" s="275" t="s">
        <v>325</v>
      </c>
      <c r="C20" s="276">
        <f ca="1">SUMIF(INDIRECT("'"&amp;C4&amp;"'"&amp;"!A:A"),结果表!B20,INDIRECT("'"&amp;C4&amp;"'"&amp;"!B:B"))</f>
        <v>2353</v>
      </c>
      <c r="D20" s="277">
        <f ca="1">SUMIF(INDIRECT("'"&amp;D4&amp;"'"&amp;"!A:A"),结果表!B20,INDIRECT("'"&amp;D4&amp;"'"&amp;"!B:B"))</f>
        <v>2417</v>
      </c>
      <c r="E20" s="274"/>
      <c r="F20" s="275" t="s">
        <v>325</v>
      </c>
      <c r="G20" s="278">
        <f ca="1">ROUND(C20*$C$18+D20*$D$18,0)</f>
        <v>2385</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10516</v>
      </c>
      <c r="D21" s="151">
        <f ca="1">SUMIF(INDIRECT("'"&amp;D4&amp;"'"&amp;"!A:A"),结果表!B21,INDIRECT("'"&amp;D4&amp;"'"&amp;"!B:B"))</f>
        <v>10801</v>
      </c>
      <c r="E21" s="274"/>
      <c r="F21" s="280" t="s">
        <v>327</v>
      </c>
      <c r="G21" s="282">
        <f ca="1">ROUND(C21*$C$18+D21*$D$18,0)</f>
        <v>10659</v>
      </c>
      <c r="H21" s="1245" t="s">
        <v>326</v>
      </c>
      <c r="I21" s="311"/>
      <c r="J21" s="2012"/>
      <c r="K21" s="2012"/>
      <c r="L21" s="2012"/>
      <c r="M21" s="2012"/>
      <c r="N21" s="2012"/>
      <c r="O21" s="2012"/>
      <c r="P21" s="2012"/>
      <c r="Q21" s="2012"/>
      <c r="R21" s="2012"/>
      <c r="S21" s="2012"/>
      <c r="T21" s="2012"/>
      <c r="U21" s="2012"/>
      <c r="V21" s="2012"/>
    </row>
    <row r="22" spans="1:26" ht="15.75" thickBot="1">
      <c r="A22" s="126" t="s">
        <v>328</v>
      </c>
      <c r="B22" s="1246"/>
      <c r="C22" s="1247"/>
      <c r="D22" s="283">
        <f ca="1">IF(C19&lt;D19,D19/C19-1,C19/D19-1)</f>
        <v>2.7170180165900559E-2</v>
      </c>
      <c r="E22" s="284"/>
      <c r="F22" s="285"/>
      <c r="G22" s="286">
        <f ca="1">ROUND(G19/('数据-汇总表'!D3/666.67),0)</f>
        <v>711</v>
      </c>
      <c r="H22" s="287" t="s">
        <v>329</v>
      </c>
      <c r="I22" s="311"/>
      <c r="J22" s="2012"/>
      <c r="K22" s="2012"/>
      <c r="L22" s="2012"/>
      <c r="M22" s="2012"/>
      <c r="N22" s="2012"/>
      <c r="O22" s="2012"/>
      <c r="P22" s="2012"/>
      <c r="Q22" s="2012"/>
      <c r="R22" s="2012"/>
      <c r="S22" s="2012"/>
      <c r="T22" s="2012"/>
      <c r="U22" s="2012"/>
      <c r="V22" s="2012"/>
    </row>
    <row r="23" spans="1:26" ht="13.5"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37" t="s">
        <v>330</v>
      </c>
      <c r="B24" s="269" t="s">
        <v>322</v>
      </c>
      <c r="C24" s="288">
        <f>IF(B30=0,0,D30)</f>
        <v>216</v>
      </c>
      <c r="D24" s="289"/>
      <c r="E24" s="311"/>
      <c r="F24" s="311"/>
      <c r="G24" s="311"/>
      <c r="H24" s="311"/>
      <c r="I24" s="311"/>
      <c r="J24" s="2012"/>
      <c r="K24" s="2012"/>
      <c r="L24" s="2012"/>
      <c r="M24" s="2012"/>
      <c r="N24" s="2012"/>
      <c r="O24" s="2012"/>
      <c r="P24" s="2012"/>
      <c r="Q24" s="2012"/>
      <c r="R24" s="2012"/>
      <c r="S24" s="2012"/>
      <c r="T24" s="2012"/>
      <c r="U24" s="2012"/>
      <c r="V24" s="2012"/>
    </row>
    <row r="25" spans="1:26" ht="18">
      <c r="A25" s="3379"/>
      <c r="B25" s="1315" t="s">
        <v>3214</v>
      </c>
      <c r="C25" s="290">
        <f>IF(B30=0,0,C30)</f>
        <v>30</v>
      </c>
      <c r="D25" s="291"/>
      <c r="E25" s="311"/>
      <c r="F25" s="311"/>
      <c r="G25" s="311"/>
      <c r="H25" s="311"/>
      <c r="I25" s="311"/>
      <c r="J25" s="2012"/>
      <c r="K25" s="1249" t="str">
        <f ca="1">项目基本情况!B16&amp;"国有建设用地使用权价格："&amp;O38&amp;"万元"</f>
        <v>出让国有建设用地使用权价格：76521万元</v>
      </c>
      <c r="L25" s="1250"/>
      <c r="M25" s="1250"/>
      <c r="N25" s="1250"/>
      <c r="O25" s="1251"/>
      <c r="P25" s="2012"/>
      <c r="Q25" s="2012"/>
      <c r="R25" s="2012"/>
      <c r="S25" s="2012"/>
      <c r="T25" s="2012"/>
      <c r="U25" s="2012"/>
      <c r="V25" s="2012"/>
    </row>
    <row r="26" spans="1:26" s="1248" customFormat="1" ht="18">
      <c r="A26" s="293" t="s">
        <v>331</v>
      </c>
      <c r="B26" s="294" t="s">
        <v>332</v>
      </c>
      <c r="C26" s="294" t="s">
        <v>333</v>
      </c>
      <c r="D26" s="295" t="s">
        <v>334</v>
      </c>
      <c r="E26" s="311"/>
      <c r="F26" s="311"/>
      <c r="G26" s="311"/>
      <c r="H26" s="311"/>
      <c r="I26" s="311"/>
      <c r="J26" s="2012"/>
      <c r="K26" s="1252" t="str">
        <f ca="1">"大写金额：人民币"&amp;NUMBERSTRING(INT(O38*10000),2)&amp;"元整"</f>
        <v>大写金额：人民币柒亿陆仟伍佰贰拾壹万元整</v>
      </c>
      <c r="L26" s="1246"/>
      <c r="M26" s="1246"/>
      <c r="N26" s="1246"/>
      <c r="O26" s="1245"/>
      <c r="P26" s="2012"/>
      <c r="Q26" s="2012"/>
      <c r="R26" s="2012"/>
      <c r="S26" s="2012"/>
      <c r="T26" s="2012"/>
      <c r="U26" s="2012"/>
      <c r="V26" s="2012"/>
      <c r="W26" s="292"/>
      <c r="X26" s="292"/>
      <c r="Y26" s="292"/>
      <c r="Z26" s="292"/>
    </row>
    <row r="27" spans="1:26" ht="18">
      <c r="A27" s="293"/>
      <c r="B27" s="294">
        <f>'数据-基础表'!A3</f>
        <v>71994.8</v>
      </c>
      <c r="C27" s="294">
        <v>30</v>
      </c>
      <c r="D27" s="295">
        <f>ROUND((B27*C27)/10000,0)</f>
        <v>216</v>
      </c>
      <c r="E27" s="311"/>
      <c r="F27" s="311"/>
      <c r="G27" s="311"/>
      <c r="H27" s="311"/>
      <c r="I27" s="311"/>
      <c r="J27" s="2012"/>
      <c r="K27" s="1252" t="str">
        <f ca="1">"单位面积地价："&amp;M38&amp;"元/平方米"</f>
        <v>单位面积地价：10629元/平方米</v>
      </c>
      <c r="L27" s="1246"/>
      <c r="M27" s="1246"/>
      <c r="N27" s="1246"/>
      <c r="O27" s="1245"/>
      <c r="P27" s="2012"/>
      <c r="Q27" s="2012"/>
      <c r="R27" s="2012"/>
      <c r="S27" s="2012"/>
      <c r="T27" s="2012"/>
      <c r="U27" s="2012"/>
      <c r="V27" s="2012"/>
    </row>
    <row r="28" spans="1:26" ht="18.75" customHeight="1">
      <c r="A28" s="293"/>
      <c r="B28" s="294"/>
      <c r="C28" s="294"/>
      <c r="D28" s="295"/>
      <c r="E28" s="311"/>
      <c r="F28" s="311"/>
      <c r="G28" s="311"/>
      <c r="H28" s="311"/>
      <c r="I28" s="311"/>
      <c r="J28" s="2012"/>
      <c r="K28" s="1252" t="str">
        <f ca="1">"楼面地价："&amp;N38&amp;"元/平方米"</f>
        <v>楼面地价：2378元/平方米</v>
      </c>
      <c r="L28" s="1246"/>
      <c r="M28" s="1246"/>
      <c r="N28" s="1246"/>
      <c r="O28" s="1245"/>
      <c r="P28" s="2012"/>
      <c r="V28" s="2012"/>
    </row>
    <row r="29" spans="1:26" ht="18">
      <c r="A29" s="293"/>
      <c r="B29" s="294"/>
      <c r="C29" s="294"/>
      <c r="D29" s="295"/>
      <c r="E29" s="311"/>
      <c r="F29" s="311"/>
      <c r="G29" s="311"/>
      <c r="H29" s="311"/>
      <c r="I29" s="311"/>
      <c r="J29" s="2012"/>
      <c r="K29" s="1252" t="str">
        <f>IF(OR(项目基本情况!E8="抵押价格",项目基本情况!E8="已注销及未注销"),"抵押价格："&amp;O39&amp;"万元","——")</f>
        <v>——</v>
      </c>
      <c r="L29" s="1246"/>
      <c r="M29" s="1246"/>
      <c r="N29" s="1246"/>
      <c r="O29" s="1245"/>
      <c r="P29" s="2012"/>
      <c r="V29" s="2012"/>
    </row>
    <row r="30" spans="1:26" ht="18.75" thickBot="1">
      <c r="A30" s="3079" t="s">
        <v>335</v>
      </c>
      <c r="B30" s="309">
        <f>B27</f>
        <v>71994.8</v>
      </c>
      <c r="C30" s="309">
        <f>C27</f>
        <v>30</v>
      </c>
      <c r="D30" s="310">
        <f>D27</f>
        <v>216</v>
      </c>
      <c r="E30" s="3080" t="s">
        <v>2958</v>
      </c>
      <c r="F30" s="311"/>
      <c r="G30" s="311"/>
      <c r="H30" s="311"/>
      <c r="I30" s="311"/>
      <c r="J30" s="2012"/>
      <c r="K30" s="1252" t="str">
        <f>IF(K29="——","——","大写金额：人民币"&amp;NUMBERSTRING(INT(O39*10000),2)&amp;"元整")</f>
        <v>——</v>
      </c>
      <c r="L30" s="1246"/>
      <c r="M30" s="1246"/>
      <c r="N30" s="1246"/>
      <c r="O30" s="1245"/>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抵押担保权已注销时的抵押价格：——万元</v>
      </c>
      <c r="L31" s="2427"/>
      <c r="M31" s="2427"/>
      <c r="N31" s="2427"/>
      <c r="O31" s="2428"/>
      <c r="P31" s="2012"/>
      <c r="V31" s="2012"/>
    </row>
    <row r="32" spans="1:26" ht="18.75" thickBot="1">
      <c r="A32" s="268" t="s">
        <v>336</v>
      </c>
      <c r="B32" s="1376" t="s">
        <v>1687</v>
      </c>
      <c r="C32" s="1377">
        <f ca="1">G19-C24</f>
        <v>76521</v>
      </c>
      <c r="D32" s="1378" t="s">
        <v>1688</v>
      </c>
      <c r="E32" s="311"/>
      <c r="F32" s="311"/>
      <c r="G32" s="311"/>
      <c r="H32" s="311"/>
      <c r="I32" s="311"/>
      <c r="J32" s="2012"/>
      <c r="K32" s="2426" t="e">
        <f>IF(K31="——","——","大写金额：人民币"&amp;NUMBERSTRING(INT(O40*10000),2)&amp;"元整")</f>
        <v>#VALUE!</v>
      </c>
      <c r="L32" s="2429"/>
      <c r="M32" s="2429"/>
      <c r="N32" s="2429"/>
      <c r="O32" s="2430"/>
      <c r="P32" s="2012"/>
      <c r="V32" s="2012"/>
    </row>
    <row r="33" spans="1:26" ht="18.75" thickBot="1">
      <c r="A33" s="298" t="s">
        <v>339</v>
      </c>
      <c r="B33" s="1379" t="s">
        <v>1689</v>
      </c>
      <c r="C33" s="264">
        <f ca="1">ROUND(C32*10000/'数据-汇总表'!E3,0)</f>
        <v>2378</v>
      </c>
      <c r="D33" s="1380" t="s">
        <v>1690</v>
      </c>
      <c r="E33" s="3337" t="s">
        <v>337</v>
      </c>
      <c r="F33" s="296" t="s">
        <v>338</v>
      </c>
      <c r="G33" s="297"/>
      <c r="H33" s="980"/>
      <c r="I33" s="1253"/>
      <c r="J33" s="2012"/>
      <c r="K33" s="1252" t="str">
        <f>IF(项目基本情况!E9="——","——","抵押净值："&amp;C46&amp;"万元")</f>
        <v>抵押净值：——万元</v>
      </c>
      <c r="L33" s="1246"/>
      <c r="M33" s="1246"/>
      <c r="N33" s="1246"/>
      <c r="O33" s="1245"/>
      <c r="P33" s="2012"/>
      <c r="V33" s="2012"/>
    </row>
    <row r="34" spans="1:26" s="1248" customFormat="1" ht="18.75" thickBot="1">
      <c r="A34" s="300"/>
      <c r="B34" s="1381" t="s">
        <v>1691</v>
      </c>
      <c r="C34" s="264">
        <f ca="1">ROUND(C32*10000/'数据-汇总表'!D3,0)</f>
        <v>10629</v>
      </c>
      <c r="D34" s="1382" t="s">
        <v>1690</v>
      </c>
      <c r="E34" s="3338"/>
      <c r="F34" s="127" t="s">
        <v>340</v>
      </c>
      <c r="G34" s="299"/>
      <c r="H34" s="105"/>
      <c r="I34" s="311"/>
      <c r="J34" s="2012"/>
      <c r="K34" s="1255" t="e">
        <f>IF(K33="——","——","大写金额：人民币"&amp;NUMBERSTRING(INT(O41*10000),2)&amp;"元整")</f>
        <v>#VALUE!</v>
      </c>
      <c r="L34" s="1256"/>
      <c r="M34" s="1256"/>
      <c r="N34" s="1256"/>
      <c r="O34" s="1257"/>
      <c r="P34" s="2012"/>
      <c r="Q34" s="292"/>
      <c r="R34" s="292"/>
      <c r="S34" s="292"/>
      <c r="T34" s="292"/>
      <c r="U34" s="292"/>
      <c r="V34" s="2012"/>
      <c r="W34" s="292"/>
      <c r="X34" s="292"/>
      <c r="Y34" s="292"/>
      <c r="Z34" s="292"/>
    </row>
    <row r="35" spans="1:26" ht="15.75" thickBot="1">
      <c r="A35" s="284"/>
      <c r="B35" s="1383"/>
      <c r="C35" s="1384">
        <f ca="1">ROUND(C32/('数据-汇总表'!D3/666.67),0)</f>
        <v>709</v>
      </c>
      <c r="D35" s="1385" t="s">
        <v>1692</v>
      </c>
      <c r="E35" s="3339"/>
      <c r="F35" s="301" t="s">
        <v>341</v>
      </c>
      <c r="G35" s="982"/>
      <c r="H35" s="981" t="s">
        <v>342</v>
      </c>
      <c r="I35" s="311"/>
      <c r="J35" s="2012"/>
      <c r="K35" s="3343" t="s">
        <v>349</v>
      </c>
      <c r="L35" s="3343" t="s">
        <v>350</v>
      </c>
      <c r="M35" s="1258" t="s">
        <v>351</v>
      </c>
      <c r="N35" s="3343" t="s">
        <v>352</v>
      </c>
      <c r="O35" s="3343" t="s">
        <v>353</v>
      </c>
      <c r="P35" s="2012"/>
      <c r="V35" s="2012"/>
    </row>
    <row r="36" spans="1:26" ht="16.5" customHeight="1">
      <c r="A36" s="303" t="s">
        <v>343</v>
      </c>
      <c r="B36" s="304" t="s">
        <v>332</v>
      </c>
      <c r="C36" s="305" t="s">
        <v>344</v>
      </c>
      <c r="D36" s="305" t="s">
        <v>345</v>
      </c>
      <c r="E36" s="306" t="s">
        <v>346</v>
      </c>
      <c r="F36" s="311"/>
      <c r="G36" s="311"/>
      <c r="H36" s="311"/>
      <c r="I36" s="311"/>
      <c r="J36" s="2014"/>
      <c r="K36" s="3344"/>
      <c r="L36" s="3344"/>
      <c r="M36" s="1260" t="s">
        <v>354</v>
      </c>
      <c r="N36" s="3344"/>
      <c r="O36" s="3344"/>
      <c r="P36" s="2012"/>
      <c r="V36" s="2012"/>
    </row>
    <row r="37" spans="1:26" ht="16.5" customHeight="1" thickBot="1">
      <c r="A37" s="1254" t="s">
        <v>347</v>
      </c>
      <c r="B37" s="307"/>
      <c r="C37" s="294"/>
      <c r="D37" s="294"/>
      <c r="E37" s="295"/>
      <c r="F37" s="311"/>
      <c r="G37" s="311"/>
      <c r="H37" s="311"/>
      <c r="I37" s="311"/>
      <c r="J37" s="2014"/>
      <c r="K37" s="3345"/>
      <c r="L37" s="3345"/>
      <c r="M37" s="1261"/>
      <c r="N37" s="3345"/>
      <c r="O37" s="3345"/>
      <c r="P37" s="2012"/>
      <c r="V37" s="2012"/>
    </row>
    <row r="38" spans="1:26" ht="16.5" customHeight="1" thickBot="1">
      <c r="A38" s="1254" t="s">
        <v>348</v>
      </c>
      <c r="B38" s="307"/>
      <c r="C38" s="294"/>
      <c r="D38" s="294"/>
      <c r="E38" s="295"/>
      <c r="F38" s="311"/>
      <c r="G38" s="311"/>
      <c r="H38" s="311"/>
      <c r="I38" s="311"/>
      <c r="J38" s="2014"/>
      <c r="K38" s="1262">
        <f>'数据-汇总表'!D3</f>
        <v>71994.8</v>
      </c>
      <c r="L38" s="1263">
        <f>'数据-汇总表'!E3</f>
        <v>321749.09999999998</v>
      </c>
      <c r="M38" s="1263">
        <f ca="1">C34</f>
        <v>10629</v>
      </c>
      <c r="N38" s="1263">
        <f ca="1">C33</f>
        <v>2378</v>
      </c>
      <c r="O38" s="1264">
        <f ca="1">C32</f>
        <v>76521</v>
      </c>
      <c r="P38" s="2012"/>
      <c r="V38" s="2012"/>
    </row>
    <row r="39" spans="1:26" ht="16.5" customHeight="1" thickBot="1">
      <c r="A39" s="1259"/>
      <c r="B39" s="308"/>
      <c r="C39" s="309"/>
      <c r="D39" s="309"/>
      <c r="E39" s="310"/>
      <c r="F39" s="311"/>
      <c r="G39" s="311"/>
      <c r="H39" s="311"/>
      <c r="I39" s="311"/>
      <c r="J39" s="2014"/>
      <c r="K39" s="3320" t="str">
        <f>MID(A44,3,LEN(A44)-2)</f>
        <v/>
      </c>
      <c r="L39" s="3321"/>
      <c r="M39" s="3321"/>
      <c r="N39" s="3322"/>
      <c r="O39" s="1387" t="str">
        <f>C44</f>
        <v>——</v>
      </c>
      <c r="P39" s="2012"/>
      <c r="V39" s="2012"/>
    </row>
    <row r="40" spans="1:26" ht="19.5" thickBot="1">
      <c r="A40" s="104" t="s">
        <v>872</v>
      </c>
      <c r="B40" s="311"/>
      <c r="C40" s="311"/>
      <c r="D40" s="311"/>
      <c r="E40" s="311"/>
      <c r="F40" s="311"/>
      <c r="G40" s="311"/>
      <c r="H40" s="311"/>
      <c r="I40" s="311"/>
      <c r="J40" s="2014"/>
      <c r="K40" s="3320" t="str">
        <f t="shared" ref="K40:K41" si="0">MID(A45,3,LEN(A45)-2)</f>
        <v/>
      </c>
      <c r="L40" s="3321"/>
      <c r="M40" s="3321"/>
      <c r="N40" s="3322"/>
      <c r="O40" s="1387" t="str">
        <f>C45</f>
        <v>——</v>
      </c>
      <c r="P40" s="2012"/>
      <c r="V40" s="2012"/>
    </row>
    <row r="41" spans="1:26" ht="16.5" thickBot="1">
      <c r="A41" s="312" t="s">
        <v>355</v>
      </c>
      <c r="B41" s="313"/>
      <c r="C41" s="314" t="s">
        <v>356</v>
      </c>
      <c r="D41" s="315" t="s">
        <v>357</v>
      </c>
      <c r="E41" s="315" t="s">
        <v>358</v>
      </c>
      <c r="F41" s="316" t="s">
        <v>359</v>
      </c>
      <c r="G41" s="311"/>
      <c r="H41" s="311"/>
      <c r="I41" s="311"/>
      <c r="J41" s="2014"/>
      <c r="K41" s="3320" t="str">
        <f t="shared" si="0"/>
        <v/>
      </c>
      <c r="L41" s="3321"/>
      <c r="M41" s="3321"/>
      <c r="N41" s="3322"/>
      <c r="O41" s="1387" t="str">
        <f>C46</f>
        <v>——</v>
      </c>
      <c r="P41" s="2012"/>
      <c r="V41" s="2012"/>
    </row>
    <row r="42" spans="1:26" ht="29.25">
      <c r="A42" s="3380" t="s">
        <v>2066</v>
      </c>
      <c r="B42" s="3381"/>
      <c r="C42" s="264">
        <f ca="1">C32</f>
        <v>76521</v>
      </c>
      <c r="D42" s="317">
        <f ca="1">C33</f>
        <v>2378</v>
      </c>
      <c r="E42" s="317">
        <f ca="1">C34</f>
        <v>10629</v>
      </c>
      <c r="F42" s="318">
        <f ca="1">C35</f>
        <v>709</v>
      </c>
      <c r="G42" s="311"/>
      <c r="H42" s="311"/>
      <c r="I42" s="319"/>
      <c r="J42" s="2014"/>
      <c r="K42" s="1265" t="s">
        <v>360</v>
      </c>
      <c r="L42" s="2031" t="s">
        <v>361</v>
      </c>
      <c r="M42" s="1266" t="s">
        <v>362</v>
      </c>
      <c r="N42" s="2032" t="s">
        <v>363</v>
      </c>
      <c r="O42" s="2033" t="s">
        <v>364</v>
      </c>
      <c r="P42" s="2012"/>
      <c r="V42" s="2012"/>
    </row>
    <row r="43" spans="1:26" ht="30">
      <c r="A43" s="3390" t="s">
        <v>2728</v>
      </c>
      <c r="B43" s="3391"/>
      <c r="C43" s="264">
        <f>IF(H33="正常操作",G33+G34+G35,G34+G35)</f>
        <v>0</v>
      </c>
      <c r="D43" s="317" t="s">
        <v>43</v>
      </c>
      <c r="E43" s="317" t="s">
        <v>44</v>
      </c>
      <c r="F43" s="318" t="s">
        <v>44</v>
      </c>
      <c r="G43" s="2820" t="s">
        <v>951</v>
      </c>
      <c r="H43" s="311"/>
      <c r="I43" s="319"/>
      <c r="J43" s="2014"/>
      <c r="K43" s="1267" t="str">
        <f>C4</f>
        <v>比较法-住宅、综合</v>
      </c>
      <c r="L43" s="1268">
        <f ca="1">IF(L42="估价结果/万元",C19,C20)</f>
        <v>75708</v>
      </c>
      <c r="M43" s="1269">
        <f>C18</f>
        <v>0.5</v>
      </c>
      <c r="N43" s="1270">
        <f ca="1">IF(N42="测算结果/万元",G19,G20)</f>
        <v>76737</v>
      </c>
      <c r="O43" s="1271">
        <f ca="1">IF(O42="最终结果/万元",C32,C33)</f>
        <v>76521</v>
      </c>
      <c r="P43" s="2012"/>
      <c r="V43" s="2012"/>
    </row>
    <row r="44" spans="1:26" ht="30.75" thickBot="1">
      <c r="A44" s="3380" t="str">
        <f>IF(OR(项目基本情况!E8="抵押价格",项目基本情况!E8="已注销及未注销"),"3.抵押价格","——")</f>
        <v>——</v>
      </c>
      <c r="B44" s="3381"/>
      <c r="C44" s="264" t="str">
        <f>IF(A44="——","——",C42-C43)</f>
        <v>——</v>
      </c>
      <c r="D44" s="317" t="e">
        <f>ROUND(C44*10000/'数据-汇总表'!E3,0)</f>
        <v>#VALUE!</v>
      </c>
      <c r="E44" s="317" t="e">
        <f>ROUND(C44*10000/'数据-汇总表'!D3,0)</f>
        <v>#VALUE!</v>
      </c>
      <c r="F44" s="318" t="e">
        <f>ROUND(C44/('数据-汇总表'!D3/666.67),0)</f>
        <v>#VALUE!</v>
      </c>
      <c r="G44" s="311"/>
      <c r="H44" s="311"/>
      <c r="I44" s="319"/>
      <c r="J44" s="2014"/>
      <c r="K44" s="1272" t="str">
        <f>D4</f>
        <v>剩余法-待开发</v>
      </c>
      <c r="L44" s="1273">
        <f ca="1">IF(L42="估价结果/万元",D19,D20)</f>
        <v>77765</v>
      </c>
      <c r="M44" s="1274">
        <f>D18</f>
        <v>0.5</v>
      </c>
      <c r="N44" s="1275"/>
      <c r="O44" s="1276"/>
      <c r="P44" s="2012"/>
      <c r="V44" s="2012"/>
    </row>
    <row r="45" spans="1:26" ht="15">
      <c r="A45" s="3385" t="str">
        <f>IF(项目基本情况!E8="已注销及未注销","4.抵押担保权已注销时的抵押价格",IF(项目基本情况!E8="已注销","3.抵押担保权已注销时的抵押价格","——"))</f>
        <v>——</v>
      </c>
      <c r="B45" s="3386"/>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5.75" thickBot="1">
      <c r="A46" s="3382" t="str">
        <f>IF(项目基本情况!E9="抵押净值",IF(A45="——","4.抵押净值","5.抵押净值"),"——")</f>
        <v>——</v>
      </c>
      <c r="B46" s="3383"/>
      <c r="C46" s="320" t="str">
        <f>IF(A46="——","——",O79)</f>
        <v>——</v>
      </c>
      <c r="D46" s="317" t="e">
        <f>ROUND(C46*10000/'数据-汇总表'!E3,0)</f>
        <v>#VALUE!</v>
      </c>
      <c r="E46" s="317" t="e">
        <f>ROUND(C46*10000/'数据-汇总表'!D3,0)</f>
        <v>#VALUE!</v>
      </c>
      <c r="F46" s="318" t="e">
        <f>ROUND(C46/('数据-汇总表'!D3/666.67),0)</f>
        <v>#VALUE!</v>
      </c>
      <c r="G46" s="311"/>
      <c r="H46" s="311"/>
      <c r="I46" s="319"/>
      <c r="J46" s="2014"/>
      <c r="K46" s="2012"/>
      <c r="L46" s="2012"/>
      <c r="M46" s="2012"/>
      <c r="N46" s="2012"/>
      <c r="O46" s="2012"/>
      <c r="P46" s="2012"/>
      <c r="Q46" s="2012"/>
      <c r="R46" s="2012"/>
      <c r="S46" s="2012"/>
      <c r="T46" s="2012"/>
      <c r="U46" s="2012"/>
      <c r="V46" s="2012"/>
    </row>
    <row r="47" spans="1:26" ht="15.75">
      <c r="A47" s="321" t="s">
        <v>365</v>
      </c>
      <c r="B47" s="1277"/>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本次评估不存在估价师知悉的法定优先受偿款</v>
      </c>
      <c r="L47" s="2012"/>
      <c r="M47" s="2012"/>
      <c r="N47" s="2012"/>
      <c r="O47" s="2012"/>
      <c r="P47" s="2012"/>
      <c r="Q47" s="2012"/>
      <c r="R47" s="2012"/>
      <c r="S47" s="2012"/>
      <c r="T47" s="2012"/>
      <c r="U47" s="2012"/>
      <c r="V47" s="2012"/>
    </row>
    <row r="48" spans="1:26" ht="12.75">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2.75">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2.75">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2.75">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2.75">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2.75">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2.75">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2.75">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2.75">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2.75">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2.75">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2.75">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2.75">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2.75">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8.75">
      <c r="A62" s="1278" t="s">
        <v>372</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48" t="s">
        <v>373</v>
      </c>
      <c r="B63" s="3349"/>
      <c r="C63" s="3350"/>
      <c r="D63" s="341">
        <f ca="1">ROUND(C42*F63,0)</f>
        <v>76521</v>
      </c>
      <c r="E63" s="302" t="s">
        <v>374</v>
      </c>
      <c r="F63" s="342">
        <v>1</v>
      </c>
      <c r="G63" s="343" t="s">
        <v>375</v>
      </c>
      <c r="H63" s="311"/>
      <c r="I63" s="311"/>
      <c r="J63" s="2012"/>
      <c r="K63" s="2012"/>
      <c r="L63" s="2012"/>
      <c r="M63" s="2012"/>
      <c r="N63" s="2012"/>
      <c r="O63" s="2012"/>
      <c r="P63" s="311"/>
      <c r="Q63" s="2012"/>
      <c r="R63" s="2012"/>
      <c r="S63" s="2012"/>
      <c r="T63" s="2012"/>
      <c r="U63" s="2012"/>
      <c r="V63" s="2012"/>
    </row>
    <row r="64" spans="1:22" ht="14.25" customHeight="1">
      <c r="A64" s="3387" t="s">
        <v>377</v>
      </c>
      <c r="B64" s="3388"/>
      <c r="C64" s="3388"/>
      <c r="D64" s="3388"/>
      <c r="E64" s="3388"/>
      <c r="F64" s="3388"/>
      <c r="G64" s="3389"/>
      <c r="H64" s="1282"/>
      <c r="I64" s="948"/>
      <c r="J64" s="1974"/>
      <c r="K64" s="1546"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2"/>
      <c r="I65" s="948"/>
      <c r="J65" s="1974"/>
      <c r="K65" s="1283"/>
      <c r="L65" s="1284"/>
      <c r="M65" s="1284"/>
      <c r="N65" s="1316" t="s">
        <v>378</v>
      </c>
      <c r="O65" s="1317"/>
      <c r="P65" s="1318"/>
      <c r="Q65" s="2012"/>
      <c r="R65" s="2012"/>
      <c r="S65" s="2012"/>
      <c r="T65" s="2012"/>
      <c r="U65" s="2012"/>
      <c r="V65" s="2012"/>
    </row>
    <row r="66" spans="1:22" ht="25.5">
      <c r="A66" s="3384" t="s">
        <v>385</v>
      </c>
      <c r="B66" s="3355"/>
      <c r="C66" s="3355"/>
      <c r="D66" s="261">
        <f ca="1">IF(H66="情况1",0,IF(H66="情况2",D70,IF(H66="情况3",D71,IF(H66="情况4",D72))))</f>
        <v>4081</v>
      </c>
      <c r="E66" s="993" t="str">
        <f>IF(H66="情况4","(销售额-原购置价)×税（费）率","销售额×税（费）率")</f>
        <v>销售额×税（费）率</v>
      </c>
      <c r="F66" s="350">
        <f>IF(H66="情况1","免征",'数据-取费表'!B41)</f>
        <v>5.6000000000000001E-2</v>
      </c>
      <c r="G66" s="351" t="s">
        <v>386</v>
      </c>
      <c r="H66" s="191" t="s">
        <v>387</v>
      </c>
      <c r="I66" s="1282"/>
      <c r="J66" s="2018"/>
      <c r="K66" s="1285">
        <v>1</v>
      </c>
      <c r="L66" s="3324" t="s">
        <v>384</v>
      </c>
      <c r="M66" s="3325"/>
      <c r="N66" s="2421"/>
      <c r="O66" s="2422"/>
      <c r="P66" s="2423"/>
      <c r="Q66" s="2012"/>
      <c r="R66" s="2012"/>
      <c r="S66" s="2012"/>
      <c r="T66" s="2012"/>
      <c r="U66" s="2012"/>
      <c r="V66" s="2012"/>
    </row>
    <row r="67" spans="1:22" ht="25.5" customHeight="1">
      <c r="A67" s="352" t="s">
        <v>389</v>
      </c>
      <c r="B67" s="3367" t="s">
        <v>390</v>
      </c>
      <c r="C67" s="3367"/>
      <c r="D67" s="353">
        <v>0</v>
      </c>
      <c r="E67" s="41" t="s">
        <v>391</v>
      </c>
      <c r="F67" s="62" t="s">
        <v>21</v>
      </c>
      <c r="G67" s="3351"/>
      <c r="H67" s="311"/>
      <c r="I67" s="1286"/>
      <c r="J67" s="2019"/>
      <c r="K67" s="1960">
        <v>2</v>
      </c>
      <c r="L67" s="3323" t="s">
        <v>388</v>
      </c>
      <c r="M67" s="3323"/>
      <c r="N67" s="1319">
        <f>'数据-取费表'!B2</f>
        <v>43628</v>
      </c>
      <c r="O67" s="1319"/>
      <c r="P67" s="1319"/>
      <c r="Q67" s="2012"/>
      <c r="R67" s="2012"/>
      <c r="S67" s="2012"/>
      <c r="T67" s="2012"/>
      <c r="U67" s="2012"/>
      <c r="V67" s="2012"/>
    </row>
    <row r="68" spans="1:22" ht="25.5" customHeight="1">
      <c r="A68" s="354"/>
      <c r="B68" s="3367" t="s">
        <v>393</v>
      </c>
      <c r="C68" s="3367"/>
      <c r="D68" s="355"/>
      <c r="E68" s="77"/>
      <c r="F68" s="356"/>
      <c r="G68" s="3352"/>
      <c r="H68" s="311"/>
      <c r="I68" s="1286"/>
      <c r="J68" s="2019"/>
      <c r="K68" s="1960">
        <v>3</v>
      </c>
      <c r="L68" s="3323" t="s">
        <v>392</v>
      </c>
      <c r="M68" s="3323"/>
      <c r="N68" s="1287">
        <f ca="1">C42</f>
        <v>76521</v>
      </c>
      <c r="O68" s="1287"/>
      <c r="P68" s="1287"/>
      <c r="Q68" s="2012"/>
      <c r="R68" s="2012"/>
      <c r="S68" s="2012"/>
      <c r="T68" s="2012"/>
      <c r="U68" s="2012"/>
      <c r="V68" s="2012"/>
    </row>
    <row r="69" spans="1:22" ht="12" customHeight="1">
      <c r="A69" s="357"/>
      <c r="B69" s="3367" t="s">
        <v>394</v>
      </c>
      <c r="C69" s="3367"/>
      <c r="D69" s="358"/>
      <c r="E69" s="73"/>
      <c r="F69" s="356"/>
      <c r="G69" s="3353"/>
      <c r="H69" s="311"/>
      <c r="I69" s="1286"/>
      <c r="J69" s="2019"/>
      <c r="K69" s="1288">
        <v>4</v>
      </c>
      <c r="L69" s="3329" t="s">
        <v>2881</v>
      </c>
      <c r="M69" s="3330"/>
      <c r="N69" s="1289" t="str">
        <f>C44</f>
        <v>——</v>
      </c>
      <c r="O69" s="1289"/>
      <c r="P69" s="1289"/>
      <c r="Q69" s="2012"/>
      <c r="R69" s="2012"/>
      <c r="S69" s="2012"/>
      <c r="T69" s="2012"/>
      <c r="U69" s="2012"/>
      <c r="V69" s="2012"/>
    </row>
    <row r="70" spans="1:22" ht="24" customHeight="1">
      <c r="A70" s="359" t="s">
        <v>395</v>
      </c>
      <c r="B70" s="3367" t="s">
        <v>396</v>
      </c>
      <c r="C70" s="3367"/>
      <c r="D70" s="358">
        <f ca="1">ROUND(D63*'数据-取费表'!B41/(1+'数据-取费表'!C42),0)</f>
        <v>4081</v>
      </c>
      <c r="E70" s="17" t="s">
        <v>397</v>
      </c>
      <c r="F70" s="360">
        <f>'数据-取费表'!B41</f>
        <v>5.6000000000000001E-2</v>
      </c>
      <c r="G70" s="361"/>
      <c r="H70" s="311"/>
      <c r="I70" s="1286"/>
      <c r="J70" s="2019"/>
      <c r="K70" s="3012"/>
      <c r="L70" s="3013"/>
      <c r="M70" s="3013"/>
      <c r="N70" s="3014" t="s">
        <v>2885</v>
      </c>
      <c r="O70" s="3013"/>
      <c r="P70" s="3015"/>
      <c r="Q70" s="2012"/>
      <c r="R70" s="2012"/>
      <c r="S70" s="2012"/>
      <c r="T70" s="2012"/>
      <c r="U70" s="2012"/>
      <c r="V70" s="2012"/>
    </row>
    <row r="71" spans="1:22" ht="12" customHeight="1">
      <c r="A71" s="359" t="s">
        <v>403</v>
      </c>
      <c r="B71" s="3366" t="s">
        <v>404</v>
      </c>
      <c r="C71" s="3378"/>
      <c r="D71" s="358">
        <f ca="1">ROUND(D63*'数据-取费表'!B41/(1+'数据-取费表'!C42),0)</f>
        <v>4081</v>
      </c>
      <c r="E71" s="17" t="s">
        <v>397</v>
      </c>
      <c r="F71" s="360">
        <f>'数据-取费表'!B41</f>
        <v>5.6000000000000001E-2</v>
      </c>
      <c r="G71" s="361"/>
      <c r="H71" s="311"/>
      <c r="I71" s="1286"/>
      <c r="J71" s="2019"/>
      <c r="K71" s="3011" t="s">
        <v>398</v>
      </c>
      <c r="L71" s="3331" t="s">
        <v>399</v>
      </c>
      <c r="M71" s="3331"/>
      <c r="N71" s="3011" t="s">
        <v>400</v>
      </c>
      <c r="O71" s="3011" t="s">
        <v>401</v>
      </c>
      <c r="P71" s="3011" t="s">
        <v>402</v>
      </c>
      <c r="Q71" s="2012"/>
      <c r="R71" s="2012"/>
      <c r="S71" s="2012"/>
      <c r="T71" s="2012"/>
      <c r="U71" s="2012"/>
      <c r="V71" s="2012"/>
    </row>
    <row r="72" spans="1:22" ht="12" customHeight="1">
      <c r="A72" s="359" t="s">
        <v>406</v>
      </c>
      <c r="B72" s="3366" t="s">
        <v>407</v>
      </c>
      <c r="C72" s="3378"/>
      <c r="D72" s="358">
        <f ca="1">C86</f>
        <v>3969</v>
      </c>
      <c r="E72" s="73" t="s">
        <v>408</v>
      </c>
      <c r="F72" s="360">
        <f>'数据-取费表'!B41</f>
        <v>5.6000000000000001E-2</v>
      </c>
      <c r="G72" s="361"/>
      <c r="H72" s="1292"/>
      <c r="I72" s="1286"/>
      <c r="J72" s="2019"/>
      <c r="K72" s="1960">
        <v>1</v>
      </c>
      <c r="L72" s="3328" t="s">
        <v>405</v>
      </c>
      <c r="M72" s="3328"/>
      <c r="N72" s="1290">
        <f ca="1">D66</f>
        <v>4081</v>
      </c>
      <c r="O72" s="1843" t="str">
        <f>E66</f>
        <v>销售额×税（费）率</v>
      </c>
      <c r="P72" s="1291">
        <f>F66</f>
        <v>5.6000000000000001E-2</v>
      </c>
      <c r="Q72" s="2012"/>
      <c r="R72" s="2012"/>
      <c r="S72" s="2012"/>
      <c r="T72" s="2012"/>
      <c r="U72" s="2012"/>
      <c r="V72" s="2012"/>
    </row>
    <row r="73" spans="1:22" ht="24" customHeight="1">
      <c r="A73" s="3354" t="s">
        <v>410</v>
      </c>
      <c r="B73" s="3355"/>
      <c r="C73" s="3355"/>
      <c r="D73" s="362">
        <f ca="1">IF(H73="个人住宅",0,ROUND(D63*I73,0))</f>
        <v>38</v>
      </c>
      <c r="E73" s="17" t="s">
        <v>411</v>
      </c>
      <c r="F73" s="360">
        <f>IF(H73="正常",I73,"免征")</f>
        <v>5.0000000000000001E-4</v>
      </c>
      <c r="G73" s="361"/>
      <c r="H73" s="191" t="s">
        <v>2993</v>
      </c>
      <c r="I73" s="360">
        <f>'数据-取费表'!B49</f>
        <v>5.0000000000000001E-4</v>
      </c>
      <c r="J73" s="2019"/>
      <c r="K73" s="1960">
        <v>2</v>
      </c>
      <c r="L73" s="3328" t="s">
        <v>409</v>
      </c>
      <c r="M73" s="3328"/>
      <c r="N73" s="1290">
        <f t="shared" ref="N73:P74" ca="1" si="1">D73</f>
        <v>38</v>
      </c>
      <c r="O73" s="1843" t="str">
        <f t="shared" si="1"/>
        <v>销售额×税（费）率</v>
      </c>
      <c r="P73" s="1291">
        <f t="shared" si="1"/>
        <v>5.0000000000000001E-4</v>
      </c>
      <c r="Q73" s="2012"/>
      <c r="R73" s="2012"/>
      <c r="S73" s="2012"/>
      <c r="T73" s="2012"/>
      <c r="U73" s="2012"/>
      <c r="V73" s="2012"/>
    </row>
    <row r="74" spans="1:22" ht="24.75">
      <c r="A74" s="3354" t="s">
        <v>414</v>
      </c>
      <c r="B74" s="3355"/>
      <c r="C74" s="3355"/>
      <c r="D74" s="362">
        <f ca="1">IF(H74="个人住宅",D75,D76)</f>
        <v>7995</v>
      </c>
      <c r="E74" s="17" t="s">
        <v>415</v>
      </c>
      <c r="F74" s="360" t="str">
        <f>IF(H74="正常",F76,"免征")</f>
        <v>——</v>
      </c>
      <c r="G74" s="983" t="s">
        <v>416</v>
      </c>
      <c r="H74" s="363" t="s">
        <v>412</v>
      </c>
      <c r="I74" s="42"/>
      <c r="J74" s="2019"/>
      <c r="K74" s="1960">
        <v>3</v>
      </c>
      <c r="L74" s="3328" t="s">
        <v>413</v>
      </c>
      <c r="M74" s="3328"/>
      <c r="N74" s="1290">
        <f t="shared" ca="1" si="1"/>
        <v>7995</v>
      </c>
      <c r="O74" s="1843" t="str">
        <f t="shared" si="1"/>
        <v>增值额×税（费）率</v>
      </c>
      <c r="P74" s="1293" t="str">
        <f t="shared" si="1"/>
        <v>——</v>
      </c>
      <c r="Q74" s="2012"/>
      <c r="R74" s="2012"/>
      <c r="S74" s="2012"/>
      <c r="T74" s="2012"/>
      <c r="U74" s="2012"/>
      <c r="V74" s="2012"/>
    </row>
    <row r="75" spans="1:22" ht="12.75">
      <c r="A75" s="359" t="s">
        <v>417</v>
      </c>
      <c r="B75" s="3335" t="s">
        <v>418</v>
      </c>
      <c r="C75" s="3336"/>
      <c r="D75" s="364">
        <v>0</v>
      </c>
      <c r="E75" s="41" t="s">
        <v>419</v>
      </c>
      <c r="F75" s="365"/>
      <c r="G75" s="361"/>
      <c r="H75" s="42"/>
      <c r="I75" s="42"/>
      <c r="J75" s="2019"/>
      <c r="K75" s="3004" t="str">
        <f>IF(H77="非个人房产","",4)</f>
        <v/>
      </c>
      <c r="L75" s="3328" t="str">
        <f>IF(H77="非个人房产","——","个人所得税")</f>
        <v>——</v>
      </c>
      <c r="M75" s="3328"/>
      <c r="N75" s="1294" t="str">
        <f>D77</f>
        <v>——</v>
      </c>
      <c r="O75" s="1856" t="str">
        <f>E77</f>
        <v>——</v>
      </c>
      <c r="P75" s="1295" t="str">
        <f>F77</f>
        <v>——</v>
      </c>
      <c r="Q75" s="2012"/>
      <c r="R75" s="2012"/>
      <c r="S75" s="2012"/>
      <c r="T75" s="2012"/>
      <c r="U75" s="2012"/>
      <c r="V75" s="2012"/>
    </row>
    <row r="76" spans="1:22" ht="24.75">
      <c r="A76" s="359" t="s">
        <v>395</v>
      </c>
      <c r="B76" s="3335" t="s">
        <v>421</v>
      </c>
      <c r="C76" s="3377"/>
      <c r="D76" s="362">
        <f ca="1">IF(H76="转让取得",C99,C115)</f>
        <v>7995</v>
      </c>
      <c r="E76" s="17" t="s">
        <v>422</v>
      </c>
      <c r="F76" s="53" t="s">
        <v>21</v>
      </c>
      <c r="G76" s="361"/>
      <c r="H76" s="363" t="s">
        <v>423</v>
      </c>
      <c r="I76" s="42"/>
      <c r="J76" s="2019"/>
      <c r="K76" s="3004" t="str">
        <f>IF(项目基本情况!K6="上海银行",IF(K75="",4,K75+1),"")</f>
        <v/>
      </c>
      <c r="L76" s="3316" t="str">
        <f>IF(项目基本情况!K6="上海银行","其他处置费用","")</f>
        <v/>
      </c>
      <c r="M76" s="3317"/>
      <c r="N76" s="1290" t="str">
        <f>IF(项目基本情况!K6="上海银行",N89,"")</f>
        <v/>
      </c>
      <c r="O76" s="3318" t="str">
        <f>IF(项目基本情况!K6="上海银行","包含处置中涉及的律师、诉讼、拍卖、评估等费用","")</f>
        <v/>
      </c>
      <c r="P76" s="3319"/>
      <c r="Q76" s="2012"/>
      <c r="R76" s="2012"/>
      <c r="S76" s="2012"/>
      <c r="T76" s="2012"/>
      <c r="U76" s="2012"/>
      <c r="V76" s="2012"/>
    </row>
    <row r="77" spans="1:22" ht="24.75" thickBot="1">
      <c r="A77" s="3346" t="s">
        <v>425</v>
      </c>
      <c r="B77" s="3347"/>
      <c r="C77" s="3347"/>
      <c r="D77" s="366" t="str">
        <f>IF(H77="非个人房产","——",IF(H77="个人住宅",0,ROUND(D63*I77,0)))</f>
        <v>——</v>
      </c>
      <c r="E77" s="367" t="str">
        <f>IF(H77="非个人房产","——","销售额×税（费）率")</f>
        <v>——</v>
      </c>
      <c r="F77" s="368" t="str">
        <f>IF(H77="非个人房产","——",IF(H77="个人住宅","免征",I77))</f>
        <v>——</v>
      </c>
      <c r="G77" s="984" t="s">
        <v>416</v>
      </c>
      <c r="H77" s="363" t="s">
        <v>3218</v>
      </c>
      <c r="I77" s="369">
        <v>0.01</v>
      </c>
      <c r="J77" s="2019"/>
      <c r="K77" s="3342">
        <f>IF(AND(K75="",K76=""),4,IF(项目基本情况!K6="上海银行",K76+1,K75+1))</f>
        <v>4</v>
      </c>
      <c r="L77" s="3328" t="s">
        <v>2882</v>
      </c>
      <c r="M77" s="3010" t="s">
        <v>420</v>
      </c>
      <c r="N77" s="1296"/>
      <c r="O77" s="1297">
        <f ca="1">SUMIF(N72:N76,"&lt;9e307")</f>
        <v>12114</v>
      </c>
      <c r="P77" s="1298"/>
      <c r="Q77" s="3008" t="e">
        <f ca="1">O77/N69</f>
        <v>#VALUE!</v>
      </c>
      <c r="R77" s="2012"/>
      <c r="S77" s="2012"/>
      <c r="T77" s="2012"/>
      <c r="U77" s="2012"/>
      <c r="V77" s="2012"/>
    </row>
    <row r="78" spans="1:22" ht="12" customHeight="1">
      <c r="A78" s="1299"/>
      <c r="B78" s="311"/>
      <c r="C78" s="311"/>
      <c r="D78" s="311"/>
      <c r="E78" s="42"/>
      <c r="F78" s="42"/>
      <c r="G78" s="42"/>
      <c r="H78" s="1003"/>
      <c r="I78" s="311"/>
      <c r="J78" s="2019"/>
      <c r="K78" s="3342"/>
      <c r="L78" s="3328"/>
      <c r="M78" s="3010" t="s">
        <v>424</v>
      </c>
      <c r="N78" s="1296"/>
      <c r="O78" s="1297" t="str">
        <f ca="1">NUMBERSTRING(INT(O77*10000),2)&amp;"元整"</f>
        <v>壹亿贰仟壹佰壹拾肆万元整</v>
      </c>
      <c r="P78" s="1298"/>
      <c r="Q78" s="2012"/>
      <c r="R78" s="2012"/>
      <c r="S78" s="2012"/>
      <c r="T78" s="2012"/>
      <c r="U78" s="2012"/>
      <c r="V78" s="2012"/>
    </row>
    <row r="79" spans="1:22" ht="13.5" thickBot="1">
      <c r="A79" s="3332" t="s">
        <v>426</v>
      </c>
      <c r="B79" s="3332"/>
      <c r="C79" s="3332"/>
      <c r="D79" s="3332"/>
      <c r="E79" s="3332"/>
      <c r="F79" s="42"/>
      <c r="G79" s="42"/>
      <c r="H79" s="1003"/>
      <c r="I79" s="311"/>
      <c r="J79" s="2019"/>
      <c r="K79" s="3326">
        <f>K77+1</f>
        <v>5</v>
      </c>
      <c r="L79" s="3328" t="s">
        <v>2883</v>
      </c>
      <c r="M79" s="3010" t="s">
        <v>420</v>
      </c>
      <c r="N79" s="1296"/>
      <c r="O79" s="1297" t="e">
        <f ca="1">N69-O77</f>
        <v>#VALUE!</v>
      </c>
      <c r="P79" s="1298"/>
      <c r="Q79" s="2012"/>
      <c r="R79" s="2012"/>
      <c r="S79" s="2012"/>
      <c r="T79" s="2012"/>
      <c r="U79" s="2012"/>
      <c r="V79" s="2012"/>
    </row>
    <row r="80" spans="1:22" ht="12.75">
      <c r="A80" s="3333" t="s">
        <v>427</v>
      </c>
      <c r="B80" s="3334"/>
      <c r="C80" s="994"/>
      <c r="D80" s="994" t="s">
        <v>428</v>
      </c>
      <c r="E80" s="370" t="s">
        <v>429</v>
      </c>
      <c r="F80" s="42"/>
      <c r="G80" s="42"/>
      <c r="H80" s="1003"/>
      <c r="I80" s="311"/>
      <c r="J80" s="2012"/>
      <c r="K80" s="3327"/>
      <c r="L80" s="3328"/>
      <c r="M80" s="3010" t="s">
        <v>424</v>
      </c>
      <c r="N80" s="1296"/>
      <c r="O80" s="1297" t="e">
        <f ca="1">NUMBERSTRING(INT(O79*10000),2)&amp;"元整"</f>
        <v>#VALUE!</v>
      </c>
      <c r="P80" s="1298"/>
      <c r="Q80" s="2012"/>
      <c r="R80" s="2012"/>
      <c r="S80" s="2012"/>
      <c r="T80" s="2012"/>
      <c r="U80" s="2012"/>
      <c r="V80" s="2012"/>
    </row>
    <row r="81" spans="1:26" ht="13.5" thickBot="1">
      <c r="A81" s="381" t="s">
        <v>1822</v>
      </c>
      <c r="B81" s="371" t="s">
        <v>430</v>
      </c>
      <c r="C81" s="372">
        <f ca="1">ROUND((C82+C83)/(1+'数据-取费表'!C42),0)</f>
        <v>72877</v>
      </c>
      <c r="D81" s="373"/>
      <c r="E81" s="374"/>
      <c r="F81" s="42"/>
      <c r="G81" s="42"/>
      <c r="H81" s="1003"/>
      <c r="I81" s="311"/>
      <c r="J81" s="2012"/>
      <c r="K81" s="3004">
        <f>K79+1</f>
        <v>6</v>
      </c>
      <c r="L81" s="3340" t="s">
        <v>2884</v>
      </c>
      <c r="M81" s="3341"/>
      <c r="N81" s="1300"/>
      <c r="O81" s="1301" t="e">
        <f ca="1">ROUND(O79*10000/'数据-汇总表'!E3,0)</f>
        <v>#VALUE!</v>
      </c>
      <c r="P81" s="1302"/>
      <c r="Q81" s="2012"/>
      <c r="R81" s="2012"/>
      <c r="S81" s="2012"/>
      <c r="T81" s="2012"/>
      <c r="U81" s="2012"/>
      <c r="V81" s="2012"/>
    </row>
    <row r="82" spans="1:26" ht="13.5" thickTop="1">
      <c r="A82" s="375" t="s">
        <v>1823</v>
      </c>
      <c r="B82" s="376" t="s">
        <v>431</v>
      </c>
      <c r="C82" s="377">
        <f ca="1">D63</f>
        <v>76521</v>
      </c>
      <c r="D82" s="378" t="s">
        <v>19</v>
      </c>
      <c r="E82" s="379"/>
      <c r="F82" s="42"/>
      <c r="G82" s="42"/>
      <c r="H82" s="1003"/>
      <c r="I82" s="311"/>
      <c r="J82" s="2012"/>
      <c r="K82" s="2012"/>
      <c r="L82" s="2012"/>
      <c r="M82" s="2012"/>
      <c r="N82" s="2012"/>
      <c r="O82" s="2012"/>
      <c r="P82" s="2012"/>
      <c r="Q82" s="2012"/>
      <c r="R82" s="2012"/>
      <c r="S82" s="2012"/>
      <c r="T82" s="2012"/>
      <c r="U82" s="2012"/>
      <c r="V82" s="2012"/>
    </row>
    <row r="83" spans="1:26" ht="12.75">
      <c r="A83" s="375" t="s">
        <v>1824</v>
      </c>
      <c r="B83" s="376" t="s">
        <v>432</v>
      </c>
      <c r="C83" s="380">
        <v>0</v>
      </c>
      <c r="D83" s="378"/>
      <c r="E83" s="379"/>
      <c r="F83" s="42"/>
      <c r="G83" s="42"/>
      <c r="H83" s="1003"/>
      <c r="I83" s="311"/>
      <c r="J83" s="2012"/>
      <c r="K83" s="3315" t="s">
        <v>2872</v>
      </c>
      <c r="L83" s="3016" t="s">
        <v>2873</v>
      </c>
      <c r="M83" s="3006" t="e">
        <f>IF(N69&gt;10000,N69*0.5%,IF(AND(N69&gt;1000,N69&lt;=10000),N69*1%,IF(AND(N69&gt;100,N69&lt;=1000),N69*3%,IF(AND(N69&gt;10,N69&lt;=100),N69*5%,N69*8%))))</f>
        <v>#VALUE!</v>
      </c>
      <c r="N83" s="53" t="e">
        <f>ROUND(M83,1)</f>
        <v>#VALUE!</v>
      </c>
      <c r="O83" s="3009"/>
      <c r="P83" s="2012"/>
      <c r="Q83" s="2012"/>
      <c r="R83" s="2012"/>
      <c r="S83" s="2012"/>
      <c r="T83" s="2012"/>
      <c r="U83" s="2012"/>
      <c r="V83" s="2012"/>
    </row>
    <row r="84" spans="1:26" ht="12.75">
      <c r="A84" s="381" t="s">
        <v>1825</v>
      </c>
      <c r="B84" s="382" t="s">
        <v>433</v>
      </c>
      <c r="C84" s="383">
        <v>2000</v>
      </c>
      <c r="D84" s="384" t="s">
        <v>19</v>
      </c>
      <c r="E84" s="3050" t="s">
        <v>2930</v>
      </c>
      <c r="F84" s="42"/>
      <c r="G84" s="42"/>
      <c r="H84" s="1003"/>
      <c r="I84" s="311"/>
      <c r="J84" s="2012"/>
      <c r="K84" s="3315"/>
      <c r="L84" s="3016" t="s">
        <v>2874</v>
      </c>
      <c r="M84" s="300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2" t="s">
        <v>2875</v>
      </c>
      <c r="P84" s="2012"/>
      <c r="Q84" s="2012"/>
      <c r="R84" s="2012"/>
      <c r="S84" s="2012"/>
      <c r="T84" s="2012"/>
      <c r="U84" s="2012"/>
      <c r="V84" s="2012"/>
    </row>
    <row r="85" spans="1:26" ht="12.75">
      <c r="A85" s="381" t="s">
        <v>1826</v>
      </c>
      <c r="B85" s="382" t="s">
        <v>434</v>
      </c>
      <c r="C85" s="385">
        <f ca="1">C81-C84</f>
        <v>70877</v>
      </c>
      <c r="D85" s="378" t="s">
        <v>19</v>
      </c>
      <c r="E85" s="379"/>
      <c r="F85" s="42"/>
      <c r="G85" s="42"/>
      <c r="H85" s="1003"/>
      <c r="I85" s="311"/>
      <c r="J85" s="2012"/>
      <c r="K85" s="3315"/>
      <c r="L85" s="3016" t="s">
        <v>2876</v>
      </c>
      <c r="M85" s="3006" t="e">
        <f>IF(N69&gt;1000,N69*0.1%,IF(AND(N69&gt;500,N69&lt;=1000),N69*0.5%,IF(AND(N69&gt;50,N69&lt;=500),N69*1%,IF(AND(N69&gt;1,N69&lt;=50),N69*1.5%))))</f>
        <v>#VALUE!</v>
      </c>
      <c r="N85" s="53" t="e">
        <f t="shared" si="2"/>
        <v>#VALUE!</v>
      </c>
      <c r="O85" s="2012" t="s">
        <v>2875</v>
      </c>
      <c r="P85" s="2012"/>
      <c r="Q85" s="2012"/>
      <c r="R85" s="2012"/>
      <c r="S85" s="2012"/>
      <c r="T85" s="2012"/>
      <c r="U85" s="2012"/>
      <c r="V85" s="2012"/>
    </row>
    <row r="86" spans="1:26" ht="13.5" thickBot="1">
      <c r="A86" s="386" t="s">
        <v>1827</v>
      </c>
      <c r="B86" s="387" t="s">
        <v>435</v>
      </c>
      <c r="C86" s="388">
        <f ca="1">IF(C85&lt;=0,0,ROUND(C85*D86,0))</f>
        <v>3969</v>
      </c>
      <c r="D86" s="389">
        <f>'数据-取费表'!B41</f>
        <v>5.6000000000000001E-2</v>
      </c>
      <c r="E86" s="390"/>
      <c r="F86" s="42"/>
      <c r="G86" s="42"/>
      <c r="H86" s="1003"/>
      <c r="I86" s="311"/>
      <c r="J86" s="2012"/>
      <c r="K86" s="3315"/>
      <c r="L86" s="3016" t="s">
        <v>2877</v>
      </c>
      <c r="M86" s="3006" t="e">
        <f>N69*0.5%</f>
        <v>#VALUE!</v>
      </c>
      <c r="N86" s="53" t="e">
        <f>IF(M86&gt;0.5,0.5,ROUND(M86,0))</f>
        <v>#VALUE!</v>
      </c>
      <c r="O86" s="2012" t="s">
        <v>2878</v>
      </c>
      <c r="P86" s="2012"/>
      <c r="Q86" s="2012"/>
      <c r="R86" s="2012"/>
      <c r="S86" s="2012"/>
      <c r="T86" s="2012"/>
      <c r="U86" s="2012"/>
      <c r="V86" s="2012"/>
    </row>
    <row r="87" spans="1:26" s="1248" customFormat="1" ht="14.25" customHeight="1">
      <c r="A87" s="1303"/>
      <c r="B87" s="1304"/>
      <c r="C87" s="1305"/>
      <c r="D87" s="1306"/>
      <c r="E87" s="1307"/>
      <c r="F87" s="42"/>
      <c r="G87" s="42"/>
      <c r="H87" s="1003"/>
      <c r="I87" s="311"/>
      <c r="J87" s="2012"/>
      <c r="K87" s="3315"/>
      <c r="L87" s="3016" t="s">
        <v>2879</v>
      </c>
      <c r="M87" s="300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9"/>
      <c r="P87" s="311"/>
      <c r="Q87" s="2012"/>
      <c r="R87" s="2012"/>
      <c r="S87" s="2012"/>
      <c r="T87" s="2012"/>
      <c r="U87" s="2012"/>
      <c r="V87" s="2012"/>
      <c r="W87" s="292"/>
      <c r="X87" s="292"/>
      <c r="Y87" s="292"/>
      <c r="Z87" s="292"/>
    </row>
    <row r="88" spans="1:26" s="1308" customFormat="1" ht="15" thickBot="1">
      <c r="A88" s="3369" t="s">
        <v>436</v>
      </c>
      <c r="B88" s="3370"/>
      <c r="C88" s="3370"/>
      <c r="D88" s="3370"/>
      <c r="E88" s="3370"/>
      <c r="F88" s="3370"/>
      <c r="G88" s="3370"/>
      <c r="H88" s="3370"/>
      <c r="I88" s="1309"/>
      <c r="J88" s="2020"/>
      <c r="K88" s="3315"/>
      <c r="L88" s="3016" t="s">
        <v>2880</v>
      </c>
      <c r="M88" s="3006" t="e">
        <f>IF(N69&gt;10000,N69*0.5%,IF(AND(N69&gt;5000,N69&lt;=10000),N69*1%,IF(AND(N69&gt;1000,N69&lt;=5000),N69*2%,IF(AND(N69&gt;200,N69&lt;=1000),N69*3%,N69*5%))))</f>
        <v>#VALUE!</v>
      </c>
      <c r="N88" s="53" t="e">
        <f>ROUND(M88,1)</f>
        <v>#VALUE!</v>
      </c>
      <c r="O88" s="3009"/>
      <c r="P88" s="11"/>
      <c r="Q88" s="2017"/>
      <c r="R88" s="2017"/>
      <c r="S88" s="2017"/>
      <c r="T88" s="2017"/>
      <c r="U88" s="2017"/>
      <c r="V88" s="2017"/>
      <c r="W88" s="2021"/>
      <c r="X88" s="2021"/>
      <c r="Y88" s="2021"/>
      <c r="Z88" s="2021"/>
    </row>
    <row r="89" spans="1:26" s="1308" customFormat="1" ht="14.25">
      <c r="A89" s="3333" t="s">
        <v>427</v>
      </c>
      <c r="B89" s="3334"/>
      <c r="C89" s="994"/>
      <c r="D89" s="994" t="s">
        <v>428</v>
      </c>
      <c r="E89" s="391" t="s">
        <v>437</v>
      </c>
      <c r="F89" s="392"/>
      <c r="G89" s="392"/>
      <c r="H89" s="393"/>
      <c r="I89" s="1310"/>
      <c r="J89" s="2022"/>
      <c r="K89" s="3315"/>
      <c r="L89" s="3016" t="s">
        <v>27</v>
      </c>
      <c r="M89" s="3007"/>
      <c r="N89" s="53" t="e">
        <f>ROUND(SUM(N83:N88),0)</f>
        <v>#VALUE!</v>
      </c>
      <c r="O89" s="3017" t="e">
        <f>N89/N69</f>
        <v>#VALUE!</v>
      </c>
      <c r="P89" s="2017"/>
      <c r="Q89" s="2017"/>
      <c r="R89" s="2017"/>
      <c r="S89" s="2017"/>
      <c r="T89" s="2017"/>
      <c r="U89" s="2017"/>
      <c r="V89" s="2017"/>
      <c r="W89" s="2021"/>
      <c r="X89" s="2021"/>
      <c r="Y89" s="2021"/>
      <c r="Z89" s="2021"/>
    </row>
    <row r="90" spans="1:26" s="1308" customFormat="1" ht="14.25">
      <c r="A90" s="381" t="s">
        <v>1822</v>
      </c>
      <c r="B90" s="382" t="s">
        <v>438</v>
      </c>
      <c r="C90" s="385">
        <f ca="1">ROUND(D63/(1+'数据-取费表'!C42),0)</f>
        <v>72877</v>
      </c>
      <c r="D90" s="378" t="s">
        <v>19</v>
      </c>
      <c r="E90" s="991"/>
      <c r="F90" s="990"/>
      <c r="G90" s="990"/>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4.25">
      <c r="A91" s="381" t="s">
        <v>1828</v>
      </c>
      <c r="B91" s="348" t="s">
        <v>439</v>
      </c>
      <c r="C91" s="385">
        <f ca="1">C92+C96</f>
        <v>2998</v>
      </c>
      <c r="D91" s="378" t="s">
        <v>19</v>
      </c>
      <c r="E91" s="991"/>
      <c r="F91" s="990"/>
      <c r="G91" s="990"/>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1829</v>
      </c>
      <c r="B92" s="376" t="s">
        <v>440</v>
      </c>
      <c r="C92" s="378">
        <f>ROUND(IF(G95="2016年5月1日后购买",C93/(1+'数据-取费表'!C30)+C94+C95,C93+C94+C95),0)</f>
        <v>2561</v>
      </c>
      <c r="D92" s="378" t="s">
        <v>19</v>
      </c>
      <c r="E92" s="991"/>
      <c r="F92" s="990"/>
      <c r="G92" s="990"/>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25">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1831</v>
      </c>
      <c r="B94" s="400" t="s">
        <v>445</v>
      </c>
      <c r="C94" s="378">
        <f>IF(F93="购房发票",ROUND(C93*H93*5%,0),0)</f>
        <v>500</v>
      </c>
      <c r="D94" s="401">
        <v>0.05</v>
      </c>
      <c r="E94" s="3366" t="s">
        <v>446</v>
      </c>
      <c r="F94" s="3367"/>
      <c r="G94" s="3367"/>
      <c r="H94" s="3368"/>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1833</v>
      </c>
      <c r="B96" s="376" t="s">
        <v>449</v>
      </c>
      <c r="C96" s="405">
        <f ca="1">ROUND(D63*D96/(1+'数据-取费表'!C42),0)</f>
        <v>437</v>
      </c>
      <c r="D96" s="406">
        <f>'数据-取费表'!B43</f>
        <v>6.000000000000001E-3</v>
      </c>
      <c r="E96" s="3356" t="s">
        <v>2427</v>
      </c>
      <c r="F96" s="3357"/>
      <c r="G96" s="3357"/>
      <c r="H96" s="3358"/>
      <c r="I96" s="1311"/>
      <c r="J96" s="2023"/>
      <c r="K96" s="2017"/>
      <c r="L96" s="2017"/>
      <c r="M96" s="2017"/>
      <c r="N96" s="2017"/>
      <c r="O96" s="2017"/>
      <c r="P96" s="2017"/>
      <c r="Q96" s="2017"/>
      <c r="R96" s="2017"/>
      <c r="S96" s="2017"/>
      <c r="T96" s="2017"/>
      <c r="U96" s="2017"/>
      <c r="V96" s="2017"/>
      <c r="W96" s="2021"/>
      <c r="X96" s="2021"/>
      <c r="Y96" s="2021"/>
      <c r="Z96" s="2021"/>
    </row>
    <row r="97" spans="1:26" s="1308" customFormat="1" ht="14.25">
      <c r="A97" s="1601" t="s">
        <v>1834</v>
      </c>
      <c r="B97" s="382" t="s">
        <v>450</v>
      </c>
      <c r="C97" s="385">
        <f ca="1">C90-C91</f>
        <v>69879</v>
      </c>
      <c r="D97" s="378" t="s">
        <v>19</v>
      </c>
      <c r="E97" s="991"/>
      <c r="F97" s="990"/>
      <c r="G97" s="990"/>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1835</v>
      </c>
      <c r="B98" s="382" t="s">
        <v>451</v>
      </c>
      <c r="C98" s="407">
        <f ca="1">IF(C97&lt;=0,0,C97/C91)</f>
        <v>23.308539026017346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75" thickBot="1">
      <c r="A99" s="1602" t="s">
        <v>1836</v>
      </c>
      <c r="B99" s="387" t="s">
        <v>452</v>
      </c>
      <c r="C99" s="408">
        <f ca="1">ROUND(IF(C97&lt;=0,0,IF(C98&gt;=200%,C97*60%-C91*35%,IF(C98&gt;=100%,C97*50%-C91*15%,IF(C98&gt;=50%,C97*40%-C91*5%,IF(C98&lt;50%,C97*30%,0))))),0)</f>
        <v>40878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5" thickBot="1">
      <c r="A101" s="3369" t="s">
        <v>453</v>
      </c>
      <c r="B101" s="3370"/>
      <c r="C101" s="3370"/>
      <c r="D101" s="3370"/>
      <c r="E101" s="3370"/>
      <c r="F101" s="3370"/>
      <c r="G101" s="3370"/>
      <c r="H101" s="3370"/>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4.25">
      <c r="A102" s="3333" t="s">
        <v>427</v>
      </c>
      <c r="B102" s="3334"/>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4.25">
      <c r="A103" s="381" t="s">
        <v>1822</v>
      </c>
      <c r="B103" s="382" t="s">
        <v>438</v>
      </c>
      <c r="C103" s="385">
        <f ca="1">ROUND(D63/(1+'数据-取费表'!C42),0)</f>
        <v>72877</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4.25">
      <c r="A104" s="381" t="s">
        <v>1828</v>
      </c>
      <c r="B104" s="348" t="s">
        <v>439</v>
      </c>
      <c r="C104" s="385">
        <f ca="1">IF(H106="仅含出让金",C105+C108+C109+C110+C111+C112,C105+C109+C110+C111+C112)</f>
        <v>47014</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4.25">
      <c r="A105" s="395" t="s">
        <v>1829</v>
      </c>
      <c r="B105" s="376" t="s">
        <v>454</v>
      </c>
      <c r="C105" s="405">
        <f>C106+C107</f>
        <v>42343</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14.25">
      <c r="A106" s="395" t="s">
        <v>1830</v>
      </c>
      <c r="B106" s="376" t="s">
        <v>455</v>
      </c>
      <c r="C106" s="3226">
        <v>41090</v>
      </c>
      <c r="D106" s="406"/>
      <c r="E106" s="417" t="s">
        <v>456</v>
      </c>
      <c r="F106" s="986"/>
      <c r="G106" s="418" t="s">
        <v>457</v>
      </c>
      <c r="H106" s="419" t="s">
        <v>2438</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4.25">
      <c r="A107" s="395" t="s">
        <v>1831</v>
      </c>
      <c r="B107" s="376" t="s">
        <v>447</v>
      </c>
      <c r="C107" s="405">
        <f>ROUND(C106*D107,0)</f>
        <v>1253</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4.25">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1837</v>
      </c>
      <c r="B109" s="376" t="s">
        <v>460</v>
      </c>
      <c r="C109" s="405">
        <f>IF(H109="——",IF(F1="现房",'剩余法-现房'!C18,'剩余法-待开发'!C18),I109)</f>
        <v>0</v>
      </c>
      <c r="D109" s="406"/>
      <c r="E109" s="3359" t="s">
        <v>461</v>
      </c>
      <c r="F109" s="3357"/>
      <c r="G109" s="3357"/>
      <c r="H109" s="1925" t="s">
        <v>2278</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1838</v>
      </c>
      <c r="B110" s="376" t="s">
        <v>462</v>
      </c>
      <c r="C110" s="405">
        <f>ROUND((C105+C108+C109)*D110,0)</f>
        <v>4234</v>
      </c>
      <c r="D110" s="406">
        <v>0.1</v>
      </c>
      <c r="E110" s="3359" t="s">
        <v>463</v>
      </c>
      <c r="F110" s="3357"/>
      <c r="G110" s="3357"/>
      <c r="H110" s="3358"/>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1839</v>
      </c>
      <c r="B111" s="376" t="s">
        <v>449</v>
      </c>
      <c r="C111" s="405">
        <f ca="1">ROUND(D63*D111/(1+'数据-取费表'!C42),0)</f>
        <v>437</v>
      </c>
      <c r="D111" s="406">
        <f>'数据-取费表'!B43</f>
        <v>6.000000000000001E-3</v>
      </c>
      <c r="E111" s="3356" t="s">
        <v>2427</v>
      </c>
      <c r="F111" s="3357"/>
      <c r="G111" s="3357"/>
      <c r="H111" s="3358"/>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1840</v>
      </c>
      <c r="B112" s="376" t="s">
        <v>464</v>
      </c>
      <c r="C112" s="405">
        <f>ROUND(C108*D112,0)</f>
        <v>0</v>
      </c>
      <c r="D112" s="406">
        <v>0.2</v>
      </c>
      <c r="E112" s="3359" t="s">
        <v>2452</v>
      </c>
      <c r="F112" s="3357"/>
      <c r="G112" s="3357"/>
      <c r="H112" s="3358"/>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4.25">
      <c r="A113" s="1601" t="s">
        <v>1834</v>
      </c>
      <c r="B113" s="382" t="s">
        <v>450</v>
      </c>
      <c r="C113" s="385">
        <f ca="1">ROUND(C103-C104,0)</f>
        <v>25863</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1835</v>
      </c>
      <c r="B114" s="382" t="s">
        <v>451</v>
      </c>
      <c r="C114" s="407">
        <f ca="1">IF(C113&lt;=0,0,C113/C104)</f>
        <v>0.55011273237758962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75" thickBot="1">
      <c r="A115" s="1602" t="s">
        <v>1836</v>
      </c>
      <c r="B115" s="387" t="s">
        <v>452</v>
      </c>
      <c r="C115" s="408">
        <f ca="1">ROUND(IF(C113&lt;=0,0,IF(C114&gt;=200%,C113*60%-C104*35%,IF(C114&gt;=100%,C113*50%-C104*15%,IF(C114&gt;=50%,C113*40%-C104*5%,IF(C114&lt;50%,C113*30%,0))))),0)</f>
        <v>7995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5" sqref="D15"/>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465</v>
      </c>
      <c r="B1" s="2763"/>
      <c r="C1" s="2088"/>
      <c r="D1" s="2088"/>
      <c r="E1" s="2088"/>
      <c r="F1" s="2088"/>
      <c r="G1" s="2088"/>
      <c r="H1" s="2088"/>
      <c r="I1" s="2088"/>
      <c r="J1" s="2088"/>
      <c r="K1" s="422">
        <f>MATCH(B1,'数据-取费表'!A6:A16,0)+5</f>
        <v>8</v>
      </c>
    </row>
    <row r="2" spans="1:31" s="2025" customFormat="1" ht="18" customHeight="1">
      <c r="A2" s="2085" t="s">
        <v>466</v>
      </c>
      <c r="B2" s="2089">
        <f ca="1">C36</f>
        <v>77765</v>
      </c>
      <c r="C2" s="2088"/>
      <c r="D2" s="2088"/>
      <c r="E2" s="2088"/>
      <c r="F2" s="2088"/>
      <c r="G2" s="2088"/>
      <c r="H2" s="2088"/>
      <c r="I2" s="2088"/>
      <c r="J2" s="2088"/>
      <c r="K2" s="2088"/>
    </row>
    <row r="3" spans="1:31" s="2025" customFormat="1" ht="18" customHeight="1">
      <c r="A3" s="2090" t="s">
        <v>1683</v>
      </c>
      <c r="B3" s="2091">
        <f ca="1">ROUND(B2*10000/IF(B1="",'数据-汇总表'!E3,INDIRECT("'数据-取费表'!K"&amp;$K$1)),0)</f>
        <v>2417</v>
      </c>
      <c r="C3" s="2088"/>
      <c r="D3" s="2088"/>
      <c r="E3" s="2088"/>
      <c r="F3" s="2088"/>
      <c r="G3" s="2088"/>
      <c r="H3" s="2088"/>
      <c r="I3" s="2088"/>
      <c r="J3" s="2088"/>
      <c r="K3" s="2088"/>
    </row>
    <row r="4" spans="1:31" s="2025" customFormat="1" ht="18" customHeight="1">
      <c r="A4" s="426" t="s">
        <v>467</v>
      </c>
      <c r="B4" s="427">
        <f ca="1">ROUND(B2*10000/IF(B1="",'数据-汇总表'!D3,INDIRECT("'数据-取费表'!R"&amp;$K$1)),0)</f>
        <v>10801</v>
      </c>
      <c r="C4" s="428"/>
      <c r="D4" s="422"/>
      <c r="E4" s="422"/>
      <c r="F4" s="422"/>
      <c r="G4" s="422"/>
      <c r="H4" s="422"/>
      <c r="I4" s="422"/>
      <c r="J4" s="422"/>
      <c r="K4" s="422"/>
    </row>
    <row r="5" spans="1:31" s="2025" customFormat="1" ht="18" customHeight="1" thickBot="1">
      <c r="A5" s="429"/>
      <c r="B5" s="430">
        <f ca="1">ROUND(B2/(IF(B1="",'数据-汇总表'!D3,INDIRECT("'数据-取费表'!R"&amp;$K$1))/666.67),0)</f>
        <v>720</v>
      </c>
      <c r="C5" s="431" t="s">
        <v>468</v>
      </c>
      <c r="D5" s="422"/>
      <c r="E5" s="422"/>
      <c r="F5" s="422"/>
      <c r="G5" s="422"/>
      <c r="H5" s="422"/>
      <c r="I5" s="422"/>
      <c r="J5" s="422"/>
      <c r="K5" s="422"/>
    </row>
    <row r="6" spans="1:31" s="2095" customFormat="1" ht="16.5" customHeight="1">
      <c r="A6" s="2782" t="s">
        <v>1841</v>
      </c>
      <c r="B6" s="2783"/>
      <c r="C6" s="2784">
        <f ca="1">SUM(C10:K10)</f>
        <v>263668</v>
      </c>
      <c r="D6" s="2783"/>
      <c r="E6" s="2783"/>
      <c r="F6" s="2783"/>
      <c r="G6" s="2783"/>
      <c r="H6" s="2783"/>
      <c r="I6" s="2783"/>
      <c r="J6" s="2783"/>
      <c r="K6" s="2785"/>
    </row>
    <row r="7" spans="1:31" s="2097" customFormat="1" ht="15">
      <c r="A7" s="2786" t="s">
        <v>469</v>
      </c>
      <c r="B7" s="2787" t="s">
        <v>470</v>
      </c>
      <c r="C7" s="436" t="s">
        <v>922</v>
      </c>
      <c r="D7" s="436" t="s">
        <v>2986</v>
      </c>
      <c r="E7" s="436" t="s">
        <v>3123</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3188">
        <f>'不动产比较法-住宅'!B3</f>
        <v>8248</v>
      </c>
      <c r="D8" s="2788">
        <f ca="1">不动产收益法!B3</f>
        <v>7184</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305661.65000000002</v>
      </c>
      <c r="D9" s="441">
        <f>SUMIF('数据-汇总表'!$C19:$C33,'剩余法-待开发'!D7,'数据-汇总表'!$E19:$E33)</f>
        <v>16087.449999999953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80">
        <f>'不动产比较法-住宅'!B2</f>
        <v>252110</v>
      </c>
      <c r="D10" s="2980">
        <f ca="1">不动产收益法!B2</f>
        <v>11558</v>
      </c>
      <c r="E10" s="2980">
        <f>E8*E9/10000</f>
        <v>0</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80437</v>
      </c>
      <c r="D13" s="2798"/>
      <c r="E13" s="2799"/>
      <c r="F13" s="2800"/>
      <c r="G13" s="2766"/>
      <c r="H13" s="2767"/>
      <c r="I13" s="2767"/>
      <c r="J13" s="2767"/>
      <c r="K13" s="2768"/>
    </row>
    <row r="14" spans="1:31" s="2100" customFormat="1" ht="13.5" customHeight="1">
      <c r="A14" s="2796" t="s">
        <v>1848</v>
      </c>
      <c r="B14" s="2797" t="s">
        <v>479</v>
      </c>
      <c r="C14" s="53">
        <f ca="1">ROUND(C13*F14,0)</f>
        <v>3217</v>
      </c>
      <c r="D14" s="2798"/>
      <c r="E14" s="2799"/>
      <c r="F14" s="2801">
        <f>'数据-取费表'!B33</f>
        <v>0.04</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3821</v>
      </c>
      <c r="D15" s="2798"/>
      <c r="E15" s="2799"/>
      <c r="F15" s="2801">
        <f>'数据-取费表'!B34</f>
        <v>0.05</v>
      </c>
      <c r="G15" s="2766" t="s">
        <v>482</v>
      </c>
      <c r="H15" s="2767"/>
      <c r="I15" s="2767"/>
      <c r="J15" s="2767"/>
      <c r="K15" s="2768"/>
    </row>
    <row r="16" spans="1:31" s="2101" customFormat="1" ht="13.5" customHeight="1">
      <c r="A16" s="2796" t="s">
        <v>1850</v>
      </c>
      <c r="B16" s="2797" t="s">
        <v>483</v>
      </c>
      <c r="C16" s="53">
        <f ca="1">ROUND(D16*E16/10000,0)</f>
        <v>4826</v>
      </c>
      <c r="D16" s="2798">
        <f ca="1">IF(B1="",'数据-汇总表'!E3,INDIRECT("'数据-取费表'!K"&amp;$K$1)+INDIRECT("'数据-取费表'!S"&amp;$K$1))</f>
        <v>321749.09999999998</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1207</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93508</v>
      </c>
      <c r="D18" s="2807"/>
      <c r="E18" s="468"/>
      <c r="F18" s="468"/>
      <c r="G18" s="2770" t="s">
        <v>2429</v>
      </c>
      <c r="H18" s="2771"/>
      <c r="I18" s="2771"/>
      <c r="J18" s="2771"/>
      <c r="K18" s="2772"/>
    </row>
    <row r="19" spans="1:14" s="2100" customFormat="1" ht="13.5" customHeight="1">
      <c r="A19" s="2804" t="s">
        <v>1853</v>
      </c>
      <c r="B19" s="2805" t="s">
        <v>487</v>
      </c>
      <c r="C19" s="2762">
        <f ca="1">ROUND(D19*E19/10000,0)</f>
        <v>0</v>
      </c>
      <c r="D19" s="2808">
        <f ca="1">D16</f>
        <v>321749.09999999998</v>
      </c>
      <c r="E19" s="2762">
        <f>'数据-取费表'!B32</f>
        <v>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3378</v>
      </c>
      <c r="D20" s="2808"/>
      <c r="E20" s="2762"/>
      <c r="F20" s="2809"/>
      <c r="G20" s="3038"/>
      <c r="H20" s="2764"/>
      <c r="I20" s="2765" t="s">
        <v>2649</v>
      </c>
      <c r="J20" s="2771"/>
      <c r="K20" s="2772"/>
    </row>
    <row r="21" spans="1:14" s="2100" customFormat="1" ht="13.5" customHeight="1">
      <c r="A21" s="2796" t="s">
        <v>1855</v>
      </c>
      <c r="B21" s="2797" t="s">
        <v>490</v>
      </c>
      <c r="C21" s="53">
        <f ca="1">ROUND(D21*E21/10000,0)</f>
        <v>3209</v>
      </c>
      <c r="D21" s="2798">
        <f ca="1">IF(B1="",'数据-汇总表'!E5,IF(INDIRECT("'数据-取费表'!c"&amp;$K$1)="住宅",INDIRECT("'数据-取费表'!k"&amp;$K$1),0))</f>
        <v>305661.65000000002</v>
      </c>
      <c r="E21" s="53">
        <f>'数据-取费表'!B27</f>
        <v>105</v>
      </c>
      <c r="F21" s="2801"/>
      <c r="G21" s="26"/>
      <c r="H21" s="51"/>
      <c r="I21" s="51"/>
      <c r="J21" s="51"/>
      <c r="K21" s="2773"/>
    </row>
    <row r="22" spans="1:14" s="2100" customFormat="1" ht="13.5" customHeight="1">
      <c r="A22" s="2796" t="s">
        <v>1856</v>
      </c>
      <c r="B22" s="2797" t="s">
        <v>491</v>
      </c>
      <c r="C22" s="53">
        <f ca="1">ROUND(D22*E22/10000,0)</f>
        <v>169</v>
      </c>
      <c r="D22" s="2798">
        <f ca="1">IF(B1="",'数据-汇总表'!E6,IF(INDIRECT("'数据-取费表'!c"&amp;$K$1)="住宅",INDIRECT("'数据-取费表'!s"&amp;$K$1),INDIRECT("'数据-取费表'!k"&amp;$K$1)+INDIRECT("'数据-取费表'!s"&amp;$K$1)))</f>
        <v>16087.449999999953</v>
      </c>
      <c r="E22" s="53">
        <f>'数据-取费表'!B28</f>
        <v>105</v>
      </c>
      <c r="F22" s="2801"/>
      <c r="G22" s="26"/>
      <c r="H22" s="51"/>
      <c r="I22" s="51"/>
      <c r="J22" s="51"/>
      <c r="K22" s="2773"/>
    </row>
    <row r="23" spans="1:14" s="2100" customFormat="1" ht="13.5" customHeight="1">
      <c r="A23" s="2804" t="s">
        <v>1857</v>
      </c>
      <c r="B23" s="2986" t="s">
        <v>2832</v>
      </c>
      <c r="C23" s="2806">
        <f ca="1">ROUND((C18+C19+C20)*F23,0)</f>
        <v>1938</v>
      </c>
      <c r="D23" s="468"/>
      <c r="E23" s="468"/>
      <c r="F23" s="2810">
        <f>'数据-取费表'!B37</f>
        <v>0.02</v>
      </c>
      <c r="G23" s="2766" t="s">
        <v>2430</v>
      </c>
      <c r="H23" s="2767"/>
      <c r="I23" s="2767"/>
      <c r="J23" s="2767"/>
      <c r="K23" s="2768"/>
      <c r="L23" s="2102"/>
      <c r="M23" s="2102"/>
      <c r="N23" s="2102"/>
    </row>
    <row r="24" spans="1:14" s="2100" customFormat="1" ht="13.5" customHeight="1">
      <c r="A24" s="2804" t="s">
        <v>1858</v>
      </c>
      <c r="B24" s="2986" t="s">
        <v>2835</v>
      </c>
      <c r="C24" s="2806">
        <f ca="1">ROUND(C6*F24,0)</f>
        <v>5273</v>
      </c>
      <c r="D24" s="475"/>
      <c r="E24" s="473"/>
      <c r="F24" s="2810">
        <f>'数据-取费表'!B38</f>
        <v>0.02</v>
      </c>
      <c r="G24" s="2775" t="s">
        <v>498</v>
      </c>
      <c r="H24" s="2769"/>
      <c r="I24" s="2769"/>
      <c r="J24" s="2769"/>
      <c r="K24" s="279"/>
      <c r="L24" s="2102"/>
      <c r="M24" s="2102"/>
      <c r="N24" s="2102"/>
    </row>
    <row r="25" spans="1:14" s="2103" customFormat="1" ht="13.5" customHeight="1">
      <c r="A25" s="2804" t="s">
        <v>1859</v>
      </c>
      <c r="B25" s="2986" t="s">
        <v>2833</v>
      </c>
      <c r="C25" s="467">
        <f>ROUND(F25/(1+'数据-取费表'!C42),4)</f>
        <v>2.9000000000000001E-2</v>
      </c>
      <c r="D25" s="462" t="s">
        <v>2827</v>
      </c>
      <c r="E25" s="469"/>
      <c r="F25" s="2810">
        <f>IF(项目基本情况!B8="出让",0,'数据-取费表'!B48+'数据-取费表'!B49)</f>
        <v>3.0499999999999999E-2</v>
      </c>
      <c r="G25" s="2774" t="s">
        <v>2288</v>
      </c>
      <c r="H25" s="2767"/>
      <c r="I25" s="2767"/>
      <c r="J25" s="2767"/>
      <c r="K25" s="2768"/>
    </row>
    <row r="26" spans="1:14" s="2102" customFormat="1" ht="13.5" customHeight="1">
      <c r="A26" s="2804" t="s">
        <v>1860</v>
      </c>
      <c r="B26" s="2987" t="s">
        <v>2834</v>
      </c>
      <c r="C26" s="2811">
        <f ca="1">C28</f>
        <v>7504</v>
      </c>
      <c r="D26" s="467">
        <f ca="1">C27</f>
        <v>0.1537</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0.1537</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2836</v>
      </c>
      <c r="C28" s="2814">
        <f ca="1">ROUND(IF('数据-取费表'!B22&lt;=1,(C18+C19+C20+C23+C24)*F26*'数据-取费表'!B24/2,(C18+C19+C20+C23+C24)*(POWER((1+F26),'数据-取费表'!B24/2)-1)),0)</f>
        <v>7504</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14062</v>
      </c>
      <c r="D29" s="468"/>
      <c r="E29" s="468"/>
      <c r="F29" s="2988">
        <f>'数据-取费表'!B41</f>
        <v>5.6000000000000001E-2</v>
      </c>
      <c r="G29" s="2775" t="s">
        <v>497</v>
      </c>
      <c r="H29" s="2767"/>
      <c r="I29" s="2767"/>
      <c r="J29" s="2767"/>
      <c r="K29" s="2768"/>
    </row>
    <row r="30" spans="1:14" s="2105" customFormat="1" ht="13.5" customHeight="1">
      <c r="A30" s="1619" t="s">
        <v>1862</v>
      </c>
      <c r="B30" s="2816" t="s">
        <v>499</v>
      </c>
      <c r="C30" s="2811">
        <f ca="1">C31</f>
        <v>125663</v>
      </c>
      <c r="D30" s="477">
        <f ca="1">C32</f>
        <v>0.1827</v>
      </c>
      <c r="E30" s="469" t="s">
        <v>494</v>
      </c>
      <c r="F30" s="471"/>
      <c r="G30" s="2774" t="s">
        <v>2962</v>
      </c>
      <c r="H30" s="2767"/>
      <c r="I30" s="2767"/>
      <c r="J30" s="2767"/>
      <c r="K30" s="2768"/>
    </row>
    <row r="31" spans="1:14" s="2104" customFormat="1" ht="13.5" customHeight="1">
      <c r="A31" s="803" t="s">
        <v>1855</v>
      </c>
      <c r="B31" s="2812"/>
      <c r="C31" s="450">
        <f ca="1">C18+C19+C20+C23+C24+C26+C29</f>
        <v>125663</v>
      </c>
      <c r="D31" s="472"/>
      <c r="E31" s="473"/>
      <c r="F31" s="474"/>
      <c r="G31" s="261"/>
      <c r="H31" s="2769"/>
      <c r="I31" s="2769"/>
      <c r="J31" s="2769"/>
      <c r="K31" s="279"/>
    </row>
    <row r="32" spans="1:14" s="2104" customFormat="1" ht="13.5" customHeight="1">
      <c r="A32" s="803" t="s">
        <v>1856</v>
      </c>
      <c r="B32" s="2812"/>
      <c r="C32" s="53">
        <f ca="1">ROUND(C25+D26,4)</f>
        <v>0.1827</v>
      </c>
      <c r="D32" s="472"/>
      <c r="E32" s="473"/>
      <c r="F32" s="474"/>
      <c r="G32" s="261"/>
      <c r="H32" s="2769"/>
      <c r="I32" s="2769"/>
      <c r="J32" s="2769"/>
      <c r="K32" s="279"/>
    </row>
    <row r="33" spans="1:11" s="2106" customFormat="1" ht="13.5" customHeight="1">
      <c r="A33" s="2985" t="s">
        <v>2831</v>
      </c>
      <c r="B33" s="2983" t="s">
        <v>2829</v>
      </c>
      <c r="C33" s="478">
        <f ca="1">C35</f>
        <v>26024</v>
      </c>
      <c r="D33" s="467">
        <f ca="1">C34</f>
        <v>0.25729999999999997</v>
      </c>
      <c r="E33" s="469" t="s">
        <v>494</v>
      </c>
      <c r="F33" s="479">
        <f ca="1">IF(B1="",'数据-取费表'!Q16,INDIRECT("'数据-取费表'!q"&amp;$K$1))</f>
        <v>0.25</v>
      </c>
      <c r="G33" s="2770"/>
      <c r="H33" s="2771"/>
      <c r="I33" s="2771"/>
      <c r="J33" s="2771"/>
      <c r="K33" s="2772"/>
    </row>
    <row r="34" spans="1:11" s="2107" customFormat="1" ht="13.5" customHeight="1">
      <c r="A34" s="375" t="s">
        <v>1855</v>
      </c>
      <c r="B34" s="2817" t="s">
        <v>500</v>
      </c>
      <c r="C34" s="472">
        <f ca="1">ROUND((1+C25)*F33,4)</f>
        <v>0.25729999999999997</v>
      </c>
      <c r="D34" s="472"/>
      <c r="E34" s="473"/>
      <c r="F34" s="480"/>
      <c r="G34" s="261" t="s">
        <v>2289</v>
      </c>
      <c r="H34" s="2769"/>
      <c r="I34" s="2769"/>
      <c r="J34" s="2769"/>
      <c r="K34" s="279"/>
    </row>
    <row r="35" spans="1:11" s="2107" customFormat="1" ht="13.5" customHeight="1" thickBot="1">
      <c r="A35" s="1620" t="s">
        <v>1856</v>
      </c>
      <c r="B35" s="2984" t="s">
        <v>2837</v>
      </c>
      <c r="C35" s="1612">
        <f ca="1">ROUND((C18+C19+C20+C23+C24)*F33,0)</f>
        <v>26024</v>
      </c>
      <c r="D35" s="1613"/>
      <c r="E35" s="2818"/>
      <c r="F35" s="1614"/>
      <c r="G35" s="2776"/>
      <c r="H35" s="2777"/>
      <c r="I35" s="2777"/>
      <c r="J35" s="2777"/>
      <c r="K35" s="2778"/>
    </row>
    <row r="36" spans="1:11" s="2069" customFormat="1" ht="13.5" customHeight="1" thickBot="1">
      <c r="A36" s="284" t="s">
        <v>1843</v>
      </c>
      <c r="B36" s="2780"/>
      <c r="C36" s="2819">
        <f ca="1">ROUND((C6-C30-C33)/(1+D30+D33),0)</f>
        <v>77765</v>
      </c>
      <c r="D36" s="2780"/>
      <c r="E36" s="2780"/>
      <c r="F36" s="2780"/>
      <c r="G36" s="2779" t="s">
        <v>2838</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21" t="s">
        <v>465</v>
      </c>
      <c r="B1" s="2763"/>
      <c r="C1" s="2088"/>
      <c r="D1" s="2088"/>
      <c r="E1" s="2088"/>
      <c r="F1" s="2088"/>
      <c r="G1" s="2088"/>
      <c r="H1" s="2088"/>
      <c r="I1" s="2088"/>
      <c r="J1" s="2088"/>
      <c r="K1" s="422">
        <f>MATCH(B1,'数据-取费表'!A6:A16,0)+5</f>
        <v>8</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4"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2650</v>
      </c>
      <c r="B6" s="433"/>
      <c r="C6" s="1607">
        <f>SUM(C10:K10)</f>
        <v>0</v>
      </c>
      <c r="D6" s="2093"/>
      <c r="E6" s="2093"/>
      <c r="F6" s="2093"/>
      <c r="G6" s="2093"/>
      <c r="H6" s="2093"/>
      <c r="I6" s="2093"/>
      <c r="J6" s="2093"/>
      <c r="K6" s="2094"/>
    </row>
    <row r="7" spans="1:41" s="2097" customFormat="1" ht="15">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1846</v>
      </c>
      <c r="B10" s="1608" t="s">
        <v>473</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1863</v>
      </c>
      <c r="B11" s="1605"/>
      <c r="C11" s="1605"/>
      <c r="D11" s="1605"/>
      <c r="E11" s="1605"/>
      <c r="F11" s="1605"/>
      <c r="G11" s="1605"/>
      <c r="H11" s="1605"/>
      <c r="I11" s="1605"/>
      <c r="J11" s="1605"/>
      <c r="K11" s="1606"/>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7" t="s">
        <v>1847</v>
      </c>
      <c r="B13" s="449" t="s">
        <v>478</v>
      </c>
      <c r="C13" s="450">
        <f ca="1">IF(B1="",'数据-取费表'!M16,INDIRECT("'数据-取费表'!M"&amp;$K$1)+INDIRECT("'数据-取费表'!t"&amp;$K$1))</f>
        <v>80437</v>
      </c>
      <c r="D13" s="451"/>
      <c r="E13" s="365"/>
      <c r="F13" s="452"/>
      <c r="G13" s="444"/>
      <c r="H13" s="447"/>
      <c r="I13" s="447"/>
      <c r="J13" s="447"/>
      <c r="K13" s="448"/>
    </row>
    <row r="14" spans="1:41" s="2100" customFormat="1" ht="13.5" customHeight="1">
      <c r="A14" s="1617" t="s">
        <v>1848</v>
      </c>
      <c r="B14" s="449" t="s">
        <v>479</v>
      </c>
      <c r="C14" s="53">
        <f ca="1">ROUND(C13*F14,0)</f>
        <v>3217</v>
      </c>
      <c r="D14" s="451"/>
      <c r="E14" s="365"/>
      <c r="F14" s="453">
        <f>'数据-取费表'!B33</f>
        <v>0.04</v>
      </c>
      <c r="G14" s="444" t="s">
        <v>501</v>
      </c>
      <c r="H14" s="447"/>
      <c r="I14" s="447"/>
      <c r="J14" s="447"/>
      <c r="K14" s="448"/>
    </row>
    <row r="15" spans="1:41" s="2100" customFormat="1" ht="13.5" customHeight="1">
      <c r="A15" s="1617"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1" customFormat="1" ht="13.5" customHeight="1">
      <c r="A16" s="1617" t="s">
        <v>1850</v>
      </c>
      <c r="B16" s="449" t="s">
        <v>483</v>
      </c>
      <c r="C16" s="53">
        <f ca="1">ROUND(D16*E16/10000,0)</f>
        <v>4826</v>
      </c>
      <c r="D16" s="451">
        <f ca="1">IF(B1="",'数据-汇总表'!E3,INDIRECT("'数据-取费表'!K"&amp;$K$1)+INDIRECT("'数据-取费表'!S"&amp;$K$1))</f>
        <v>321749.09999999998</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1851</v>
      </c>
      <c r="B17" s="449" t="s">
        <v>484</v>
      </c>
      <c r="C17" s="454">
        <f ca="1">ROUND(C13*F17,0)</f>
        <v>1207</v>
      </c>
      <c r="D17" s="455"/>
      <c r="E17" s="454"/>
      <c r="F17" s="456">
        <f>'数据-取费表'!B36</f>
        <v>1.4999999999999999E-2</v>
      </c>
      <c r="G17" s="444" t="s">
        <v>501</v>
      </c>
      <c r="H17" s="457"/>
      <c r="I17" s="457"/>
      <c r="J17" s="457"/>
      <c r="K17" s="458"/>
    </row>
    <row r="18" spans="1:14" s="2103" customFormat="1" ht="13.5" customHeight="1">
      <c r="A18" s="1618" t="s">
        <v>1852</v>
      </c>
      <c r="B18" s="459" t="s">
        <v>486</v>
      </c>
      <c r="C18" s="460">
        <f ca="1">SUM(C13:C17)</f>
        <v>93508</v>
      </c>
      <c r="D18" s="461"/>
      <c r="E18" s="462"/>
      <c r="F18" s="462"/>
      <c r="G18" s="1321" t="s">
        <v>2431</v>
      </c>
      <c r="H18" s="447"/>
      <c r="I18" s="447"/>
      <c r="J18" s="447"/>
      <c r="K18" s="448"/>
    </row>
    <row r="19" spans="1:14" s="2103" customFormat="1" ht="13.5" customHeight="1">
      <c r="A19" s="1618" t="s">
        <v>1853</v>
      </c>
      <c r="B19" s="459" t="s">
        <v>492</v>
      </c>
      <c r="C19" s="460">
        <f ca="1">ROUND(C18*F19,0)</f>
        <v>1870</v>
      </c>
      <c r="D19" s="462"/>
      <c r="E19" s="462"/>
      <c r="F19" s="466">
        <f>'数据-取费表'!B37</f>
        <v>0.02</v>
      </c>
      <c r="G19" s="444" t="s">
        <v>502</v>
      </c>
      <c r="H19" s="447"/>
      <c r="I19" s="447"/>
      <c r="J19" s="447"/>
      <c r="K19" s="448"/>
      <c r="L19" s="2105"/>
      <c r="M19" s="2105"/>
      <c r="N19" s="2105"/>
    </row>
    <row r="20" spans="1:14" s="2103" customFormat="1" ht="13.5" customHeight="1">
      <c r="A20" s="1618" t="s">
        <v>1854</v>
      </c>
      <c r="B20" s="459" t="s">
        <v>503</v>
      </c>
      <c r="C20" s="2981">
        <f>F20</f>
        <v>0.02</v>
      </c>
      <c r="D20" s="469" t="s">
        <v>504</v>
      </c>
      <c r="E20" s="469"/>
      <c r="F20" s="486">
        <f>'数据-取费表'!B38</f>
        <v>0.02</v>
      </c>
      <c r="G20" s="1321" t="s">
        <v>505</v>
      </c>
      <c r="H20" s="447"/>
      <c r="I20" s="447"/>
      <c r="J20" s="447"/>
      <c r="K20" s="448"/>
      <c r="L20" s="2105"/>
      <c r="M20" s="2105"/>
      <c r="N20" s="2105"/>
    </row>
    <row r="21" spans="1:14" s="2105" customFormat="1" ht="13.5" customHeight="1">
      <c r="A21" s="1618" t="s">
        <v>1857</v>
      </c>
      <c r="B21" s="461" t="s">
        <v>493</v>
      </c>
      <c r="C21" s="470">
        <f ca="1">C22</f>
        <v>6876</v>
      </c>
      <c r="D21" s="467">
        <f ca="1">C23</f>
        <v>1.4E-3</v>
      </c>
      <c r="E21" s="469" t="s">
        <v>506</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2453</v>
      </c>
    </row>
    <row r="22" spans="1:14" s="2104" customFormat="1" ht="13.5" customHeight="1">
      <c r="A22" s="1617" t="s">
        <v>1847</v>
      </c>
      <c r="B22" s="1322" t="s">
        <v>2434</v>
      </c>
      <c r="C22" s="487">
        <f ca="1">ROUND(IF('数据-取费表'!B22&lt;=1,(C18+C19)*F21*'数据-取费表'!B20/2,(C18+C19)*(POWER((1+F21),'数据-取费表'!B20/2)-1)),0)</f>
        <v>6876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1848</v>
      </c>
      <c r="B23" s="1322" t="s">
        <v>507</v>
      </c>
      <c r="C23" s="488">
        <f ca="1">ROUND(IF('数据-取费表'!B22&lt;=1,F20*F21*'数据-取费表'!B20/2,F20*(POWER((1+F21),'数据-取费表'!B20/2)-1)),4)</f>
        <v>1.4E-3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1858</v>
      </c>
      <c r="B24" s="2983" t="s">
        <v>2830</v>
      </c>
      <c r="C24" s="478">
        <f ca="1">C25</f>
        <v>23845</v>
      </c>
      <c r="D24" s="489">
        <f ca="1">C26</f>
        <v>5.0000000000000001E-3</v>
      </c>
      <c r="E24" s="469" t="s">
        <v>506</v>
      </c>
      <c r="F24" s="479">
        <f ca="1">IF(B1="",'数据-取费表'!Q16,INDIRECT("'数据-取费表'!q"&amp;$K$1))</f>
        <v>0.25</v>
      </c>
      <c r="G24" s="444"/>
      <c r="H24" s="447"/>
      <c r="I24" s="447"/>
      <c r="J24" s="447"/>
      <c r="K24" s="448"/>
    </row>
    <row r="25" spans="1:14" s="2104" customFormat="1" ht="13.5" customHeight="1">
      <c r="A25" s="1617" t="s">
        <v>1847</v>
      </c>
      <c r="B25" s="1322" t="s">
        <v>2435</v>
      </c>
      <c r="C25" s="490">
        <f ca="1">ROUND((C18+C19)*F24,0)</f>
        <v>23845</v>
      </c>
      <c r="D25" s="472"/>
      <c r="E25" s="473"/>
      <c r="F25" s="480"/>
      <c r="G25" s="1320" t="s">
        <v>2432</v>
      </c>
      <c r="H25" s="457"/>
      <c r="I25" s="457"/>
      <c r="J25" s="457"/>
      <c r="K25" s="458"/>
    </row>
    <row r="26" spans="1:14" s="2104" customFormat="1" ht="13.5" customHeight="1">
      <c r="A26" s="1617" t="s">
        <v>1848</v>
      </c>
      <c r="B26" s="1322" t="s">
        <v>508</v>
      </c>
      <c r="C26" s="491">
        <f ca="1">ROUND(F20*F24,4)</f>
        <v>5.0000000000000001E-3</v>
      </c>
      <c r="D26" s="472"/>
      <c r="E26" s="481"/>
      <c r="F26" s="480"/>
      <c r="G26" s="1320" t="s">
        <v>509</v>
      </c>
      <c r="H26" s="457"/>
      <c r="I26" s="457"/>
      <c r="J26" s="457"/>
      <c r="K26" s="458"/>
    </row>
    <row r="27" spans="1:14" s="2104" customFormat="1" ht="13.5" customHeight="1">
      <c r="A27" s="1621" t="s">
        <v>1866</v>
      </c>
      <c r="B27" s="459" t="s">
        <v>510</v>
      </c>
      <c r="C27" s="2982">
        <f>ROUND(F27/(1+'数据-取费表'!C42),4)</f>
        <v>5.33E-2</v>
      </c>
      <c r="D27" s="462" t="s">
        <v>2828</v>
      </c>
      <c r="E27" s="462"/>
      <c r="F27" s="466">
        <f>'数据-取费表'!B41</f>
        <v>5.6000000000000001E-2</v>
      </c>
      <c r="G27" s="1944" t="s">
        <v>2290</v>
      </c>
      <c r="H27" s="447"/>
      <c r="I27" s="447"/>
      <c r="J27" s="447"/>
      <c r="K27" s="448"/>
    </row>
    <row r="28" spans="1:14" s="2105" customFormat="1" ht="13.5" customHeight="1">
      <c r="A28" s="1621" t="s">
        <v>1867</v>
      </c>
      <c r="B28" s="476" t="s">
        <v>511</v>
      </c>
      <c r="C28" s="470">
        <f ca="1">ROUND((C18+C19+C21+C24)/(1-C20-D21-D24-C27),0)</f>
        <v>137019</v>
      </c>
      <c r="D28" s="477"/>
      <c r="E28" s="469"/>
      <c r="F28" s="471"/>
      <c r="G28" s="1321" t="s">
        <v>2433</v>
      </c>
      <c r="H28" s="447"/>
      <c r="I28" s="447"/>
      <c r="J28" s="447"/>
      <c r="K28" s="448"/>
    </row>
    <row r="29" spans="1:14" s="2105" customFormat="1" ht="13.5" customHeight="1">
      <c r="A29" s="1621"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3" t="s">
        <v>514</v>
      </c>
      <c r="H30" s="496"/>
      <c r="I30" s="496"/>
      <c r="J30" s="447"/>
      <c r="K30" s="448"/>
    </row>
    <row r="31" spans="1:14" s="2110" customFormat="1" ht="13.5" customHeight="1">
      <c r="A31" s="2445" t="s">
        <v>1864</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P38" sqref="P38:P47"/>
    </sheetView>
  </sheetViews>
  <sheetFormatPr defaultColWidth="9" defaultRowHeight="14.25"/>
  <cols>
    <col min="1" max="1" width="15.625" style="1331" customWidth="1"/>
    <col min="2" max="2" width="15.75" style="1331" customWidth="1"/>
    <col min="3" max="3" width="15.25" style="1331" customWidth="1"/>
    <col min="4" max="4" width="12.25" style="1331" customWidth="1"/>
    <col min="5" max="5" width="16.125" style="1331" customWidth="1"/>
    <col min="6" max="6" width="12.25" style="1331" customWidth="1"/>
    <col min="7" max="7" width="15.625" style="1331" customWidth="1"/>
    <col min="8" max="8" width="12.25" style="1331" customWidth="1"/>
    <col min="9" max="9" width="15.62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30" s="1330" customFormat="1" ht="28.5" customHeight="1">
      <c r="A1" s="502" t="s">
        <v>515</v>
      </c>
      <c r="B1" s="503"/>
      <c r="C1" s="504" t="s">
        <v>516</v>
      </c>
      <c r="D1" s="505" t="s">
        <v>517</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466</v>
      </c>
      <c r="B2" s="508">
        <f>F68</f>
        <v>75708</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1683</v>
      </c>
      <c r="B3" s="510">
        <f>ROUND(B2*10000/'数据-汇总表'!E3,0)</f>
        <v>2353</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519</v>
      </c>
      <c r="B4" s="427">
        <f>IF(B48="单位面积地价",C50,ROUND(B2*10000/'数据-汇总表'!D3,0))</f>
        <v>10516</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701</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0.25">
      <c r="A6" s="512" t="s">
        <v>520</v>
      </c>
      <c r="B6" s="513"/>
      <c r="C6" s="3414" t="s">
        <v>521</v>
      </c>
      <c r="D6" s="3415"/>
      <c r="E6" s="3414" t="s">
        <v>522</v>
      </c>
      <c r="F6" s="3415"/>
      <c r="G6" s="3414" t="s">
        <v>523</v>
      </c>
      <c r="H6" s="3415"/>
      <c r="I6" s="3414" t="s">
        <v>524</v>
      </c>
      <c r="J6" s="3415"/>
      <c r="K6" s="514" t="s">
        <v>525</v>
      </c>
      <c r="L6" s="2117"/>
      <c r="M6" s="2116"/>
      <c r="N6" s="2116"/>
      <c r="O6" s="2118"/>
      <c r="P6" s="3416" t="s">
        <v>526</v>
      </c>
      <c r="Q6" s="3417"/>
      <c r="R6" s="3402" t="s">
        <v>522</v>
      </c>
      <c r="S6" s="3403"/>
      <c r="T6" s="3402" t="s">
        <v>523</v>
      </c>
      <c r="U6" s="3403"/>
      <c r="V6" s="3422" t="s">
        <v>524</v>
      </c>
      <c r="W6" s="3422"/>
      <c r="X6" s="1552"/>
      <c r="Y6" s="3402" t="s">
        <v>526</v>
      </c>
      <c r="Z6" s="3403"/>
      <c r="AA6" s="3397" t="s">
        <v>522</v>
      </c>
      <c r="AB6" s="3398" t="s">
        <v>523</v>
      </c>
      <c r="AC6" s="3397" t="s">
        <v>524</v>
      </c>
    </row>
    <row r="7" spans="1:30" ht="20.25">
      <c r="A7" s="515"/>
      <c r="B7" s="516"/>
      <c r="C7" s="3425" t="s">
        <v>2919</v>
      </c>
      <c r="D7" s="3426"/>
      <c r="E7" s="3425" t="str">
        <f>土地案例!A13</f>
        <v>天津路西侧、延安东路南侧</v>
      </c>
      <c r="F7" s="3426"/>
      <c r="G7" s="3425" t="str">
        <f>土地案例!A20</f>
        <v>乐善路西侧、来鹤路北侧</v>
      </c>
      <c r="H7" s="3426"/>
      <c r="I7" s="3425" t="str">
        <f>土地案例!A28</f>
        <v>石桥路东侧、延安东路南侧</v>
      </c>
      <c r="J7" s="3426"/>
      <c r="K7" s="514"/>
      <c r="L7" s="2117"/>
      <c r="M7" s="2116"/>
      <c r="N7" s="2116"/>
      <c r="O7" s="2118"/>
      <c r="P7" s="3418"/>
      <c r="Q7" s="3419"/>
      <c r="R7" s="3404"/>
      <c r="S7" s="3405"/>
      <c r="T7" s="3404"/>
      <c r="U7" s="3405"/>
      <c r="V7" s="3422"/>
      <c r="W7" s="3422"/>
      <c r="X7" s="1552"/>
      <c r="Y7" s="3404"/>
      <c r="Z7" s="3405"/>
      <c r="AA7" s="3398"/>
      <c r="AB7" s="3398"/>
      <c r="AC7" s="3398"/>
    </row>
    <row r="8" spans="1:30" ht="21" thickBot="1">
      <c r="A8" s="515"/>
      <c r="B8" s="516"/>
      <c r="C8" s="3427" t="s">
        <v>2923</v>
      </c>
      <c r="D8" s="3428"/>
      <c r="E8" s="3427" t="s">
        <v>2923</v>
      </c>
      <c r="F8" s="3428"/>
      <c r="G8" s="3423" t="s">
        <v>2923</v>
      </c>
      <c r="H8" s="3424"/>
      <c r="I8" s="3423" t="s">
        <v>2923</v>
      </c>
      <c r="J8" s="3424"/>
      <c r="K8" s="514" t="s">
        <v>527</v>
      </c>
      <c r="L8" s="2117"/>
      <c r="M8" s="2116"/>
      <c r="N8" s="2116"/>
      <c r="O8" s="2118"/>
      <c r="P8" s="3420"/>
      <c r="Q8" s="3421"/>
      <c r="R8" s="3404"/>
      <c r="S8" s="3405"/>
      <c r="T8" s="3406"/>
      <c r="U8" s="3407"/>
      <c r="V8" s="3422"/>
      <c r="W8" s="3422"/>
      <c r="X8" s="1552"/>
      <c r="Y8" s="3406"/>
      <c r="Z8" s="3407"/>
      <c r="AA8" s="3399"/>
      <c r="AB8" s="3399"/>
      <c r="AC8" s="3399"/>
    </row>
    <row r="9" spans="1:30" s="1216" customFormat="1" ht="21" thickBot="1">
      <c r="A9" s="2866"/>
      <c r="B9" s="3216" t="s">
        <v>528</v>
      </c>
      <c r="C9" s="2865">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19"/>
      <c r="M9" s="2116"/>
      <c r="N9" s="2116"/>
      <c r="O9" s="2120"/>
      <c r="P9" s="3400" t="s">
        <v>529</v>
      </c>
      <c r="Q9" s="3409"/>
      <c r="R9" s="1553" t="s">
        <v>8</v>
      </c>
      <c r="S9" s="1554">
        <f t="shared" ref="S9:S17" si="0">F9</f>
        <v>99.6</v>
      </c>
      <c r="T9" s="1553" t="s">
        <v>8</v>
      </c>
      <c r="U9" s="1554">
        <f t="shared" ref="U9:U17" si="1">H9</f>
        <v>99.2</v>
      </c>
      <c r="V9" s="1553" t="s">
        <v>8</v>
      </c>
      <c r="W9" s="1554">
        <f t="shared" ref="W9:W17" si="2">J9</f>
        <v>99.2</v>
      </c>
      <c r="X9" s="1555"/>
      <c r="Y9" s="3400" t="s">
        <v>529</v>
      </c>
      <c r="Z9" s="3401"/>
      <c r="AA9" s="1556">
        <f>D9/F9</f>
        <v>1.0040160642570282</v>
      </c>
      <c r="AB9" s="1556">
        <f>D9/H9</f>
        <v>1.0080645161290323</v>
      </c>
      <c r="AC9" s="1556">
        <f>D9/J9</f>
        <v>1.0080645161290323</v>
      </c>
    </row>
    <row r="10" spans="1:30" s="1216" customFormat="1" ht="21" thickBot="1">
      <c r="A10" s="2867"/>
      <c r="B10" s="2874"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19"/>
      <c r="M10" s="2116"/>
      <c r="N10" s="2116"/>
      <c r="O10" s="2120"/>
      <c r="P10" s="3400" t="s">
        <v>532</v>
      </c>
      <c r="Q10" s="3401"/>
      <c r="R10" s="1553" t="s">
        <v>8</v>
      </c>
      <c r="S10" s="1554">
        <f t="shared" si="0"/>
        <v>100</v>
      </c>
      <c r="T10" s="1553" t="s">
        <v>8</v>
      </c>
      <c r="U10" s="1554">
        <f t="shared" si="1"/>
        <v>100</v>
      </c>
      <c r="V10" s="1553" t="s">
        <v>8</v>
      </c>
      <c r="W10" s="1554">
        <f t="shared" si="2"/>
        <v>100</v>
      </c>
      <c r="X10" s="1555"/>
      <c r="Y10" s="3400" t="s">
        <v>532</v>
      </c>
      <c r="Z10" s="3401"/>
      <c r="AA10" s="1556">
        <f t="shared" ref="AA10:AA47" si="3">D10/F10</f>
        <v>1</v>
      </c>
      <c r="AB10" s="1556">
        <f t="shared" ref="AB10:AB47" si="4">D10/H10</f>
        <v>1</v>
      </c>
      <c r="AC10" s="1556">
        <f t="shared" ref="AC10:AC47" si="5">D10/J10</f>
        <v>1</v>
      </c>
    </row>
    <row r="11" spans="1:30" s="1216" customFormat="1" ht="20.25">
      <c r="A11" s="2868"/>
      <c r="B11" s="2875" t="s">
        <v>2754</v>
      </c>
      <c r="C11" s="2862" t="s">
        <v>3182</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19"/>
      <c r="M11" s="2116"/>
      <c r="N11" s="2116"/>
      <c r="O11" s="2121"/>
      <c r="P11" s="3408" t="s">
        <v>534</v>
      </c>
      <c r="Q11" s="1147" t="str">
        <f t="shared" ref="Q11:Q17" si="6">B11</f>
        <v>用途</v>
      </c>
      <c r="R11" s="1553" t="s">
        <v>8</v>
      </c>
      <c r="S11" s="1554">
        <f t="shared" si="0"/>
        <v>98</v>
      </c>
      <c r="T11" s="1553" t="s">
        <v>8</v>
      </c>
      <c r="U11" s="1554">
        <f t="shared" si="1"/>
        <v>98</v>
      </c>
      <c r="V11" s="1553" t="s">
        <v>8</v>
      </c>
      <c r="W11" s="1554">
        <f t="shared" si="2"/>
        <v>98</v>
      </c>
      <c r="X11" s="1555"/>
      <c r="Y11" s="3365" t="s">
        <v>535</v>
      </c>
      <c r="Z11" s="1146" t="str">
        <f t="shared" ref="Z11:Z17" si="7">Q11</f>
        <v>用途</v>
      </c>
      <c r="AA11" s="1556">
        <f t="shared" si="3"/>
        <v>1.0204081632653061</v>
      </c>
      <c r="AB11" s="1556">
        <f t="shared" si="4"/>
        <v>1.0204081632653061</v>
      </c>
      <c r="AC11" s="1556">
        <f t="shared" si="5"/>
        <v>1.0204081632653061</v>
      </c>
    </row>
    <row r="12" spans="1:30" s="1332" customFormat="1" ht="27">
      <c r="A12" s="2869"/>
      <c r="B12" s="2874" t="s">
        <v>2755</v>
      </c>
      <c r="C12" s="910"/>
      <c r="D12" s="255">
        <v>100</v>
      </c>
      <c r="E12" s="529"/>
      <c r="F12" s="255">
        <f>ROUND(100/'数据-取费表'!G16,0)</f>
        <v>101</v>
      </c>
      <c r="G12" s="530"/>
      <c r="H12" s="255">
        <f>ROUND(100/'数据-取费表'!G16,0)</f>
        <v>101</v>
      </c>
      <c r="I12" s="530"/>
      <c r="J12" s="255">
        <f>ROUND(100/'数据-取费表'!G16,0)</f>
        <v>101</v>
      </c>
      <c r="K12" s="531"/>
      <c r="L12" s="2122"/>
      <c r="M12" s="2116"/>
      <c r="N12" s="2116"/>
      <c r="O12" s="2123"/>
      <c r="P12" s="3408"/>
      <c r="Q12" s="1147" t="str">
        <f t="shared" si="6"/>
        <v>土地使用年限（年）</v>
      </c>
      <c r="R12" s="1553" t="s">
        <v>8</v>
      </c>
      <c r="S12" s="1554">
        <f t="shared" si="0"/>
        <v>101</v>
      </c>
      <c r="T12" s="1553" t="s">
        <v>8</v>
      </c>
      <c r="U12" s="1554">
        <f t="shared" si="1"/>
        <v>101</v>
      </c>
      <c r="V12" s="1553" t="s">
        <v>8</v>
      </c>
      <c r="W12" s="1554">
        <f t="shared" si="2"/>
        <v>101</v>
      </c>
      <c r="X12" s="1555"/>
      <c r="Y12" s="3365"/>
      <c r="Z12" s="1146" t="str">
        <f t="shared" si="7"/>
        <v>土地使用年限（年）</v>
      </c>
      <c r="AA12" s="1556">
        <f t="shared" si="3"/>
        <v>0.99009900990099009</v>
      </c>
      <c r="AB12" s="1556">
        <f t="shared" si="4"/>
        <v>0.99009900990099009</v>
      </c>
      <c r="AC12" s="1556">
        <f t="shared" si="5"/>
        <v>0.99009900990099009</v>
      </c>
    </row>
    <row r="13" spans="1:30" ht="20.25">
      <c r="A13" s="2870"/>
      <c r="B13" s="2874"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4"/>
      <c r="M13" s="2116"/>
      <c r="N13" s="2116"/>
      <c r="O13" s="2125"/>
      <c r="P13" s="3408"/>
      <c r="Q13" s="1147" t="str">
        <f t="shared" si="6"/>
        <v>容积率</v>
      </c>
      <c r="R13" s="1553" t="s">
        <v>8</v>
      </c>
      <c r="S13" s="1554">
        <f t="shared" si="0"/>
        <v>110</v>
      </c>
      <c r="T13" s="1553" t="s">
        <v>8</v>
      </c>
      <c r="U13" s="1554">
        <f t="shared" si="1"/>
        <v>110</v>
      </c>
      <c r="V13" s="1553" t="s">
        <v>8</v>
      </c>
      <c r="W13" s="1554">
        <f t="shared" si="2"/>
        <v>105</v>
      </c>
      <c r="X13" s="1555"/>
      <c r="Y13" s="3365"/>
      <c r="Z13" s="1146" t="str">
        <f t="shared" si="7"/>
        <v>容积率</v>
      </c>
      <c r="AA13" s="1556">
        <f t="shared" si="3"/>
        <v>0.90909090909090906</v>
      </c>
      <c r="AB13" s="1556">
        <f t="shared" si="4"/>
        <v>0.90909090909090906</v>
      </c>
      <c r="AC13" s="1556">
        <f t="shared" si="5"/>
        <v>0.95238095238095233</v>
      </c>
    </row>
    <row r="14" spans="1:30" s="1216" customFormat="1" ht="20.25">
      <c r="A14" s="2867"/>
      <c r="B14" s="2876" t="s">
        <v>2757</v>
      </c>
      <c r="C14" s="2863"/>
      <c r="D14" s="538">
        <v>100</v>
      </c>
      <c r="E14" s="1369"/>
      <c r="F14" s="255">
        <f>SUMIF(84:84,E14,85:85)-SUMIF(84:84,C14,85:85)+100</f>
        <v>100</v>
      </c>
      <c r="G14" s="3211"/>
      <c r="H14" s="255">
        <f>SUMIF(84:84,G14,85:85)-SUMIF(84:84,C14,85:85)+100</f>
        <v>100</v>
      </c>
      <c r="I14" s="3212"/>
      <c r="J14" s="255">
        <f>SUMIF(84:84,I14,85:85)-SUMIF(84:84,C14,85:85)+100</f>
        <v>100</v>
      </c>
      <c r="K14" s="531"/>
      <c r="L14" s="2119"/>
      <c r="M14" s="2116"/>
      <c r="N14" s="2116"/>
      <c r="O14" s="2121"/>
      <c r="P14" s="3408"/>
      <c r="Q14" s="1147" t="str">
        <f t="shared" si="6"/>
        <v>配建</v>
      </c>
      <c r="R14" s="1553" t="s">
        <v>8</v>
      </c>
      <c r="S14" s="1554">
        <f t="shared" si="0"/>
        <v>100</v>
      </c>
      <c r="T14" s="1553" t="s">
        <v>8</v>
      </c>
      <c r="U14" s="1554">
        <f t="shared" si="1"/>
        <v>100</v>
      </c>
      <c r="V14" s="1553" t="s">
        <v>8</v>
      </c>
      <c r="W14" s="1554">
        <f t="shared" si="2"/>
        <v>100</v>
      </c>
      <c r="X14" s="1555"/>
      <c r="Y14" s="3365"/>
      <c r="Z14" s="1146" t="str">
        <f t="shared" si="7"/>
        <v>配建</v>
      </c>
      <c r="AA14" s="1556">
        <f>D14/F14</f>
        <v>1</v>
      </c>
      <c r="AB14" s="1556">
        <f>D14/H14</f>
        <v>1</v>
      </c>
      <c r="AC14" s="1556">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408"/>
      <c r="Q15" s="1147">
        <f t="shared" si="6"/>
        <v>111</v>
      </c>
      <c r="R15" s="1553" t="s">
        <v>8</v>
      </c>
      <c r="S15" s="1554">
        <f t="shared" si="0"/>
        <v>100</v>
      </c>
      <c r="T15" s="1553" t="s">
        <v>8</v>
      </c>
      <c r="U15" s="1554">
        <f t="shared" si="1"/>
        <v>100</v>
      </c>
      <c r="V15" s="1553" t="s">
        <v>8</v>
      </c>
      <c r="W15" s="1554">
        <f t="shared" si="2"/>
        <v>100</v>
      </c>
      <c r="X15" s="1555"/>
      <c r="Y15" s="3365"/>
      <c r="Z15" s="1146">
        <f t="shared" si="7"/>
        <v>111</v>
      </c>
      <c r="AA15" s="1556">
        <f>D15/F15</f>
        <v>1</v>
      </c>
      <c r="AB15" s="1556">
        <f>D15/H15</f>
        <v>1</v>
      </c>
      <c r="AC15" s="1556">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408"/>
      <c r="Q16" s="1147">
        <f t="shared" si="6"/>
        <v>111</v>
      </c>
      <c r="R16" s="1553" t="s">
        <v>8</v>
      </c>
      <c r="S16" s="1554">
        <f t="shared" si="0"/>
        <v>100</v>
      </c>
      <c r="T16" s="1553" t="s">
        <v>8</v>
      </c>
      <c r="U16" s="1554">
        <f t="shared" si="1"/>
        <v>100</v>
      </c>
      <c r="V16" s="1553" t="s">
        <v>8</v>
      </c>
      <c r="W16" s="1554">
        <f t="shared" si="2"/>
        <v>100</v>
      </c>
      <c r="X16" s="1555"/>
      <c r="Y16" s="3365"/>
      <c r="Z16" s="1146">
        <f t="shared" si="7"/>
        <v>111</v>
      </c>
      <c r="AA16" s="1556">
        <f>D16/F16</f>
        <v>1</v>
      </c>
      <c r="AB16" s="1556">
        <f>D16/H16</f>
        <v>1</v>
      </c>
      <c r="AC16" s="1556">
        <f>D16/J16</f>
        <v>1</v>
      </c>
    </row>
    <row r="17" spans="1:29" ht="20.25">
      <c r="A17" s="3222" t="s">
        <v>2752</v>
      </c>
      <c r="B17" s="578" t="s">
        <v>295</v>
      </c>
      <c r="C17" s="548" t="str">
        <f>估价对象房地状况!C15</f>
        <v>较好</v>
      </c>
      <c r="D17" s="551">
        <v>100</v>
      </c>
      <c r="E17" s="552"/>
      <c r="F17" s="549">
        <f>SUMIF(90:90,E18,91:91)-SUMIF(90:90,C18,91:91)+100</f>
        <v>97</v>
      </c>
      <c r="G17" s="550"/>
      <c r="H17" s="549">
        <f>SUMIF(90:90,G18,91:91)-SUMIF(90:90,C18,91:91)+100</f>
        <v>100</v>
      </c>
      <c r="I17" s="552"/>
      <c r="J17" s="549">
        <f>SUMIF(90:90,I18,91:91)-SUMIF(90:90,C18,91:91)+100</f>
        <v>100</v>
      </c>
      <c r="K17" s="535">
        <v>3</v>
      </c>
      <c r="L17" s="2126"/>
      <c r="M17" s="2116"/>
      <c r="N17" s="2116"/>
      <c r="O17" s="2125"/>
      <c r="P17" s="3410" t="s">
        <v>539</v>
      </c>
      <c r="Q17" s="1557" t="str">
        <f t="shared" si="6"/>
        <v>居住社区成熟度</v>
      </c>
      <c r="R17" s="1558" t="s">
        <v>8</v>
      </c>
      <c r="S17" s="1559">
        <f t="shared" si="0"/>
        <v>97</v>
      </c>
      <c r="T17" s="1558" t="s">
        <v>8</v>
      </c>
      <c r="U17" s="1559">
        <f t="shared" si="1"/>
        <v>100</v>
      </c>
      <c r="V17" s="1558" t="s">
        <v>8</v>
      </c>
      <c r="W17" s="1559">
        <f t="shared" si="2"/>
        <v>100</v>
      </c>
      <c r="X17" s="1552"/>
      <c r="Y17" s="3410" t="s">
        <v>539</v>
      </c>
      <c r="Z17" s="1560" t="str">
        <f t="shared" si="7"/>
        <v>居住社区成熟度</v>
      </c>
      <c r="AA17" s="1561">
        <f t="shared" si="3"/>
        <v>1.0309278350515463</v>
      </c>
      <c r="AB17" s="1561">
        <f t="shared" si="4"/>
        <v>1</v>
      </c>
      <c r="AC17" s="1561">
        <f t="shared" si="5"/>
        <v>1</v>
      </c>
    </row>
    <row r="18" spans="1:29" ht="20.25">
      <c r="A18" s="532"/>
      <c r="B18" s="553"/>
      <c r="C18" s="554" t="s">
        <v>3145</v>
      </c>
      <c r="D18" s="557"/>
      <c r="E18" s="558" t="s">
        <v>3178</v>
      </c>
      <c r="F18" s="555"/>
      <c r="G18" s="556" t="s">
        <v>3145</v>
      </c>
      <c r="H18" s="559"/>
      <c r="I18" s="558" t="s">
        <v>3145</v>
      </c>
      <c r="J18" s="555"/>
      <c r="K18" s="531"/>
      <c r="L18" s="2126"/>
      <c r="M18" s="2116"/>
      <c r="N18" s="2116"/>
      <c r="O18" s="2125"/>
      <c r="P18" s="3411"/>
      <c r="Q18" s="1557"/>
      <c r="R18" s="1558"/>
      <c r="S18" s="1559"/>
      <c r="T18" s="1558"/>
      <c r="U18" s="1559"/>
      <c r="V18" s="1558"/>
      <c r="W18" s="1559"/>
      <c r="X18" s="1552"/>
      <c r="Y18" s="3411"/>
      <c r="Z18" s="1560"/>
      <c r="AA18" s="1561">
        <v>1</v>
      </c>
      <c r="AB18" s="1561">
        <v>1</v>
      </c>
      <c r="AC18" s="1561">
        <v>1</v>
      </c>
    </row>
    <row r="19" spans="1:29" ht="20.25">
      <c r="A19" s="532"/>
      <c r="B19" s="560" t="s">
        <v>540</v>
      </c>
      <c r="C19" s="561" t="str">
        <f>估价对象房地状况!C16</f>
        <v>较好</v>
      </c>
      <c r="D19" s="563">
        <v>100</v>
      </c>
      <c r="E19" s="564"/>
      <c r="F19" s="559">
        <f>SUMIF(92:92,E20,93:93)-SUMIF(92:92,C20,93:93)+100</f>
        <v>98</v>
      </c>
      <c r="G19" s="562"/>
      <c r="H19" s="565">
        <f>SUMIF(92:92,G20,93:93)-SUMIF(92:92,C20,93:93)+100</f>
        <v>102</v>
      </c>
      <c r="I19" s="564"/>
      <c r="J19" s="565">
        <f>SUMIF(92:92,I20,93:93)-SUMIF(92:92,C20,93:93)+100</f>
        <v>100</v>
      </c>
      <c r="K19" s="535">
        <v>2</v>
      </c>
      <c r="L19" s="2126"/>
      <c r="M19" s="2116"/>
      <c r="N19" s="2116"/>
      <c r="O19" s="2125"/>
      <c r="P19" s="3411"/>
      <c r="Q19" s="1557" t="str">
        <f>B19</f>
        <v>商业繁华度</v>
      </c>
      <c r="R19" s="1558" t="s">
        <v>8</v>
      </c>
      <c r="S19" s="1559">
        <f>F19</f>
        <v>98</v>
      </c>
      <c r="T19" s="1558" t="s">
        <v>8</v>
      </c>
      <c r="U19" s="1559">
        <f>H19</f>
        <v>102</v>
      </c>
      <c r="V19" s="1558" t="s">
        <v>8</v>
      </c>
      <c r="W19" s="1559">
        <f>J19</f>
        <v>100</v>
      </c>
      <c r="X19" s="1552"/>
      <c r="Y19" s="3411"/>
      <c r="Z19" s="1560" t="str">
        <f>Q19</f>
        <v>商业繁华度</v>
      </c>
      <c r="AA19" s="1561">
        <f t="shared" si="3"/>
        <v>1.0204081632653061</v>
      </c>
      <c r="AB19" s="1561">
        <f t="shared" si="4"/>
        <v>0.98039215686274506</v>
      </c>
      <c r="AC19" s="1561">
        <f t="shared" si="5"/>
        <v>1</v>
      </c>
    </row>
    <row r="20" spans="1:29" ht="20.25">
      <c r="A20" s="532"/>
      <c r="B20" s="566"/>
      <c r="C20" s="567" t="s">
        <v>3145</v>
      </c>
      <c r="D20" s="563"/>
      <c r="E20" s="569" t="s">
        <v>3178</v>
      </c>
      <c r="F20" s="559"/>
      <c r="G20" s="568" t="s">
        <v>3146</v>
      </c>
      <c r="H20" s="555"/>
      <c r="I20" s="569" t="s">
        <v>3145</v>
      </c>
      <c r="J20" s="555"/>
      <c r="K20" s="531"/>
      <c r="L20" s="2126"/>
      <c r="M20" s="2116"/>
      <c r="N20" s="2116"/>
      <c r="O20" s="2125"/>
      <c r="P20" s="3411"/>
      <c r="Q20" s="1557"/>
      <c r="R20" s="1558"/>
      <c r="S20" s="1559"/>
      <c r="T20" s="1558"/>
      <c r="U20" s="1559"/>
      <c r="V20" s="1558"/>
      <c r="W20" s="1559"/>
      <c r="X20" s="1552"/>
      <c r="Y20" s="3411"/>
      <c r="Z20" s="1560"/>
      <c r="AA20" s="1561">
        <v>1</v>
      </c>
      <c r="AB20" s="1561">
        <v>1</v>
      </c>
      <c r="AC20" s="1561">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11"/>
      <c r="Q21" s="1557" t="str">
        <f>B21</f>
        <v>办公集聚程度</v>
      </c>
      <c r="R21" s="1558" t="s">
        <v>8</v>
      </c>
      <c r="S21" s="1559">
        <f>F21</f>
        <v>100</v>
      </c>
      <c r="T21" s="1558" t="s">
        <v>8</v>
      </c>
      <c r="U21" s="1559">
        <f>H21</f>
        <v>100</v>
      </c>
      <c r="V21" s="1558" t="s">
        <v>8</v>
      </c>
      <c r="W21" s="1559">
        <f>J21</f>
        <v>100</v>
      </c>
      <c r="X21" s="1552"/>
      <c r="Y21" s="3411"/>
      <c r="Z21" s="1560" t="str">
        <f>Q21</f>
        <v>办公集聚程度</v>
      </c>
      <c r="AA21" s="1561">
        <f t="shared" si="3"/>
        <v>1</v>
      </c>
      <c r="AB21" s="1561">
        <f t="shared" si="4"/>
        <v>1</v>
      </c>
      <c r="AC21" s="1561">
        <f t="shared" si="5"/>
        <v>1</v>
      </c>
    </row>
    <row r="22" spans="1:29" ht="20.25" hidden="1">
      <c r="A22" s="532"/>
      <c r="B22" s="566"/>
      <c r="C22" s="554"/>
      <c r="D22" s="557"/>
      <c r="E22" s="558"/>
      <c r="F22" s="555"/>
      <c r="G22" s="556"/>
      <c r="H22" s="555"/>
      <c r="I22" s="558"/>
      <c r="J22" s="555"/>
      <c r="K22" s="531"/>
      <c r="L22" s="2126"/>
      <c r="M22" s="2116"/>
      <c r="N22" s="2116"/>
      <c r="O22" s="2125"/>
      <c r="P22" s="3411"/>
      <c r="Q22" s="1557"/>
      <c r="R22" s="1558"/>
      <c r="S22" s="1559"/>
      <c r="T22" s="1558"/>
      <c r="U22" s="1559"/>
      <c r="V22" s="1558"/>
      <c r="W22" s="1559"/>
      <c r="X22" s="1552"/>
      <c r="Y22" s="3411"/>
      <c r="Z22" s="1560"/>
      <c r="AA22" s="1561">
        <v>1</v>
      </c>
      <c r="AB22" s="1561">
        <v>1</v>
      </c>
      <c r="AC22" s="1561">
        <v>1</v>
      </c>
    </row>
    <row r="23" spans="1:29" ht="20.25">
      <c r="A23" s="532"/>
      <c r="B23" s="560" t="s">
        <v>542</v>
      </c>
      <c r="C23" s="573" t="str">
        <f>估价对象房地状况!C18</f>
        <v>较好</v>
      </c>
      <c r="D23" s="563">
        <v>100</v>
      </c>
      <c r="E23" s="564"/>
      <c r="F23" s="565">
        <f>SUMIF(96:96,E24,97:97)-SUMIF(96:96,C24,97:97)+100</f>
        <v>97</v>
      </c>
      <c r="G23" s="562"/>
      <c r="H23" s="559">
        <f>SUMIF(96:96,G24,97:97)-SUMIF(96:96,C24,97:97)+100</f>
        <v>100</v>
      </c>
      <c r="I23" s="564"/>
      <c r="J23" s="559">
        <f>SUMIF(96:96,I24,97:97)-SUMIF(96:96,C24,97:97)+100</f>
        <v>100</v>
      </c>
      <c r="K23" s="535">
        <v>3</v>
      </c>
      <c r="L23" s="2126"/>
      <c r="M23" s="2116"/>
      <c r="N23" s="2116"/>
      <c r="O23" s="2125"/>
      <c r="P23" s="3411"/>
      <c r="Q23" s="1557" t="str">
        <f>B23</f>
        <v>交通便捷度</v>
      </c>
      <c r="R23" s="1558" t="s">
        <v>8</v>
      </c>
      <c r="S23" s="1559">
        <f>F23</f>
        <v>97</v>
      </c>
      <c r="T23" s="1558" t="s">
        <v>8</v>
      </c>
      <c r="U23" s="1559">
        <f>H23</f>
        <v>100</v>
      </c>
      <c r="V23" s="1558" t="s">
        <v>8</v>
      </c>
      <c r="W23" s="1559">
        <f>J23</f>
        <v>100</v>
      </c>
      <c r="X23" s="1552"/>
      <c r="Y23" s="3411"/>
      <c r="Z23" s="1560" t="str">
        <f>Q23</f>
        <v>交通便捷度</v>
      </c>
      <c r="AA23" s="1561">
        <f t="shared" si="3"/>
        <v>1.0309278350515463</v>
      </c>
      <c r="AB23" s="1561">
        <f t="shared" si="4"/>
        <v>1</v>
      </c>
      <c r="AC23" s="1561">
        <f t="shared" si="5"/>
        <v>1</v>
      </c>
    </row>
    <row r="24" spans="1:29" ht="20.25">
      <c r="A24" s="532"/>
      <c r="B24" s="578"/>
      <c r="C24" s="554" t="s">
        <v>3145</v>
      </c>
      <c r="D24" s="557"/>
      <c r="E24" s="558" t="s">
        <v>3178</v>
      </c>
      <c r="F24" s="555"/>
      <c r="G24" s="556" t="s">
        <v>3145</v>
      </c>
      <c r="H24" s="555"/>
      <c r="I24" s="558" t="s">
        <v>3145</v>
      </c>
      <c r="J24" s="555"/>
      <c r="K24" s="531"/>
      <c r="L24" s="2126"/>
      <c r="M24" s="2116"/>
      <c r="N24" s="2116"/>
      <c r="O24" s="2125"/>
      <c r="P24" s="3411"/>
      <c r="Q24" s="1557"/>
      <c r="R24" s="1558"/>
      <c r="S24" s="1559"/>
      <c r="T24" s="1558"/>
      <c r="U24" s="1559"/>
      <c r="V24" s="1558"/>
      <c r="W24" s="1559"/>
      <c r="X24" s="1552"/>
      <c r="Y24" s="3411"/>
      <c r="Z24" s="1560"/>
      <c r="AA24" s="1561">
        <v>1</v>
      </c>
      <c r="AB24" s="1561">
        <v>1</v>
      </c>
      <c r="AC24" s="1561">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11"/>
      <c r="Q25" s="1557" t="str">
        <f t="shared" ref="Q25:Q39" si="8">B25</f>
        <v>区域土地利用方向</v>
      </c>
      <c r="R25" s="1558" t="s">
        <v>8</v>
      </c>
      <c r="S25" s="1559">
        <f>F25</f>
        <v>100</v>
      </c>
      <c r="T25" s="1558" t="s">
        <v>8</v>
      </c>
      <c r="U25" s="1559">
        <f>H25</f>
        <v>100</v>
      </c>
      <c r="V25" s="1558" t="s">
        <v>8</v>
      </c>
      <c r="W25" s="1559">
        <f>J25</f>
        <v>100</v>
      </c>
      <c r="X25" s="1552"/>
      <c r="Y25" s="3411"/>
      <c r="Z25" s="1560" t="str">
        <f>Q25</f>
        <v>区域土地利用方向</v>
      </c>
      <c r="AA25" s="1561">
        <f t="shared" si="3"/>
        <v>1</v>
      </c>
      <c r="AB25" s="1561">
        <f t="shared" si="4"/>
        <v>1</v>
      </c>
      <c r="AC25" s="1561">
        <f t="shared" si="5"/>
        <v>1</v>
      </c>
    </row>
    <row r="26" spans="1:29" ht="20.25">
      <c r="A26" s="515"/>
      <c r="B26" s="1007"/>
      <c r="C26" s="554" t="s">
        <v>3145</v>
      </c>
      <c r="D26" s="557"/>
      <c r="E26" s="558" t="s">
        <v>3145</v>
      </c>
      <c r="F26" s="555"/>
      <c r="G26" s="556" t="s">
        <v>3145</v>
      </c>
      <c r="H26" s="555"/>
      <c r="I26" s="558" t="s">
        <v>3145</v>
      </c>
      <c r="J26" s="555"/>
      <c r="K26" s="531"/>
      <c r="L26" s="2126"/>
      <c r="M26" s="2116"/>
      <c r="N26" s="2116"/>
      <c r="O26" s="2125"/>
      <c r="P26" s="3411"/>
      <c r="Q26" s="1557"/>
      <c r="R26" s="1558"/>
      <c r="S26" s="1559"/>
      <c r="T26" s="1558"/>
      <c r="U26" s="1559"/>
      <c r="V26" s="1558"/>
      <c r="W26" s="1559"/>
      <c r="X26" s="1552"/>
      <c r="Y26" s="3411"/>
      <c r="Z26" s="1560"/>
      <c r="AA26" s="1561"/>
      <c r="AB26" s="1561"/>
      <c r="AC26" s="1561"/>
    </row>
    <row r="27" spans="1:29" ht="27">
      <c r="A27" s="515"/>
      <c r="B27" s="578" t="s">
        <v>544</v>
      </c>
      <c r="C27" s="561" t="str">
        <f>估价对象房地状况!C20</f>
        <v>较好</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6"/>
      <c r="M27" s="2116"/>
      <c r="N27" s="2116"/>
      <c r="O27" s="2125"/>
      <c r="P27" s="3411"/>
      <c r="Q27" s="1557" t="str">
        <f t="shared" si="8"/>
        <v>自然及人文环境状况</v>
      </c>
      <c r="R27" s="1558" t="s">
        <v>8</v>
      </c>
      <c r="S27" s="1559">
        <f>F27</f>
        <v>98</v>
      </c>
      <c r="T27" s="1558" t="s">
        <v>8</v>
      </c>
      <c r="U27" s="1559">
        <f>H27</f>
        <v>102</v>
      </c>
      <c r="V27" s="1558" t="s">
        <v>8</v>
      </c>
      <c r="W27" s="1559">
        <f>J27</f>
        <v>100</v>
      </c>
      <c r="X27" s="1552"/>
      <c r="Y27" s="3411"/>
      <c r="Z27" s="1560" t="str">
        <f>Q27</f>
        <v>自然及人文环境状况</v>
      </c>
      <c r="AA27" s="1561">
        <f t="shared" si="3"/>
        <v>1.0204081632653061</v>
      </c>
      <c r="AB27" s="1561">
        <f t="shared" si="4"/>
        <v>0.98039215686274506</v>
      </c>
      <c r="AC27" s="1561">
        <f t="shared" si="5"/>
        <v>1</v>
      </c>
    </row>
    <row r="28" spans="1:29" ht="20.25">
      <c r="A28" s="515"/>
      <c r="B28" s="566"/>
      <c r="C28" s="554" t="s">
        <v>3145</v>
      </c>
      <c r="D28" s="557"/>
      <c r="E28" s="576" t="s">
        <v>3178</v>
      </c>
      <c r="F28" s="555"/>
      <c r="G28" s="554" t="s">
        <v>3146</v>
      </c>
      <c r="H28" s="555"/>
      <c r="I28" s="576" t="s">
        <v>3145</v>
      </c>
      <c r="J28" s="555"/>
      <c r="K28" s="531"/>
      <c r="L28" s="2126"/>
      <c r="M28" s="2116"/>
      <c r="N28" s="2116"/>
      <c r="O28" s="2125"/>
      <c r="P28" s="3411"/>
      <c r="Q28" s="1557"/>
      <c r="R28" s="1558"/>
      <c r="S28" s="1559"/>
      <c r="T28" s="1558"/>
      <c r="U28" s="1559"/>
      <c r="V28" s="1558"/>
      <c r="W28" s="1559"/>
      <c r="X28" s="1552"/>
      <c r="Y28" s="3411"/>
      <c r="Z28" s="1560"/>
      <c r="AA28" s="1561">
        <v>1</v>
      </c>
      <c r="AB28" s="1561">
        <v>1</v>
      </c>
      <c r="AC28" s="1561">
        <v>1</v>
      </c>
    </row>
    <row r="29" spans="1:29" s="1216" customFormat="1" ht="20.25">
      <c r="A29" s="577"/>
      <c r="B29" s="2554" t="s">
        <v>2546</v>
      </c>
      <c r="C29" s="573" t="str">
        <f>估价对象房地状况!C21</f>
        <v>较好</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19"/>
      <c r="M29" s="2116"/>
      <c r="N29" s="2116"/>
      <c r="O29" s="2121"/>
      <c r="P29" s="3411"/>
      <c r="Q29" s="1147" t="str">
        <f t="shared" si="8"/>
        <v>公共配套设施</v>
      </c>
      <c r="R29" s="1553" t="s">
        <v>8</v>
      </c>
      <c r="S29" s="1554">
        <f>F29</f>
        <v>98</v>
      </c>
      <c r="T29" s="1553" t="s">
        <v>8</v>
      </c>
      <c r="U29" s="1554">
        <f>H29</f>
        <v>102</v>
      </c>
      <c r="V29" s="1553" t="s">
        <v>8</v>
      </c>
      <c r="W29" s="1554">
        <f>J29</f>
        <v>100</v>
      </c>
      <c r="X29" s="1555"/>
      <c r="Y29" s="3411"/>
      <c r="Z29" s="1146" t="str">
        <f>Q29</f>
        <v>公共配套设施</v>
      </c>
      <c r="AA29" s="1561">
        <f>D29/F29</f>
        <v>1.0204081632653061</v>
      </c>
      <c r="AB29" s="1561">
        <f>D29/H29</f>
        <v>0.98039215686274506</v>
      </c>
      <c r="AC29" s="1561">
        <f>D29/J29</f>
        <v>1</v>
      </c>
    </row>
    <row r="30" spans="1:29" s="1216" customFormat="1" ht="20.25">
      <c r="A30" s="577"/>
      <c r="B30" s="566"/>
      <c r="C30" s="579" t="s">
        <v>3145</v>
      </c>
      <c r="D30" s="557"/>
      <c r="E30" s="576" t="s">
        <v>3178</v>
      </c>
      <c r="F30" s="555"/>
      <c r="G30" s="554" t="s">
        <v>3146</v>
      </c>
      <c r="H30" s="555"/>
      <c r="I30" s="576" t="s">
        <v>3145</v>
      </c>
      <c r="J30" s="555"/>
      <c r="K30" s="531"/>
      <c r="L30" s="2119"/>
      <c r="M30" s="2116"/>
      <c r="N30" s="2116"/>
      <c r="O30" s="2121"/>
      <c r="P30" s="3411"/>
      <c r="Q30" s="1147"/>
      <c r="R30" s="1553"/>
      <c r="S30" s="1554"/>
      <c r="T30" s="1553"/>
      <c r="U30" s="1554"/>
      <c r="V30" s="1553"/>
      <c r="W30" s="1554"/>
      <c r="X30" s="1555"/>
      <c r="Y30" s="3411"/>
      <c r="Z30" s="1146"/>
      <c r="AA30" s="1561">
        <v>1</v>
      </c>
      <c r="AB30" s="1561">
        <v>1</v>
      </c>
      <c r="AC30" s="1561">
        <v>1</v>
      </c>
    </row>
    <row r="31" spans="1:29" s="1216" customFormat="1" ht="20.25">
      <c r="A31" s="577"/>
      <c r="B31" s="2554" t="s">
        <v>2547</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11"/>
      <c r="Q31" s="2541" t="str">
        <f t="shared" ref="Q31" si="9">B31</f>
        <v>基础设施水平</v>
      </c>
      <c r="R31" s="1553" t="s">
        <v>8</v>
      </c>
      <c r="S31" s="1554">
        <f>F31</f>
        <v>100</v>
      </c>
      <c r="T31" s="1553" t="s">
        <v>8</v>
      </c>
      <c r="U31" s="1554">
        <f>H31</f>
        <v>100</v>
      </c>
      <c r="V31" s="1553" t="s">
        <v>8</v>
      </c>
      <c r="W31" s="1554">
        <f>J31</f>
        <v>100</v>
      </c>
      <c r="X31" s="1555"/>
      <c r="Y31" s="3411"/>
      <c r="Z31" s="2538" t="str">
        <f>Q31</f>
        <v>基础设施水平</v>
      </c>
      <c r="AA31" s="1561">
        <f>D31/F31</f>
        <v>1</v>
      </c>
      <c r="AB31" s="1561">
        <f>D31/H31</f>
        <v>1</v>
      </c>
      <c r="AC31" s="1561">
        <f>D31/J31</f>
        <v>1</v>
      </c>
    </row>
    <row r="32" spans="1:29" s="1216" customFormat="1" ht="20.25">
      <c r="A32" s="577"/>
      <c r="B32" s="566"/>
      <c r="C32" s="579" t="s">
        <v>3147</v>
      </c>
      <c r="D32" s="557"/>
      <c r="E32" s="2555" t="s">
        <v>3147</v>
      </c>
      <c r="F32" s="555"/>
      <c r="G32" s="579" t="s">
        <v>3147</v>
      </c>
      <c r="H32" s="555"/>
      <c r="I32" s="579" t="s">
        <v>3147</v>
      </c>
      <c r="J32" s="555"/>
      <c r="K32" s="531"/>
      <c r="L32" s="2119"/>
      <c r="M32" s="2116"/>
      <c r="N32" s="2116"/>
      <c r="O32" s="2121"/>
      <c r="P32" s="3411"/>
      <c r="Q32" s="2541"/>
      <c r="R32" s="1553"/>
      <c r="S32" s="1554"/>
      <c r="T32" s="1553"/>
      <c r="U32" s="1554"/>
      <c r="V32" s="1553"/>
      <c r="W32" s="1554"/>
      <c r="X32" s="1555"/>
      <c r="Y32" s="3411"/>
      <c r="Z32" s="2538"/>
      <c r="AA32" s="1561">
        <v>1</v>
      </c>
      <c r="AB32" s="1561">
        <v>1</v>
      </c>
      <c r="AC32" s="1561">
        <v>1</v>
      </c>
    </row>
    <row r="33" spans="1:29" ht="20.25">
      <c r="A33" s="532"/>
      <c r="B33" s="566" t="s">
        <v>546</v>
      </c>
      <c r="C33" s="580" t="s">
        <v>3205</v>
      </c>
      <c r="D33" s="575">
        <v>100</v>
      </c>
      <c r="E33" s="583" t="s">
        <v>3205</v>
      </c>
      <c r="F33" s="540">
        <f>SUMIF(106:106,E33,107:107)-SUMIF(106:106,C33,107:107)+100</f>
        <v>100</v>
      </c>
      <c r="G33" s="580" t="s">
        <v>3205</v>
      </c>
      <c r="H33" s="540">
        <f>SUMIF(106:106,G33,107:107)-SUMIF(106:106,C33,107:107)+100</f>
        <v>100</v>
      </c>
      <c r="I33" s="580" t="s">
        <v>3205</v>
      </c>
      <c r="J33" s="540">
        <f>SUMIF(106:106,I33,107:107)-SUMIF(106:106,C33,107:107)+100</f>
        <v>100</v>
      </c>
      <c r="K33" s="535"/>
      <c r="L33" s="2126"/>
      <c r="M33" s="2116"/>
      <c r="N33" s="2116"/>
      <c r="O33" s="2125"/>
      <c r="P33" s="3411"/>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11"/>
      <c r="Z33" s="1560" t="str">
        <f t="shared" ref="Z33:Z47" si="13">Q33</f>
        <v>临街状况</v>
      </c>
      <c r="AA33" s="1561">
        <f t="shared" si="3"/>
        <v>1</v>
      </c>
      <c r="AB33" s="1561">
        <f t="shared" si="4"/>
        <v>1</v>
      </c>
      <c r="AC33" s="1561">
        <f t="shared" si="5"/>
        <v>1</v>
      </c>
    </row>
    <row r="34" spans="1:29" ht="27">
      <c r="A34" s="532"/>
      <c r="B34" s="578" t="s">
        <v>547</v>
      </c>
      <c r="C34" s="3529" t="s">
        <v>3224</v>
      </c>
      <c r="D34" s="563">
        <v>100</v>
      </c>
      <c r="E34" s="3530" t="s">
        <v>3228</v>
      </c>
      <c r="F34" s="559">
        <f>SUMIF(108:108,E35,109:109)-SUMIF(108:108,C35,109:109)+100</f>
        <v>102</v>
      </c>
      <c r="G34" s="3529" t="s">
        <v>3225</v>
      </c>
      <c r="H34" s="559">
        <f>SUMIF(108:108,G35,109:109)-SUMIF(108:108,C35,109:109)+100</f>
        <v>102</v>
      </c>
      <c r="I34" s="3530" t="s">
        <v>3227</v>
      </c>
      <c r="J34" s="559">
        <f>SUMIF(108:108,I35,109:109)-SUMIF(108:108,C35,109:109)+100</f>
        <v>102</v>
      </c>
      <c r="K34" s="535">
        <v>1</v>
      </c>
      <c r="L34" s="2126"/>
      <c r="M34" s="2116"/>
      <c r="N34" s="2116"/>
      <c r="O34" s="2125"/>
      <c r="P34" s="3411"/>
      <c r="Q34" s="1557" t="str">
        <f t="shared" si="8"/>
        <v>毗邻道路的类型与等级</v>
      </c>
      <c r="R34" s="1558" t="s">
        <v>8</v>
      </c>
      <c r="S34" s="1559">
        <f t="shared" si="10"/>
        <v>102</v>
      </c>
      <c r="T34" s="1558" t="s">
        <v>8</v>
      </c>
      <c r="U34" s="1559">
        <f t="shared" si="11"/>
        <v>102</v>
      </c>
      <c r="V34" s="1558" t="s">
        <v>8</v>
      </c>
      <c r="W34" s="1559">
        <f t="shared" si="12"/>
        <v>102</v>
      </c>
      <c r="X34" s="1552"/>
      <c r="Y34" s="3411"/>
      <c r="Z34" s="1560" t="str">
        <f t="shared" si="13"/>
        <v>毗邻道路的类型与等级</v>
      </c>
      <c r="AA34" s="1561">
        <f t="shared" si="3"/>
        <v>0.98039215686274506</v>
      </c>
      <c r="AB34" s="1561">
        <f t="shared" si="4"/>
        <v>0.98039215686274506</v>
      </c>
      <c r="AC34" s="1561">
        <f t="shared" si="5"/>
        <v>0.98039215686274506</v>
      </c>
    </row>
    <row r="35" spans="1:29" ht="20.25">
      <c r="A35" s="532"/>
      <c r="B35" s="566"/>
      <c r="C35" s="554" t="s">
        <v>3223</v>
      </c>
      <c r="D35" s="557"/>
      <c r="E35" s="576" t="s">
        <v>3226</v>
      </c>
      <c r="F35" s="555"/>
      <c r="G35" s="554" t="s">
        <v>3226</v>
      </c>
      <c r="H35" s="555"/>
      <c r="I35" s="576" t="s">
        <v>3226</v>
      </c>
      <c r="J35" s="555"/>
      <c r="K35" s="581"/>
      <c r="L35" s="2126"/>
      <c r="M35" s="2116"/>
      <c r="N35" s="2116"/>
      <c r="O35" s="2125"/>
      <c r="P35" s="3411"/>
      <c r="Q35" s="1557"/>
      <c r="R35" s="1558"/>
      <c r="S35" s="1559"/>
      <c r="T35" s="1558"/>
      <c r="U35" s="1559"/>
      <c r="V35" s="1558"/>
      <c r="W35" s="1559"/>
      <c r="X35" s="1552"/>
      <c r="Y35" s="3411"/>
      <c r="Z35" s="1560"/>
      <c r="AA35" s="1561">
        <v>1</v>
      </c>
      <c r="AB35" s="1561">
        <v>1</v>
      </c>
      <c r="AC35" s="1561">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11"/>
      <c r="Q36" s="1557" t="str">
        <f t="shared" si="8"/>
        <v>土地级别</v>
      </c>
      <c r="R36" s="1558" t="s">
        <v>8</v>
      </c>
      <c r="S36" s="1559">
        <f t="shared" si="10"/>
        <v>100</v>
      </c>
      <c r="T36" s="1558" t="s">
        <v>8</v>
      </c>
      <c r="U36" s="1559">
        <f t="shared" si="11"/>
        <v>100</v>
      </c>
      <c r="V36" s="1558" t="s">
        <v>8</v>
      </c>
      <c r="W36" s="1559">
        <f t="shared" si="12"/>
        <v>100</v>
      </c>
      <c r="X36" s="1552"/>
      <c r="Y36" s="3411"/>
      <c r="Z36" s="1560" t="str">
        <f t="shared" si="13"/>
        <v>土地级别</v>
      </c>
      <c r="AA36" s="1561">
        <f t="shared" si="3"/>
        <v>1</v>
      </c>
      <c r="AB36" s="1561">
        <f t="shared" si="4"/>
        <v>1</v>
      </c>
      <c r="AC36" s="1561">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11"/>
      <c r="Q37" s="1557">
        <f t="shared" si="8"/>
        <v>111</v>
      </c>
      <c r="R37" s="1558" t="s">
        <v>8</v>
      </c>
      <c r="S37" s="1559">
        <f t="shared" si="10"/>
        <v>100</v>
      </c>
      <c r="T37" s="1558" t="s">
        <v>8</v>
      </c>
      <c r="U37" s="1559">
        <f t="shared" si="11"/>
        <v>100</v>
      </c>
      <c r="V37" s="1558" t="s">
        <v>8</v>
      </c>
      <c r="W37" s="1559">
        <f t="shared" si="12"/>
        <v>100</v>
      </c>
      <c r="X37" s="1552"/>
      <c r="Y37" s="3411"/>
      <c r="Z37" s="1560">
        <f t="shared" si="13"/>
        <v>111</v>
      </c>
      <c r="AA37" s="1561">
        <f t="shared" si="3"/>
        <v>1</v>
      </c>
      <c r="AB37" s="1561">
        <f t="shared" si="4"/>
        <v>1</v>
      </c>
      <c r="AC37" s="1561">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12" t="s">
        <v>549</v>
      </c>
      <c r="Q38" s="1557">
        <f t="shared" si="8"/>
        <v>111</v>
      </c>
      <c r="R38" s="1558" t="s">
        <v>8</v>
      </c>
      <c r="S38" s="1559">
        <f t="shared" si="10"/>
        <v>100</v>
      </c>
      <c r="T38" s="1558" t="s">
        <v>8</v>
      </c>
      <c r="U38" s="1559">
        <f t="shared" si="11"/>
        <v>100</v>
      </c>
      <c r="V38" s="1558" t="s">
        <v>8</v>
      </c>
      <c r="W38" s="1559">
        <f t="shared" si="12"/>
        <v>100</v>
      </c>
      <c r="X38" s="1552"/>
      <c r="Y38" s="3413" t="s">
        <v>549</v>
      </c>
      <c r="Z38" s="1560">
        <f t="shared" si="13"/>
        <v>111</v>
      </c>
      <c r="AA38" s="1561">
        <f t="shared" si="3"/>
        <v>1</v>
      </c>
      <c r="AB38" s="1561">
        <f t="shared" si="4"/>
        <v>1</v>
      </c>
      <c r="AC38" s="1561">
        <f t="shared" si="5"/>
        <v>1</v>
      </c>
    </row>
    <row r="39" spans="1:29" s="1333"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13"/>
      <c r="Q39" s="1557">
        <f t="shared" si="8"/>
        <v>111</v>
      </c>
      <c r="R39" s="1562" t="s">
        <v>8</v>
      </c>
      <c r="S39" s="1563">
        <f t="shared" si="10"/>
        <v>100</v>
      </c>
      <c r="T39" s="1562" t="s">
        <v>8</v>
      </c>
      <c r="U39" s="1563">
        <f t="shared" si="11"/>
        <v>100</v>
      </c>
      <c r="V39" s="1562" t="s">
        <v>8</v>
      </c>
      <c r="W39" s="1563">
        <f t="shared" si="12"/>
        <v>100</v>
      </c>
      <c r="X39" s="1564"/>
      <c r="Y39" s="3413"/>
      <c r="Z39" s="1565">
        <f t="shared" si="13"/>
        <v>111</v>
      </c>
      <c r="AA39" s="1561">
        <f t="shared" si="3"/>
        <v>1</v>
      </c>
      <c r="AB39" s="1561">
        <f t="shared" si="4"/>
        <v>1</v>
      </c>
      <c r="AC39" s="1561">
        <f t="shared" si="5"/>
        <v>1</v>
      </c>
    </row>
    <row r="40" spans="1:29" ht="20.25">
      <c r="A40" s="2861"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6"/>
      <c r="M40" s="2116"/>
      <c r="N40" s="2116"/>
      <c r="O40" s="2125"/>
      <c r="P40" s="3413"/>
      <c r="Q40" s="1557" t="str">
        <f>B40</f>
        <v>宗地面积</v>
      </c>
      <c r="R40" s="1558" t="s">
        <v>8</v>
      </c>
      <c r="S40" s="1559">
        <f t="shared" si="10"/>
        <v>106</v>
      </c>
      <c r="T40" s="1558" t="s">
        <v>8</v>
      </c>
      <c r="U40" s="1559">
        <f t="shared" si="11"/>
        <v>100</v>
      </c>
      <c r="V40" s="1558" t="s">
        <v>8</v>
      </c>
      <c r="W40" s="1559">
        <f t="shared" si="12"/>
        <v>91</v>
      </c>
      <c r="X40" s="1552"/>
      <c r="Y40" s="3413"/>
      <c r="Z40" s="1560" t="str">
        <f t="shared" si="13"/>
        <v>宗地面积</v>
      </c>
      <c r="AA40" s="1561">
        <f t="shared" si="3"/>
        <v>0.94339622641509435</v>
      </c>
      <c r="AB40" s="1561">
        <f t="shared" si="4"/>
        <v>1</v>
      </c>
      <c r="AC40" s="1561">
        <f t="shared" si="5"/>
        <v>1.098901098901099</v>
      </c>
    </row>
    <row r="41" spans="1:29" ht="20.25">
      <c r="A41" s="594"/>
      <c r="B41" s="527" t="s">
        <v>552</v>
      </c>
      <c r="C41" s="599" t="s">
        <v>3187</v>
      </c>
      <c r="D41" s="540">
        <v>100</v>
      </c>
      <c r="E41" s="599" t="s">
        <v>3187</v>
      </c>
      <c r="F41" s="540">
        <f>SUMIF(121:121,E41,122:122)-SUMIF(121:121,C41,122:122)+100</f>
        <v>100</v>
      </c>
      <c r="G41" s="599" t="s">
        <v>3187</v>
      </c>
      <c r="H41" s="540">
        <f>SUMIF(121:121,G41,122:122)-SUMIF(121:121,C41,122:122)+100</f>
        <v>100</v>
      </c>
      <c r="I41" s="599" t="s">
        <v>3187</v>
      </c>
      <c r="J41" s="540">
        <f>SUMIF(121:121,I41,122:122)-SUMIF(121:121,C41,122:122)+100</f>
        <v>100</v>
      </c>
      <c r="K41" s="584">
        <v>5</v>
      </c>
      <c r="L41" s="2126"/>
      <c r="M41" s="2116"/>
      <c r="N41" s="2116"/>
      <c r="O41" s="2125"/>
      <c r="P41" s="3413"/>
      <c r="Q41" s="1557" t="str">
        <f t="shared" ref="Q41:Q47" si="14">B41</f>
        <v>宗地形状</v>
      </c>
      <c r="R41" s="1558" t="s">
        <v>8</v>
      </c>
      <c r="S41" s="1559">
        <f t="shared" si="10"/>
        <v>100</v>
      </c>
      <c r="T41" s="1558" t="s">
        <v>8</v>
      </c>
      <c r="U41" s="1559">
        <f t="shared" si="11"/>
        <v>100</v>
      </c>
      <c r="V41" s="1558" t="s">
        <v>8</v>
      </c>
      <c r="W41" s="1559">
        <f t="shared" si="12"/>
        <v>100</v>
      </c>
      <c r="X41" s="1552"/>
      <c r="Y41" s="3413"/>
      <c r="Z41" s="1560" t="str">
        <f t="shared" si="13"/>
        <v>宗地形状</v>
      </c>
      <c r="AA41" s="1561">
        <f t="shared" si="3"/>
        <v>1</v>
      </c>
      <c r="AB41" s="1561">
        <f t="shared" si="4"/>
        <v>1</v>
      </c>
      <c r="AC41" s="1561">
        <f t="shared" si="5"/>
        <v>1</v>
      </c>
    </row>
    <row r="42" spans="1:29" ht="20.25">
      <c r="A42" s="594"/>
      <c r="B42" s="527" t="s">
        <v>553</v>
      </c>
      <c r="C42" s="599" t="s">
        <v>3193</v>
      </c>
      <c r="D42" s="540">
        <v>100</v>
      </c>
      <c r="E42" s="599" t="s">
        <v>3193</v>
      </c>
      <c r="F42" s="540">
        <f>SUMIF(123:123,E42,124:124)-SUMIF(123:123,C42,124:124)+100</f>
        <v>100</v>
      </c>
      <c r="G42" s="599" t="s">
        <v>3193</v>
      </c>
      <c r="H42" s="540">
        <f>SUMIF(123:123,G42,124:124)-SUMIF(123:123,C42,124:124)+100</f>
        <v>100</v>
      </c>
      <c r="I42" s="599" t="s">
        <v>3193</v>
      </c>
      <c r="J42" s="540">
        <f>SUMIF(123:123,I42,124:124)-SUMIF(123:123,C42,124:124)+100</f>
        <v>100</v>
      </c>
      <c r="K42" s="584">
        <v>3</v>
      </c>
      <c r="L42" s="2126"/>
      <c r="M42" s="2116"/>
      <c r="N42" s="2116"/>
      <c r="O42" s="2125"/>
      <c r="P42" s="3413"/>
      <c r="Q42" s="1557" t="str">
        <f t="shared" si="14"/>
        <v>临街宽度及深度</v>
      </c>
      <c r="R42" s="1558" t="s">
        <v>8</v>
      </c>
      <c r="S42" s="1559">
        <f t="shared" si="10"/>
        <v>100</v>
      </c>
      <c r="T42" s="1558" t="s">
        <v>8</v>
      </c>
      <c r="U42" s="1559">
        <f t="shared" si="11"/>
        <v>100</v>
      </c>
      <c r="V42" s="1558" t="s">
        <v>8</v>
      </c>
      <c r="W42" s="1559">
        <f t="shared" si="12"/>
        <v>100</v>
      </c>
      <c r="X42" s="1552"/>
      <c r="Y42" s="3413"/>
      <c r="Z42" s="1560" t="str">
        <f t="shared" si="13"/>
        <v>临街宽度及深度</v>
      </c>
      <c r="AA42" s="1561">
        <f t="shared" si="3"/>
        <v>1</v>
      </c>
      <c r="AB42" s="1561">
        <f t="shared" si="4"/>
        <v>1</v>
      </c>
      <c r="AC42" s="1561">
        <f t="shared" si="5"/>
        <v>1</v>
      </c>
    </row>
    <row r="43" spans="1:29" s="1216" customFormat="1" ht="20.25">
      <c r="A43" s="600"/>
      <c r="B43" s="1879" t="s">
        <v>2423</v>
      </c>
      <c r="C43" s="3217" t="s">
        <v>3147</v>
      </c>
      <c r="D43" s="255">
        <v>100</v>
      </c>
      <c r="E43" s="601" t="s">
        <v>3199</v>
      </c>
      <c r="F43" s="540">
        <f>SUMIF(125:125,E43,126:126)-SUMIF(125:125,C43,126:126)+100</f>
        <v>97</v>
      </c>
      <c r="G43" s="601" t="s">
        <v>3199</v>
      </c>
      <c r="H43" s="540">
        <f>SUMIF(125:125,G43,126:126)-SUMIF(125:125,C43,126:126)+100</f>
        <v>97</v>
      </c>
      <c r="I43" s="601" t="s">
        <v>3199</v>
      </c>
      <c r="J43" s="540">
        <f>SUMIF(125:125,I43,126:126)-SUMIF(125:125,C43,126:126)+100</f>
        <v>97</v>
      </c>
      <c r="K43" s="584">
        <v>1</v>
      </c>
      <c r="L43" s="2119"/>
      <c r="M43" s="2116"/>
      <c r="N43" s="2116"/>
      <c r="O43" s="2121"/>
      <c r="P43" s="3413"/>
      <c r="Q43" s="1557" t="str">
        <f t="shared" si="14"/>
        <v>宗地开发程度</v>
      </c>
      <c r="R43" s="1553" t="s">
        <v>8</v>
      </c>
      <c r="S43" s="1554">
        <f t="shared" si="10"/>
        <v>97</v>
      </c>
      <c r="T43" s="1553" t="s">
        <v>8</v>
      </c>
      <c r="U43" s="1554">
        <f t="shared" si="11"/>
        <v>97</v>
      </c>
      <c r="V43" s="1553" t="s">
        <v>8</v>
      </c>
      <c r="W43" s="1554">
        <f t="shared" si="12"/>
        <v>97</v>
      </c>
      <c r="X43" s="1555"/>
      <c r="Y43" s="3413"/>
      <c r="Z43" s="1146" t="str">
        <f t="shared" si="13"/>
        <v>宗地开发程度</v>
      </c>
      <c r="AA43" s="1556">
        <f t="shared" si="3"/>
        <v>1.0309278350515463</v>
      </c>
      <c r="AB43" s="1556">
        <f t="shared" si="4"/>
        <v>1.0309278350515463</v>
      </c>
      <c r="AC43" s="1556">
        <f t="shared" si="5"/>
        <v>1.0309278350515463</v>
      </c>
    </row>
    <row r="44" spans="1:29" ht="20.25">
      <c r="A44" s="594"/>
      <c r="B44" s="527" t="s">
        <v>554</v>
      </c>
      <c r="C44" s="599" t="s">
        <v>3145</v>
      </c>
      <c r="D44" s="540">
        <v>100</v>
      </c>
      <c r="E44" s="599" t="s">
        <v>3145</v>
      </c>
      <c r="F44" s="540">
        <f>SUMIF(127:127,E44,128:128)-SUMIF(127:127,C44,128:128)+100</f>
        <v>100</v>
      </c>
      <c r="G44" s="599" t="s">
        <v>3145</v>
      </c>
      <c r="H44" s="540">
        <f>SUMIF(127:127,G44,128:128)-SUMIF(127:127,C44,128:128)+100</f>
        <v>100</v>
      </c>
      <c r="I44" s="599" t="s">
        <v>3145</v>
      </c>
      <c r="J44" s="540">
        <f>SUMIF(127:127,I44,128:128)-SUMIF(127:127,C44,128:128)+100</f>
        <v>100</v>
      </c>
      <c r="K44" s="584">
        <v>2</v>
      </c>
      <c r="L44" s="2126"/>
      <c r="M44" s="2116"/>
      <c r="N44" s="2116"/>
      <c r="O44" s="2125"/>
      <c r="P44" s="3413" t="s">
        <v>549</v>
      </c>
      <c r="Q44" s="1557" t="str">
        <f t="shared" si="14"/>
        <v>工程地质条件</v>
      </c>
      <c r="R44" s="1558" t="s">
        <v>8</v>
      </c>
      <c r="S44" s="1559">
        <f t="shared" si="10"/>
        <v>100</v>
      </c>
      <c r="T44" s="1558" t="s">
        <v>8</v>
      </c>
      <c r="U44" s="1559">
        <f t="shared" si="11"/>
        <v>100</v>
      </c>
      <c r="V44" s="1558" t="s">
        <v>8</v>
      </c>
      <c r="W44" s="1559">
        <f t="shared" si="12"/>
        <v>100</v>
      </c>
      <c r="X44" s="1552"/>
      <c r="Y44" s="3413" t="s">
        <v>549</v>
      </c>
      <c r="Z44" s="1560" t="str">
        <f t="shared" si="13"/>
        <v>工程地质条件</v>
      </c>
      <c r="AA44" s="1561">
        <f t="shared" si="3"/>
        <v>1</v>
      </c>
      <c r="AB44" s="1561">
        <f t="shared" si="4"/>
        <v>1</v>
      </c>
      <c r="AC44" s="1561">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13"/>
      <c r="Q45" s="1557">
        <f t="shared" si="14"/>
        <v>111</v>
      </c>
      <c r="R45" s="1558" t="s">
        <v>8</v>
      </c>
      <c r="S45" s="1559">
        <f t="shared" si="10"/>
        <v>100</v>
      </c>
      <c r="T45" s="1558" t="s">
        <v>8</v>
      </c>
      <c r="U45" s="1559">
        <f t="shared" si="11"/>
        <v>100</v>
      </c>
      <c r="V45" s="1558" t="s">
        <v>8</v>
      </c>
      <c r="W45" s="1559">
        <f t="shared" si="12"/>
        <v>100</v>
      </c>
      <c r="X45" s="1552"/>
      <c r="Y45" s="3413"/>
      <c r="Z45" s="1560">
        <f t="shared" si="13"/>
        <v>111</v>
      </c>
      <c r="AA45" s="1561">
        <f t="shared" si="3"/>
        <v>1</v>
      </c>
      <c r="AB45" s="1561">
        <f t="shared" si="4"/>
        <v>1</v>
      </c>
      <c r="AC45" s="1561">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13"/>
      <c r="Q46" s="1557">
        <f t="shared" si="14"/>
        <v>111</v>
      </c>
      <c r="R46" s="1558" t="s">
        <v>8</v>
      </c>
      <c r="S46" s="1559">
        <f t="shared" si="10"/>
        <v>100</v>
      </c>
      <c r="T46" s="1558" t="s">
        <v>8</v>
      </c>
      <c r="U46" s="1559">
        <f t="shared" si="11"/>
        <v>100</v>
      </c>
      <c r="V46" s="1558" t="s">
        <v>8</v>
      </c>
      <c r="W46" s="1559">
        <f t="shared" si="12"/>
        <v>100</v>
      </c>
      <c r="X46" s="1552"/>
      <c r="Y46" s="3413"/>
      <c r="Z46" s="1560">
        <f t="shared" si="13"/>
        <v>111</v>
      </c>
      <c r="AA46" s="1561">
        <f t="shared" si="3"/>
        <v>1</v>
      </c>
      <c r="AB46" s="1561">
        <f t="shared" si="4"/>
        <v>1</v>
      </c>
      <c r="AC46" s="1561">
        <f t="shared" si="5"/>
        <v>1</v>
      </c>
    </row>
    <row r="47" spans="1:29" s="1333"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13"/>
      <c r="Q47" s="1557">
        <f t="shared" si="14"/>
        <v>111</v>
      </c>
      <c r="R47" s="1562" t="s">
        <v>8</v>
      </c>
      <c r="S47" s="1563">
        <f t="shared" si="10"/>
        <v>100</v>
      </c>
      <c r="T47" s="1562" t="s">
        <v>8</v>
      </c>
      <c r="U47" s="1563">
        <f t="shared" si="11"/>
        <v>100</v>
      </c>
      <c r="V47" s="1562" t="s">
        <v>8</v>
      </c>
      <c r="W47" s="1563">
        <f t="shared" si="12"/>
        <v>100</v>
      </c>
      <c r="X47" s="1564"/>
      <c r="Y47" s="3413"/>
      <c r="Z47" s="1565">
        <f t="shared" si="13"/>
        <v>111</v>
      </c>
      <c r="AA47" s="1561">
        <f t="shared" si="3"/>
        <v>1</v>
      </c>
      <c r="AB47" s="1561">
        <f t="shared" si="4"/>
        <v>1</v>
      </c>
      <c r="AC47" s="1561">
        <f t="shared" si="5"/>
        <v>1</v>
      </c>
    </row>
    <row r="48" spans="1:29" ht="20.25">
      <c r="A48" s="607" t="s">
        <v>555</v>
      </c>
      <c r="B48" s="608" t="s">
        <v>2994</v>
      </c>
      <c r="C48" s="609" t="s">
        <v>1</v>
      </c>
      <c r="D48" s="610"/>
      <c r="E48" s="611">
        <f>土地案例!L13</f>
        <v>2524</v>
      </c>
      <c r="F48" s="612"/>
      <c r="G48" s="613">
        <f>土地案例!L20</f>
        <v>2377</v>
      </c>
      <c r="H48" s="614"/>
      <c r="I48" s="611">
        <f>土地案例!L28</f>
        <v>2282</v>
      </c>
      <c r="J48" s="614"/>
      <c r="K48" s="1334"/>
      <c r="L48" s="2128"/>
      <c r="M48" s="2116"/>
      <c r="N48" s="2116"/>
      <c r="O48" s="2129"/>
      <c r="P48" s="3408" t="str">
        <f>A48</f>
        <v>成交单价</v>
      </c>
      <c r="Q48" s="3408"/>
      <c r="R48" s="3422">
        <f>E48</f>
        <v>2524</v>
      </c>
      <c r="S48" s="3422"/>
      <c r="T48" s="3422">
        <f>G48</f>
        <v>2377</v>
      </c>
      <c r="U48" s="3422"/>
      <c r="V48" s="3422">
        <f>I48</f>
        <v>2282</v>
      </c>
      <c r="W48" s="3422"/>
      <c r="X48" s="1544"/>
      <c r="Y48" s="1566"/>
      <c r="Z48" s="1544"/>
      <c r="AA48" s="1544"/>
      <c r="AB48" s="1544"/>
      <c r="AC48" s="1544"/>
    </row>
    <row r="49" spans="1:29" ht="21" thickBot="1">
      <c r="A49" s="615" t="s">
        <v>2691</v>
      </c>
      <c r="B49" s="616"/>
      <c r="C49" s="617">
        <f>R50</f>
        <v>2353</v>
      </c>
      <c r="D49" s="618"/>
      <c r="E49" s="617">
        <f>R49</f>
        <v>2506</v>
      </c>
      <c r="F49" s="619"/>
      <c r="G49" s="620">
        <f>T49</f>
        <v>2096</v>
      </c>
      <c r="H49" s="618"/>
      <c r="I49" s="617">
        <f>V49</f>
        <v>2458</v>
      </c>
      <c r="J49" s="618"/>
      <c r="K49" s="1335"/>
      <c r="L49" s="2128"/>
      <c r="M49" s="2116"/>
      <c r="N49" s="2116"/>
      <c r="O49" s="2129"/>
      <c r="P49" s="3408" t="str">
        <f>A49</f>
        <v>比较价格（元/平方米）</v>
      </c>
      <c r="Q49" s="3408"/>
      <c r="R49" s="3432">
        <f>ROUND(PRODUCT(R48,AA9:AA47),0)</f>
        <v>2506</v>
      </c>
      <c r="S49" s="3432"/>
      <c r="T49" s="3432">
        <f>ROUND(PRODUCT(T48,AB9:AB47),0)</f>
        <v>2096</v>
      </c>
      <c r="U49" s="3432"/>
      <c r="V49" s="3432">
        <f>ROUND(PRODUCT(V48,AC9:AC47),0)</f>
        <v>2458</v>
      </c>
      <c r="W49" s="3432"/>
      <c r="X49" s="1544"/>
      <c r="Y49" s="1544"/>
      <c r="Z49" s="1544"/>
      <c r="AA49" s="1544"/>
      <c r="AB49" s="1544"/>
      <c r="AC49" s="1544"/>
    </row>
    <row r="50" spans="1:29" ht="21" thickBot="1">
      <c r="A50" s="621" t="s">
        <v>2925</v>
      </c>
      <c r="B50" s="622"/>
      <c r="C50" s="623">
        <f>R50</f>
        <v>2353</v>
      </c>
      <c r="D50" s="623"/>
      <c r="E50" s="623"/>
      <c r="F50" s="623"/>
      <c r="G50" s="623"/>
      <c r="H50" s="623"/>
      <c r="I50" s="623"/>
      <c r="J50" s="623"/>
      <c r="K50" s="1336"/>
      <c r="L50" s="2128"/>
      <c r="M50" s="2116"/>
      <c r="N50" s="2116"/>
      <c r="O50" s="2129"/>
      <c r="P50" s="3429" t="str">
        <f>A50</f>
        <v>估价对象XX用房的比较价格（楼面单价，元/平方米）</v>
      </c>
      <c r="Q50" s="3430"/>
      <c r="R50" s="3431">
        <f>ROUND(AVERAGE(R49:V49),0)</f>
        <v>2353</v>
      </c>
      <c r="S50" s="3431"/>
      <c r="T50" s="3431"/>
      <c r="U50" s="3431"/>
      <c r="V50" s="3431"/>
      <c r="W50" s="3431"/>
      <c r="X50" s="1544"/>
      <c r="Y50" s="1544"/>
      <c r="Z50" s="1544"/>
      <c r="AA50" s="1544"/>
      <c r="AB50" s="1544"/>
      <c r="AC50" s="1544"/>
    </row>
    <row r="51" spans="1:29" ht="20.25">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7.1827613727055706E-3</v>
      </c>
      <c r="F53" s="627" t="str">
        <f>IF(OR(E53&gt;=0.3,E53&lt;=-0.3),"超过30%","")</f>
        <v/>
      </c>
      <c r="G53" s="626">
        <f>IF(G48&lt;G49,G49/G48-1,G48/G49-1)</f>
        <v>0.13406488549618323</v>
      </c>
      <c r="H53" s="627" t="str">
        <f>IF(OR(G53&gt;=0.3,G53&lt;=-0.3),"超过30%","")</f>
        <v/>
      </c>
      <c r="I53" s="626">
        <f>IF(I48&lt;I49,I49/I48-1,I48/I49-1)</f>
        <v>7.7125328659070957E-2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0.19561068702290085</v>
      </c>
      <c r="F54" s="627" t="str">
        <f>IF(OR(E54&gt;=0.2,E54&lt;=-0.2),"超过20%","")</f>
        <v/>
      </c>
      <c r="G54" s="626">
        <f>IF(G49&lt;I49,I49/G49-1,G49/I49-1)</f>
        <v>0.17270992366412208</v>
      </c>
      <c r="H54" s="627" t="str">
        <f>IF(OR(G54&gt;=0.2,G54&lt;=-0.2),"超过20%","")</f>
        <v/>
      </c>
      <c r="I54" s="626">
        <f>IF(I49&lt;E49,E49/I49-1,I49/E49-1)</f>
        <v>1.9528071602929131E-2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559</v>
      </c>
      <c r="B57" s="630" t="s">
        <v>560</v>
      </c>
      <c r="C57" s="1545" t="s">
        <v>1723</v>
      </c>
      <c r="D57" s="2211" t="s">
        <v>2292</v>
      </c>
      <c r="E57" s="631" t="s">
        <v>561</v>
      </c>
      <c r="F57" s="632" t="s">
        <v>562</v>
      </c>
      <c r="G57" s="3392" t="s">
        <v>2280</v>
      </c>
      <c r="H57" s="3393"/>
      <c r="I57" s="1540" t="s">
        <v>1721</v>
      </c>
      <c r="J57" s="1540">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2.75">
      <c r="A58" s="633" t="s">
        <v>563</v>
      </c>
      <c r="B58" s="634">
        <f>C50</f>
        <v>2353</v>
      </c>
      <c r="C58" s="635">
        <v>1</v>
      </c>
      <c r="D58" s="2212">
        <v>1</v>
      </c>
      <c r="E58" s="635">
        <f>'数据-汇总表'!E8+'数据-汇总表'!E9</f>
        <v>321749.09999999998</v>
      </c>
      <c r="F58" s="636">
        <f t="shared" ref="F58:F67" si="15">ROUND(B58*E58/10000,0)</f>
        <v>75708</v>
      </c>
      <c r="G58" s="3394"/>
      <c r="H58" s="3395"/>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564</v>
      </c>
      <c r="B59" s="638">
        <f>ROUND($C$50*C59*D59,0)</f>
        <v>0</v>
      </c>
      <c r="C59" s="378">
        <f t="shared" ref="C59:C67" si="16">IF($C$57="北京市系数",I59,J59)</f>
        <v>0</v>
      </c>
      <c r="D59" s="2213">
        <v>0.25</v>
      </c>
      <c r="E59" s="639">
        <v>0</v>
      </c>
      <c r="F59" s="636">
        <f t="shared" si="15"/>
        <v>0</v>
      </c>
      <c r="G59" s="3396"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565</v>
      </c>
      <c r="B60" s="638">
        <f t="shared" ref="B60:B67" si="17">ROUND($C$50*C60*D60,0)</f>
        <v>0</v>
      </c>
      <c r="C60" s="378">
        <f t="shared" si="16"/>
        <v>0</v>
      </c>
      <c r="D60" s="2213">
        <v>0.25</v>
      </c>
      <c r="E60" s="639">
        <v>0</v>
      </c>
      <c r="F60" s="636">
        <f t="shared" si="15"/>
        <v>0</v>
      </c>
      <c r="G60" s="3396"/>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566</v>
      </c>
      <c r="B61" s="638">
        <f t="shared" si="17"/>
        <v>0</v>
      </c>
      <c r="C61" s="378">
        <f t="shared" si="16"/>
        <v>0</v>
      </c>
      <c r="D61" s="2213">
        <v>0.25</v>
      </c>
      <c r="E61" s="639">
        <v>0</v>
      </c>
      <c r="F61" s="636">
        <f t="shared" si="15"/>
        <v>0</v>
      </c>
      <c r="G61" s="3396"/>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2.75">
      <c r="A62" s="637" t="s">
        <v>567</v>
      </c>
      <c r="B62" s="638">
        <f t="shared" si="17"/>
        <v>0</v>
      </c>
      <c r="C62" s="378">
        <f t="shared" si="16"/>
        <v>0</v>
      </c>
      <c r="D62" s="2213">
        <v>0.25</v>
      </c>
      <c r="E62" s="639">
        <v>0</v>
      </c>
      <c r="F62" s="636">
        <f t="shared" si="15"/>
        <v>0</v>
      </c>
      <c r="G62" s="3396"/>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2.75">
      <c r="A63" s="2315" t="s">
        <v>2327</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2.75">
      <c r="A64" s="637" t="s">
        <v>568</v>
      </c>
      <c r="B64" s="638">
        <f t="shared" si="17"/>
        <v>0</v>
      </c>
      <c r="C64" s="378">
        <f t="shared" si="16"/>
        <v>0</v>
      </c>
      <c r="D64" s="2213">
        <v>0.25</v>
      </c>
      <c r="E64" s="641">
        <f>'数据-汇总表'!E12</f>
        <v>0</v>
      </c>
      <c r="F64" s="636">
        <f t="shared" si="15"/>
        <v>0</v>
      </c>
      <c r="G64" s="1930" t="s">
        <v>1676</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2.75">
      <c r="A65" s="637" t="s">
        <v>569</v>
      </c>
      <c r="B65" s="638">
        <f t="shared" si="17"/>
        <v>0</v>
      </c>
      <c r="C65" s="378">
        <f t="shared" si="16"/>
        <v>0</v>
      </c>
      <c r="D65" s="2213">
        <v>0.25</v>
      </c>
      <c r="E65" s="641">
        <f>'数据-汇总表'!E13</f>
        <v>0</v>
      </c>
      <c r="F65" s="636">
        <f t="shared" si="15"/>
        <v>0</v>
      </c>
      <c r="G65" s="1930" t="s">
        <v>922</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2.75">
      <c r="A66" s="637" t="s">
        <v>570</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ht="13.5" thickBot="1">
      <c r="A67" s="637" t="s">
        <v>571</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ht="13.5" thickBot="1">
      <c r="A68" s="642" t="s">
        <v>572</v>
      </c>
      <c r="B68" s="643" t="s">
        <v>17</v>
      </c>
      <c r="C68" s="643" t="s">
        <v>18</v>
      </c>
      <c r="D68" s="643" t="s">
        <v>2293</v>
      </c>
      <c r="E68" s="643">
        <f>IF(B48="楼面地价",SUM(E58:E67),'数据-汇总表'!D3)</f>
        <v>321749.09999999998</v>
      </c>
      <c r="F68" s="644">
        <f>IF(B48="楼面地价",SUM(F58:F67),ROUND(C50*E68/10000,0))</f>
        <v>75708</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29"/>
      <c r="P70" s="2129"/>
      <c r="Q70" s="2129"/>
      <c r="R70" s="2129"/>
      <c r="S70" s="2129"/>
      <c r="T70" s="2129"/>
      <c r="U70" s="2129"/>
      <c r="V70" s="2129"/>
      <c r="W70" s="2129"/>
      <c r="X70" s="2129"/>
      <c r="Y70" s="2129"/>
      <c r="Z70" s="2129"/>
      <c r="AA70" s="2129"/>
      <c r="AB70" s="2129"/>
      <c r="AC70" s="2129"/>
    </row>
    <row r="71" spans="1:29" ht="21.75" thickBot="1">
      <c r="A71" s="1569" t="s">
        <v>573</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5">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2645</v>
      </c>
      <c r="B73" s="479" t="str">
        <f>"北京市平均增长率"&amp;TEXT(SUMIF(基准地价!N21:N25,A73,基准地价!P21:P25),"0.00%")</f>
        <v>北京市平均增长率2.06%</v>
      </c>
      <c r="C73" s="894">
        <v>100</v>
      </c>
      <c r="D73" s="730">
        <v>99.8</v>
      </c>
      <c r="E73" s="730">
        <v>99.6</v>
      </c>
      <c r="F73" s="3213">
        <v>99.4</v>
      </c>
      <c r="G73" s="730">
        <v>99.2</v>
      </c>
      <c r="H73" s="730">
        <v>99</v>
      </c>
      <c r="I73" s="3213">
        <v>98.8</v>
      </c>
      <c r="J73" s="730">
        <v>98.6</v>
      </c>
      <c r="K73" s="730">
        <v>98.4</v>
      </c>
      <c r="L73" s="3213">
        <v>98.2</v>
      </c>
      <c r="M73" s="730">
        <v>98</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2644</v>
      </c>
      <c r="B74" s="2759"/>
      <c r="C74" s="2745">
        <v>100</v>
      </c>
      <c r="D74" s="2746"/>
      <c r="E74" s="2746"/>
      <c r="F74" s="2746"/>
      <c r="G74" s="2745"/>
      <c r="H74" s="2746"/>
      <c r="I74" s="2746"/>
      <c r="J74" s="2746"/>
      <c r="K74" s="2745"/>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5">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5.75"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c r="A77" s="664" t="s">
        <v>576</v>
      </c>
      <c r="B77" s="665" t="s">
        <v>533</v>
      </c>
      <c r="C77" s="3201" t="s">
        <v>3186</v>
      </c>
      <c r="D77" s="3201" t="s">
        <v>3185</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1">
        <v>100</v>
      </c>
      <c r="D78" s="671">
        <v>98</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7.75"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0"/>
      <c r="O83" s="2150"/>
      <c r="P83" s="2149"/>
      <c r="Q83" s="2142"/>
      <c r="R83" s="2129"/>
      <c r="S83" s="2129"/>
      <c r="T83" s="2129"/>
      <c r="U83" s="2129"/>
      <c r="V83" s="2129"/>
      <c r="W83" s="2129"/>
      <c r="X83" s="2129"/>
      <c r="Y83" s="2129"/>
      <c r="Z83" s="2129"/>
      <c r="AA83" s="2129"/>
      <c r="AB83" s="2129"/>
      <c r="AC83" s="2129"/>
    </row>
    <row r="84" spans="1:29" s="1333" customFormat="1" ht="15.75" thickTop="1">
      <c r="A84" s="687"/>
      <c r="B84" s="673" t="str">
        <f>B14</f>
        <v>配建</v>
      </c>
      <c r="C84" s="3202" t="s">
        <v>3207</v>
      </c>
      <c r="D84" s="1370" t="s">
        <v>3206</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v>100</v>
      </c>
      <c r="D85" s="671">
        <v>90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5.75"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5.75"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5.75"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5.75"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5.75"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7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7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7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79">
        <v>100</v>
      </c>
      <c r="D97" s="679">
        <f>C97-$K23</f>
        <v>97</v>
      </c>
      <c r="E97" s="679">
        <f>D97-$K23</f>
        <v>94</v>
      </c>
      <c r="F97" s="679">
        <f>E97-$K23</f>
        <v>91</v>
      </c>
      <c r="G97" s="679">
        <f>F97-$K23</f>
        <v>88</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75" thickTop="1">
      <c r="A102" s="687"/>
      <c r="B102" s="1880" t="s">
        <v>2546</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5.75"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69"/>
      <c r="B108" s="673" t="s">
        <v>547</v>
      </c>
      <c r="C108" s="3202" t="s">
        <v>3209</v>
      </c>
      <c r="D108" s="3202" t="s">
        <v>3210</v>
      </c>
      <c r="E108" s="3202" t="s">
        <v>3211</v>
      </c>
      <c r="F108" s="3202" t="s">
        <v>3212</v>
      </c>
      <c r="G108" s="3202" t="s">
        <v>3213</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5"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5"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5.75"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2" t="str">
        <f t="shared" si="25"/>
        <v>(含)-</v>
      </c>
      <c r="K118" s="3042" t="str">
        <f t="shared" si="25"/>
        <v>(含)-</v>
      </c>
      <c r="L118" s="3043" t="str">
        <f t="shared" si="25"/>
        <v>(含)-</v>
      </c>
      <c r="M118" s="3044"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5.75" thickBot="1">
      <c r="A120" s="669"/>
      <c r="B120" s="678"/>
      <c r="C120" s="700">
        <v>100</v>
      </c>
      <c r="D120" s="726">
        <v>103</v>
      </c>
      <c r="E120" s="726">
        <v>106</v>
      </c>
      <c r="F120" s="700">
        <v>109</v>
      </c>
      <c r="G120" s="726">
        <v>112</v>
      </c>
      <c r="H120" s="726">
        <v>115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203" t="s">
        <v>3219</v>
      </c>
      <c r="D121" s="3203" t="s">
        <v>3188</v>
      </c>
      <c r="E121" s="3203" t="s">
        <v>3189</v>
      </c>
      <c r="F121" s="3203" t="s">
        <v>3190</v>
      </c>
      <c r="G121" s="3203" t="s">
        <v>3191</v>
      </c>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3202" t="s">
        <v>3192</v>
      </c>
      <c r="D123" s="3202" t="s">
        <v>3194</v>
      </c>
      <c r="E123" s="3202" t="s">
        <v>3189</v>
      </c>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2424</v>
      </c>
      <c r="C125" s="1370" t="s">
        <v>3195</v>
      </c>
      <c r="D125" s="1370" t="s">
        <v>3196</v>
      </c>
      <c r="E125" s="1370" t="s">
        <v>3197</v>
      </c>
      <c r="F125" s="1370" t="s">
        <v>3198</v>
      </c>
      <c r="G125" s="1370" t="s">
        <v>3200</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202" t="s">
        <v>3201</v>
      </c>
      <c r="D127" s="3202" t="s">
        <v>3202</v>
      </c>
      <c r="E127" s="3203" t="s">
        <v>3203</v>
      </c>
      <c r="F127" s="3203" t="s">
        <v>3204</v>
      </c>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5"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5"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5.75"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5"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5.75"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F4" zoomScale="130" zoomScaleNormal="130" workbookViewId="0">
      <selection activeCell="L52" sqref="L52"/>
    </sheetView>
  </sheetViews>
  <sheetFormatPr defaultRowHeight="13.5"/>
  <cols>
    <col min="1" max="1" width="29.375" style="2893" bestFit="1" customWidth="1"/>
    <col min="2" max="2" width="6.375" style="2893" bestFit="1" customWidth="1"/>
    <col min="3" max="3" width="15.125" style="2893" bestFit="1" customWidth="1"/>
    <col min="4" max="5" width="13.875" style="2893" customWidth="1"/>
    <col min="6" max="6" width="11" style="2893" bestFit="1" customWidth="1"/>
    <col min="7" max="7" width="11" style="2893" customWidth="1"/>
    <col min="8" max="8" width="7.5" style="2893" bestFit="1" customWidth="1"/>
    <col min="9" max="9" width="10.25" style="2893" bestFit="1" customWidth="1"/>
    <col min="10" max="11" width="10.5" style="2893" bestFit="1" customWidth="1"/>
    <col min="12" max="12" width="11.625" style="2893" bestFit="1" customWidth="1"/>
    <col min="13" max="13" width="10.375" style="2893" customWidth="1"/>
    <col min="14" max="14" width="5.875" style="2893" bestFit="1" customWidth="1"/>
    <col min="15" max="15" width="45" style="2893" customWidth="1"/>
    <col min="16" max="16" width="7.5" style="2893" bestFit="1" customWidth="1"/>
    <col min="17" max="258" width="9" style="2893"/>
    <col min="259" max="259" width="27.75" style="2893" customWidth="1"/>
    <col min="260" max="260" width="6.25" style="2893" customWidth="1"/>
    <col min="261" max="263" width="13.875" style="2893" customWidth="1"/>
    <col min="264" max="264" width="8.375" style="2893" customWidth="1"/>
    <col min="265" max="265" width="7.875" style="2893" customWidth="1"/>
    <col min="266" max="266" width="9" style="2893" customWidth="1"/>
    <col min="267" max="268" width="10.625" style="2893" customWidth="1"/>
    <col min="269" max="269" width="14.375" style="2893" customWidth="1"/>
    <col min="270" max="270" width="6.25" style="2893" customWidth="1"/>
    <col min="271" max="271" width="45.875" style="2893" customWidth="1"/>
    <col min="272" max="272" width="7.875" style="2893" customWidth="1"/>
    <col min="273" max="514" width="9" style="2893"/>
    <col min="515" max="515" width="27.75" style="2893" customWidth="1"/>
    <col min="516" max="516" width="6.25" style="2893" customWidth="1"/>
    <col min="517" max="519" width="13.875" style="2893" customWidth="1"/>
    <col min="520" max="520" width="8.375" style="2893" customWidth="1"/>
    <col min="521" max="521" width="7.875" style="2893" customWidth="1"/>
    <col min="522" max="522" width="9" style="2893" customWidth="1"/>
    <col min="523" max="524" width="10.625" style="2893" customWidth="1"/>
    <col min="525" max="525" width="14.375" style="2893" customWidth="1"/>
    <col min="526" max="526" width="6.25" style="2893" customWidth="1"/>
    <col min="527" max="527" width="45.875" style="2893" customWidth="1"/>
    <col min="528" max="528" width="7.875" style="2893" customWidth="1"/>
    <col min="529" max="770" width="9" style="2893"/>
    <col min="771" max="771" width="27.75" style="2893" customWidth="1"/>
    <col min="772" max="772" width="6.25" style="2893" customWidth="1"/>
    <col min="773" max="775" width="13.875" style="2893" customWidth="1"/>
    <col min="776" max="776" width="8.375" style="2893" customWidth="1"/>
    <col min="777" max="777" width="7.875" style="2893" customWidth="1"/>
    <col min="778" max="778" width="9" style="2893" customWidth="1"/>
    <col min="779" max="780" width="10.625" style="2893" customWidth="1"/>
    <col min="781" max="781" width="14.375" style="2893" customWidth="1"/>
    <col min="782" max="782" width="6.25" style="2893" customWidth="1"/>
    <col min="783" max="783" width="45.875" style="2893" customWidth="1"/>
    <col min="784" max="784" width="7.875" style="2893" customWidth="1"/>
    <col min="785" max="1026" width="9" style="2893"/>
    <col min="1027" max="1027" width="27.75" style="2893" customWidth="1"/>
    <col min="1028" max="1028" width="6.25" style="2893" customWidth="1"/>
    <col min="1029" max="1031" width="13.875" style="2893" customWidth="1"/>
    <col min="1032" max="1032" width="8.375" style="2893" customWidth="1"/>
    <col min="1033" max="1033" width="7.875" style="2893" customWidth="1"/>
    <col min="1034" max="1034" width="9" style="2893" customWidth="1"/>
    <col min="1035" max="1036" width="10.625" style="2893" customWidth="1"/>
    <col min="1037" max="1037" width="14.375" style="2893" customWidth="1"/>
    <col min="1038" max="1038" width="6.25" style="2893" customWidth="1"/>
    <col min="1039" max="1039" width="45.875" style="2893" customWidth="1"/>
    <col min="1040" max="1040" width="7.875" style="2893" customWidth="1"/>
    <col min="1041" max="1282" width="9" style="2893"/>
    <col min="1283" max="1283" width="27.75" style="2893" customWidth="1"/>
    <col min="1284" max="1284" width="6.25" style="2893" customWidth="1"/>
    <col min="1285" max="1287" width="13.875" style="2893" customWidth="1"/>
    <col min="1288" max="1288" width="8.375" style="2893" customWidth="1"/>
    <col min="1289" max="1289" width="7.875" style="2893" customWidth="1"/>
    <col min="1290" max="1290" width="9" style="2893" customWidth="1"/>
    <col min="1291" max="1292" width="10.625" style="2893" customWidth="1"/>
    <col min="1293" max="1293" width="14.375" style="2893" customWidth="1"/>
    <col min="1294" max="1294" width="6.25" style="2893" customWidth="1"/>
    <col min="1295" max="1295" width="45.875" style="2893" customWidth="1"/>
    <col min="1296" max="1296" width="7.875" style="2893" customWidth="1"/>
    <col min="1297" max="1538" width="9" style="2893"/>
    <col min="1539" max="1539" width="27.75" style="2893" customWidth="1"/>
    <col min="1540" max="1540" width="6.25" style="2893" customWidth="1"/>
    <col min="1541" max="1543" width="13.875" style="2893" customWidth="1"/>
    <col min="1544" max="1544" width="8.375" style="2893" customWidth="1"/>
    <col min="1545" max="1545" width="7.875" style="2893" customWidth="1"/>
    <col min="1546" max="1546" width="9" style="2893" customWidth="1"/>
    <col min="1547" max="1548" width="10.625" style="2893" customWidth="1"/>
    <col min="1549" max="1549" width="14.375" style="2893" customWidth="1"/>
    <col min="1550" max="1550" width="6.25" style="2893" customWidth="1"/>
    <col min="1551" max="1551" width="45.875" style="2893" customWidth="1"/>
    <col min="1552" max="1552" width="7.875" style="2893" customWidth="1"/>
    <col min="1553" max="1794" width="9" style="2893"/>
    <col min="1795" max="1795" width="27.75" style="2893" customWidth="1"/>
    <col min="1796" max="1796" width="6.25" style="2893" customWidth="1"/>
    <col min="1797" max="1799" width="13.875" style="2893" customWidth="1"/>
    <col min="1800" max="1800" width="8.375" style="2893" customWidth="1"/>
    <col min="1801" max="1801" width="7.875" style="2893" customWidth="1"/>
    <col min="1802" max="1802" width="9" style="2893" customWidth="1"/>
    <col min="1803" max="1804" width="10.625" style="2893" customWidth="1"/>
    <col min="1805" max="1805" width="14.375" style="2893" customWidth="1"/>
    <col min="1806" max="1806" width="6.25" style="2893" customWidth="1"/>
    <col min="1807" max="1807" width="45.875" style="2893" customWidth="1"/>
    <col min="1808" max="1808" width="7.875" style="2893" customWidth="1"/>
    <col min="1809" max="2050" width="9" style="2893"/>
    <col min="2051" max="2051" width="27.75" style="2893" customWidth="1"/>
    <col min="2052" max="2052" width="6.25" style="2893" customWidth="1"/>
    <col min="2053" max="2055" width="13.875" style="2893" customWidth="1"/>
    <col min="2056" max="2056" width="8.375" style="2893" customWidth="1"/>
    <col min="2057" max="2057" width="7.875" style="2893" customWidth="1"/>
    <col min="2058" max="2058" width="9" style="2893" customWidth="1"/>
    <col min="2059" max="2060" width="10.625" style="2893" customWidth="1"/>
    <col min="2061" max="2061" width="14.375" style="2893" customWidth="1"/>
    <col min="2062" max="2062" width="6.25" style="2893" customWidth="1"/>
    <col min="2063" max="2063" width="45.875" style="2893" customWidth="1"/>
    <col min="2064" max="2064" width="7.875" style="2893" customWidth="1"/>
    <col min="2065" max="2306" width="9" style="2893"/>
    <col min="2307" max="2307" width="27.75" style="2893" customWidth="1"/>
    <col min="2308" max="2308" width="6.25" style="2893" customWidth="1"/>
    <col min="2309" max="2311" width="13.875" style="2893" customWidth="1"/>
    <col min="2312" max="2312" width="8.375" style="2893" customWidth="1"/>
    <col min="2313" max="2313" width="7.875" style="2893" customWidth="1"/>
    <col min="2314" max="2314" width="9" style="2893" customWidth="1"/>
    <col min="2315" max="2316" width="10.625" style="2893" customWidth="1"/>
    <col min="2317" max="2317" width="14.375" style="2893" customWidth="1"/>
    <col min="2318" max="2318" width="6.25" style="2893" customWidth="1"/>
    <col min="2319" max="2319" width="45.875" style="2893" customWidth="1"/>
    <col min="2320" max="2320" width="7.875" style="2893" customWidth="1"/>
    <col min="2321" max="2562" width="9" style="2893"/>
    <col min="2563" max="2563" width="27.75" style="2893" customWidth="1"/>
    <col min="2564" max="2564" width="6.25" style="2893" customWidth="1"/>
    <col min="2565" max="2567" width="13.875" style="2893" customWidth="1"/>
    <col min="2568" max="2568" width="8.375" style="2893" customWidth="1"/>
    <col min="2569" max="2569" width="7.875" style="2893" customWidth="1"/>
    <col min="2570" max="2570" width="9" style="2893" customWidth="1"/>
    <col min="2571" max="2572" width="10.625" style="2893" customWidth="1"/>
    <col min="2573" max="2573" width="14.375" style="2893" customWidth="1"/>
    <col min="2574" max="2574" width="6.25" style="2893" customWidth="1"/>
    <col min="2575" max="2575" width="45.875" style="2893" customWidth="1"/>
    <col min="2576" max="2576" width="7.875" style="2893" customWidth="1"/>
    <col min="2577" max="2818" width="9" style="2893"/>
    <col min="2819" max="2819" width="27.75" style="2893" customWidth="1"/>
    <col min="2820" max="2820" width="6.25" style="2893" customWidth="1"/>
    <col min="2821" max="2823" width="13.875" style="2893" customWidth="1"/>
    <col min="2824" max="2824" width="8.375" style="2893" customWidth="1"/>
    <col min="2825" max="2825" width="7.875" style="2893" customWidth="1"/>
    <col min="2826" max="2826" width="9" style="2893" customWidth="1"/>
    <col min="2827" max="2828" width="10.625" style="2893" customWidth="1"/>
    <col min="2829" max="2829" width="14.375" style="2893" customWidth="1"/>
    <col min="2830" max="2830" width="6.25" style="2893" customWidth="1"/>
    <col min="2831" max="2831" width="45.875" style="2893" customWidth="1"/>
    <col min="2832" max="2832" width="7.875" style="2893" customWidth="1"/>
    <col min="2833" max="3074" width="9" style="2893"/>
    <col min="3075" max="3075" width="27.75" style="2893" customWidth="1"/>
    <col min="3076" max="3076" width="6.25" style="2893" customWidth="1"/>
    <col min="3077" max="3079" width="13.875" style="2893" customWidth="1"/>
    <col min="3080" max="3080" width="8.375" style="2893" customWidth="1"/>
    <col min="3081" max="3081" width="7.875" style="2893" customWidth="1"/>
    <col min="3082" max="3082" width="9" style="2893" customWidth="1"/>
    <col min="3083" max="3084" width="10.625" style="2893" customWidth="1"/>
    <col min="3085" max="3085" width="14.375" style="2893" customWidth="1"/>
    <col min="3086" max="3086" width="6.25" style="2893" customWidth="1"/>
    <col min="3087" max="3087" width="45.875" style="2893" customWidth="1"/>
    <col min="3088" max="3088" width="7.875" style="2893" customWidth="1"/>
    <col min="3089" max="3330" width="9" style="2893"/>
    <col min="3331" max="3331" width="27.75" style="2893" customWidth="1"/>
    <col min="3332" max="3332" width="6.25" style="2893" customWidth="1"/>
    <col min="3333" max="3335" width="13.875" style="2893" customWidth="1"/>
    <col min="3336" max="3336" width="8.375" style="2893" customWidth="1"/>
    <col min="3337" max="3337" width="7.875" style="2893" customWidth="1"/>
    <col min="3338" max="3338" width="9" style="2893" customWidth="1"/>
    <col min="3339" max="3340" width="10.625" style="2893" customWidth="1"/>
    <col min="3341" max="3341" width="14.375" style="2893" customWidth="1"/>
    <col min="3342" max="3342" width="6.25" style="2893" customWidth="1"/>
    <col min="3343" max="3343" width="45.875" style="2893" customWidth="1"/>
    <col min="3344" max="3344" width="7.875" style="2893" customWidth="1"/>
    <col min="3345" max="3586" width="9" style="2893"/>
    <col min="3587" max="3587" width="27.75" style="2893" customWidth="1"/>
    <col min="3588" max="3588" width="6.25" style="2893" customWidth="1"/>
    <col min="3589" max="3591" width="13.875" style="2893" customWidth="1"/>
    <col min="3592" max="3592" width="8.375" style="2893" customWidth="1"/>
    <col min="3593" max="3593" width="7.875" style="2893" customWidth="1"/>
    <col min="3594" max="3594" width="9" style="2893" customWidth="1"/>
    <col min="3595" max="3596" width="10.625" style="2893" customWidth="1"/>
    <col min="3597" max="3597" width="14.375" style="2893" customWidth="1"/>
    <col min="3598" max="3598" width="6.25" style="2893" customWidth="1"/>
    <col min="3599" max="3599" width="45.875" style="2893" customWidth="1"/>
    <col min="3600" max="3600" width="7.875" style="2893" customWidth="1"/>
    <col min="3601" max="3842" width="9" style="2893"/>
    <col min="3843" max="3843" width="27.75" style="2893" customWidth="1"/>
    <col min="3844" max="3844" width="6.25" style="2893" customWidth="1"/>
    <col min="3845" max="3847" width="13.875" style="2893" customWidth="1"/>
    <col min="3848" max="3848" width="8.375" style="2893" customWidth="1"/>
    <col min="3849" max="3849" width="7.875" style="2893" customWidth="1"/>
    <col min="3850" max="3850" width="9" style="2893" customWidth="1"/>
    <col min="3851" max="3852" width="10.625" style="2893" customWidth="1"/>
    <col min="3853" max="3853" width="14.375" style="2893" customWidth="1"/>
    <col min="3854" max="3854" width="6.25" style="2893" customWidth="1"/>
    <col min="3855" max="3855" width="45.875" style="2893" customWidth="1"/>
    <col min="3856" max="3856" width="7.875" style="2893" customWidth="1"/>
    <col min="3857" max="4098" width="9" style="2893"/>
    <col min="4099" max="4099" width="27.75" style="2893" customWidth="1"/>
    <col min="4100" max="4100" width="6.25" style="2893" customWidth="1"/>
    <col min="4101" max="4103" width="13.875" style="2893" customWidth="1"/>
    <col min="4104" max="4104" width="8.375" style="2893" customWidth="1"/>
    <col min="4105" max="4105" width="7.875" style="2893" customWidth="1"/>
    <col min="4106" max="4106" width="9" style="2893" customWidth="1"/>
    <col min="4107" max="4108" width="10.625" style="2893" customWidth="1"/>
    <col min="4109" max="4109" width="14.375" style="2893" customWidth="1"/>
    <col min="4110" max="4110" width="6.25" style="2893" customWidth="1"/>
    <col min="4111" max="4111" width="45.875" style="2893" customWidth="1"/>
    <col min="4112" max="4112" width="7.875" style="2893" customWidth="1"/>
    <col min="4113" max="4354" width="9" style="2893"/>
    <col min="4355" max="4355" width="27.75" style="2893" customWidth="1"/>
    <col min="4356" max="4356" width="6.25" style="2893" customWidth="1"/>
    <col min="4357" max="4359" width="13.875" style="2893" customWidth="1"/>
    <col min="4360" max="4360" width="8.375" style="2893" customWidth="1"/>
    <col min="4361" max="4361" width="7.875" style="2893" customWidth="1"/>
    <col min="4362" max="4362" width="9" style="2893" customWidth="1"/>
    <col min="4363" max="4364" width="10.625" style="2893" customWidth="1"/>
    <col min="4365" max="4365" width="14.375" style="2893" customWidth="1"/>
    <col min="4366" max="4366" width="6.25" style="2893" customWidth="1"/>
    <col min="4367" max="4367" width="45.875" style="2893" customWidth="1"/>
    <col min="4368" max="4368" width="7.875" style="2893" customWidth="1"/>
    <col min="4369" max="4610" width="9" style="2893"/>
    <col min="4611" max="4611" width="27.75" style="2893" customWidth="1"/>
    <col min="4612" max="4612" width="6.25" style="2893" customWidth="1"/>
    <col min="4613" max="4615" width="13.875" style="2893" customWidth="1"/>
    <col min="4616" max="4616" width="8.375" style="2893" customWidth="1"/>
    <col min="4617" max="4617" width="7.875" style="2893" customWidth="1"/>
    <col min="4618" max="4618" width="9" style="2893" customWidth="1"/>
    <col min="4619" max="4620" width="10.625" style="2893" customWidth="1"/>
    <col min="4621" max="4621" width="14.375" style="2893" customWidth="1"/>
    <col min="4622" max="4622" width="6.25" style="2893" customWidth="1"/>
    <col min="4623" max="4623" width="45.875" style="2893" customWidth="1"/>
    <col min="4624" max="4624" width="7.875" style="2893" customWidth="1"/>
    <col min="4625" max="4866" width="9" style="2893"/>
    <col min="4867" max="4867" width="27.75" style="2893" customWidth="1"/>
    <col min="4868" max="4868" width="6.25" style="2893" customWidth="1"/>
    <col min="4869" max="4871" width="13.875" style="2893" customWidth="1"/>
    <col min="4872" max="4872" width="8.375" style="2893" customWidth="1"/>
    <col min="4873" max="4873" width="7.875" style="2893" customWidth="1"/>
    <col min="4874" max="4874" width="9" style="2893" customWidth="1"/>
    <col min="4875" max="4876" width="10.625" style="2893" customWidth="1"/>
    <col min="4877" max="4877" width="14.375" style="2893" customWidth="1"/>
    <col min="4878" max="4878" width="6.25" style="2893" customWidth="1"/>
    <col min="4879" max="4879" width="45.875" style="2893" customWidth="1"/>
    <col min="4880" max="4880" width="7.875" style="2893" customWidth="1"/>
    <col min="4881" max="5122" width="9" style="2893"/>
    <col min="5123" max="5123" width="27.75" style="2893" customWidth="1"/>
    <col min="5124" max="5124" width="6.25" style="2893" customWidth="1"/>
    <col min="5125" max="5127" width="13.875" style="2893" customWidth="1"/>
    <col min="5128" max="5128" width="8.375" style="2893" customWidth="1"/>
    <col min="5129" max="5129" width="7.875" style="2893" customWidth="1"/>
    <col min="5130" max="5130" width="9" style="2893" customWidth="1"/>
    <col min="5131" max="5132" width="10.625" style="2893" customWidth="1"/>
    <col min="5133" max="5133" width="14.375" style="2893" customWidth="1"/>
    <col min="5134" max="5134" width="6.25" style="2893" customWidth="1"/>
    <col min="5135" max="5135" width="45.875" style="2893" customWidth="1"/>
    <col min="5136" max="5136" width="7.875" style="2893" customWidth="1"/>
    <col min="5137" max="5378" width="9" style="2893"/>
    <col min="5379" max="5379" width="27.75" style="2893" customWidth="1"/>
    <col min="5380" max="5380" width="6.25" style="2893" customWidth="1"/>
    <col min="5381" max="5383" width="13.875" style="2893" customWidth="1"/>
    <col min="5384" max="5384" width="8.375" style="2893" customWidth="1"/>
    <col min="5385" max="5385" width="7.875" style="2893" customWidth="1"/>
    <col min="5386" max="5386" width="9" style="2893" customWidth="1"/>
    <col min="5387" max="5388" width="10.625" style="2893" customWidth="1"/>
    <col min="5389" max="5389" width="14.375" style="2893" customWidth="1"/>
    <col min="5390" max="5390" width="6.25" style="2893" customWidth="1"/>
    <col min="5391" max="5391" width="45.875" style="2893" customWidth="1"/>
    <col min="5392" max="5392" width="7.875" style="2893" customWidth="1"/>
    <col min="5393" max="5634" width="9" style="2893"/>
    <col min="5635" max="5635" width="27.75" style="2893" customWidth="1"/>
    <col min="5636" max="5636" width="6.25" style="2893" customWidth="1"/>
    <col min="5637" max="5639" width="13.875" style="2893" customWidth="1"/>
    <col min="5640" max="5640" width="8.375" style="2893" customWidth="1"/>
    <col min="5641" max="5641" width="7.875" style="2893" customWidth="1"/>
    <col min="5642" max="5642" width="9" style="2893" customWidth="1"/>
    <col min="5643" max="5644" width="10.625" style="2893" customWidth="1"/>
    <col min="5645" max="5645" width="14.375" style="2893" customWidth="1"/>
    <col min="5646" max="5646" width="6.25" style="2893" customWidth="1"/>
    <col min="5647" max="5647" width="45.875" style="2893" customWidth="1"/>
    <col min="5648" max="5648" width="7.875" style="2893" customWidth="1"/>
    <col min="5649" max="5890" width="9" style="2893"/>
    <col min="5891" max="5891" width="27.75" style="2893" customWidth="1"/>
    <col min="5892" max="5892" width="6.25" style="2893" customWidth="1"/>
    <col min="5893" max="5895" width="13.875" style="2893" customWidth="1"/>
    <col min="5896" max="5896" width="8.375" style="2893" customWidth="1"/>
    <col min="5897" max="5897" width="7.875" style="2893" customWidth="1"/>
    <col min="5898" max="5898" width="9" style="2893" customWidth="1"/>
    <col min="5899" max="5900" width="10.625" style="2893" customWidth="1"/>
    <col min="5901" max="5901" width="14.375" style="2893" customWidth="1"/>
    <col min="5902" max="5902" width="6.25" style="2893" customWidth="1"/>
    <col min="5903" max="5903" width="45.875" style="2893" customWidth="1"/>
    <col min="5904" max="5904" width="7.875" style="2893" customWidth="1"/>
    <col min="5905" max="6146" width="9" style="2893"/>
    <col min="6147" max="6147" width="27.75" style="2893" customWidth="1"/>
    <col min="6148" max="6148" width="6.25" style="2893" customWidth="1"/>
    <col min="6149" max="6151" width="13.875" style="2893" customWidth="1"/>
    <col min="6152" max="6152" width="8.375" style="2893" customWidth="1"/>
    <col min="6153" max="6153" width="7.875" style="2893" customWidth="1"/>
    <col min="6154" max="6154" width="9" style="2893" customWidth="1"/>
    <col min="6155" max="6156" width="10.625" style="2893" customWidth="1"/>
    <col min="6157" max="6157" width="14.375" style="2893" customWidth="1"/>
    <col min="6158" max="6158" width="6.25" style="2893" customWidth="1"/>
    <col min="6159" max="6159" width="45.875" style="2893" customWidth="1"/>
    <col min="6160" max="6160" width="7.875" style="2893" customWidth="1"/>
    <col min="6161" max="6402" width="9" style="2893"/>
    <col min="6403" max="6403" width="27.75" style="2893" customWidth="1"/>
    <col min="6404" max="6404" width="6.25" style="2893" customWidth="1"/>
    <col min="6405" max="6407" width="13.875" style="2893" customWidth="1"/>
    <col min="6408" max="6408" width="8.375" style="2893" customWidth="1"/>
    <col min="6409" max="6409" width="7.875" style="2893" customWidth="1"/>
    <col min="6410" max="6410" width="9" style="2893" customWidth="1"/>
    <col min="6411" max="6412" width="10.625" style="2893" customWidth="1"/>
    <col min="6413" max="6413" width="14.375" style="2893" customWidth="1"/>
    <col min="6414" max="6414" width="6.25" style="2893" customWidth="1"/>
    <col min="6415" max="6415" width="45.875" style="2893" customWidth="1"/>
    <col min="6416" max="6416" width="7.875" style="2893" customWidth="1"/>
    <col min="6417" max="6658" width="9" style="2893"/>
    <col min="6659" max="6659" width="27.75" style="2893" customWidth="1"/>
    <col min="6660" max="6660" width="6.25" style="2893" customWidth="1"/>
    <col min="6661" max="6663" width="13.875" style="2893" customWidth="1"/>
    <col min="6664" max="6664" width="8.375" style="2893" customWidth="1"/>
    <col min="6665" max="6665" width="7.875" style="2893" customWidth="1"/>
    <col min="6666" max="6666" width="9" style="2893" customWidth="1"/>
    <col min="6667" max="6668" width="10.625" style="2893" customWidth="1"/>
    <col min="6669" max="6669" width="14.375" style="2893" customWidth="1"/>
    <col min="6670" max="6670" width="6.25" style="2893" customWidth="1"/>
    <col min="6671" max="6671" width="45.875" style="2893" customWidth="1"/>
    <col min="6672" max="6672" width="7.875" style="2893" customWidth="1"/>
    <col min="6673" max="6914" width="9" style="2893"/>
    <col min="6915" max="6915" width="27.75" style="2893" customWidth="1"/>
    <col min="6916" max="6916" width="6.25" style="2893" customWidth="1"/>
    <col min="6917" max="6919" width="13.875" style="2893" customWidth="1"/>
    <col min="6920" max="6920" width="8.375" style="2893" customWidth="1"/>
    <col min="6921" max="6921" width="7.875" style="2893" customWidth="1"/>
    <col min="6922" max="6922" width="9" style="2893" customWidth="1"/>
    <col min="6923" max="6924" width="10.625" style="2893" customWidth="1"/>
    <col min="6925" max="6925" width="14.375" style="2893" customWidth="1"/>
    <col min="6926" max="6926" width="6.25" style="2893" customWidth="1"/>
    <col min="6927" max="6927" width="45.875" style="2893" customWidth="1"/>
    <col min="6928" max="6928" width="7.875" style="2893" customWidth="1"/>
    <col min="6929" max="7170" width="9" style="2893"/>
    <col min="7171" max="7171" width="27.75" style="2893" customWidth="1"/>
    <col min="7172" max="7172" width="6.25" style="2893" customWidth="1"/>
    <col min="7173" max="7175" width="13.875" style="2893" customWidth="1"/>
    <col min="7176" max="7176" width="8.375" style="2893" customWidth="1"/>
    <col min="7177" max="7177" width="7.875" style="2893" customWidth="1"/>
    <col min="7178" max="7178" width="9" style="2893" customWidth="1"/>
    <col min="7179" max="7180" width="10.625" style="2893" customWidth="1"/>
    <col min="7181" max="7181" width="14.375" style="2893" customWidth="1"/>
    <col min="7182" max="7182" width="6.25" style="2893" customWidth="1"/>
    <col min="7183" max="7183" width="45.875" style="2893" customWidth="1"/>
    <col min="7184" max="7184" width="7.875" style="2893" customWidth="1"/>
    <col min="7185" max="7426" width="9" style="2893"/>
    <col min="7427" max="7427" width="27.75" style="2893" customWidth="1"/>
    <col min="7428" max="7428" width="6.25" style="2893" customWidth="1"/>
    <col min="7429" max="7431" width="13.875" style="2893" customWidth="1"/>
    <col min="7432" max="7432" width="8.375" style="2893" customWidth="1"/>
    <col min="7433" max="7433" width="7.875" style="2893" customWidth="1"/>
    <col min="7434" max="7434" width="9" style="2893" customWidth="1"/>
    <col min="7435" max="7436" width="10.625" style="2893" customWidth="1"/>
    <col min="7437" max="7437" width="14.375" style="2893" customWidth="1"/>
    <col min="7438" max="7438" width="6.25" style="2893" customWidth="1"/>
    <col min="7439" max="7439" width="45.875" style="2893" customWidth="1"/>
    <col min="7440" max="7440" width="7.875" style="2893" customWidth="1"/>
    <col min="7441" max="7682" width="9" style="2893"/>
    <col min="7683" max="7683" width="27.75" style="2893" customWidth="1"/>
    <col min="7684" max="7684" width="6.25" style="2893" customWidth="1"/>
    <col min="7685" max="7687" width="13.875" style="2893" customWidth="1"/>
    <col min="7688" max="7688" width="8.375" style="2893" customWidth="1"/>
    <col min="7689" max="7689" width="7.875" style="2893" customWidth="1"/>
    <col min="7690" max="7690" width="9" style="2893" customWidth="1"/>
    <col min="7691" max="7692" width="10.625" style="2893" customWidth="1"/>
    <col min="7693" max="7693" width="14.375" style="2893" customWidth="1"/>
    <col min="7694" max="7694" width="6.25" style="2893" customWidth="1"/>
    <col min="7695" max="7695" width="45.875" style="2893" customWidth="1"/>
    <col min="7696" max="7696" width="7.875" style="2893" customWidth="1"/>
    <col min="7697" max="7938" width="9" style="2893"/>
    <col min="7939" max="7939" width="27.75" style="2893" customWidth="1"/>
    <col min="7940" max="7940" width="6.25" style="2893" customWidth="1"/>
    <col min="7941" max="7943" width="13.875" style="2893" customWidth="1"/>
    <col min="7944" max="7944" width="8.375" style="2893" customWidth="1"/>
    <col min="7945" max="7945" width="7.875" style="2893" customWidth="1"/>
    <col min="7946" max="7946" width="9" style="2893" customWidth="1"/>
    <col min="7947" max="7948" width="10.625" style="2893" customWidth="1"/>
    <col min="7949" max="7949" width="14.375" style="2893" customWidth="1"/>
    <col min="7950" max="7950" width="6.25" style="2893" customWidth="1"/>
    <col min="7951" max="7951" width="45.875" style="2893" customWidth="1"/>
    <col min="7952" max="7952" width="7.875" style="2893" customWidth="1"/>
    <col min="7953" max="8194" width="9" style="2893"/>
    <col min="8195" max="8195" width="27.75" style="2893" customWidth="1"/>
    <col min="8196" max="8196" width="6.25" style="2893" customWidth="1"/>
    <col min="8197" max="8199" width="13.875" style="2893" customWidth="1"/>
    <col min="8200" max="8200" width="8.375" style="2893" customWidth="1"/>
    <col min="8201" max="8201" width="7.875" style="2893" customWidth="1"/>
    <col min="8202" max="8202" width="9" style="2893" customWidth="1"/>
    <col min="8203" max="8204" width="10.625" style="2893" customWidth="1"/>
    <col min="8205" max="8205" width="14.375" style="2893" customWidth="1"/>
    <col min="8206" max="8206" width="6.25" style="2893" customWidth="1"/>
    <col min="8207" max="8207" width="45.875" style="2893" customWidth="1"/>
    <col min="8208" max="8208" width="7.875" style="2893" customWidth="1"/>
    <col min="8209" max="8450" width="9" style="2893"/>
    <col min="8451" max="8451" width="27.75" style="2893" customWidth="1"/>
    <col min="8452" max="8452" width="6.25" style="2893" customWidth="1"/>
    <col min="8453" max="8455" width="13.875" style="2893" customWidth="1"/>
    <col min="8456" max="8456" width="8.375" style="2893" customWidth="1"/>
    <col min="8457" max="8457" width="7.875" style="2893" customWidth="1"/>
    <col min="8458" max="8458" width="9" style="2893" customWidth="1"/>
    <col min="8459" max="8460" width="10.625" style="2893" customWidth="1"/>
    <col min="8461" max="8461" width="14.375" style="2893" customWidth="1"/>
    <col min="8462" max="8462" width="6.25" style="2893" customWidth="1"/>
    <col min="8463" max="8463" width="45.875" style="2893" customWidth="1"/>
    <col min="8464" max="8464" width="7.875" style="2893" customWidth="1"/>
    <col min="8465" max="8706" width="9" style="2893"/>
    <col min="8707" max="8707" width="27.75" style="2893" customWidth="1"/>
    <col min="8708" max="8708" width="6.25" style="2893" customWidth="1"/>
    <col min="8709" max="8711" width="13.875" style="2893" customWidth="1"/>
    <col min="8712" max="8712" width="8.375" style="2893" customWidth="1"/>
    <col min="8713" max="8713" width="7.875" style="2893" customWidth="1"/>
    <col min="8714" max="8714" width="9" style="2893" customWidth="1"/>
    <col min="8715" max="8716" width="10.625" style="2893" customWidth="1"/>
    <col min="8717" max="8717" width="14.375" style="2893" customWidth="1"/>
    <col min="8718" max="8718" width="6.25" style="2893" customWidth="1"/>
    <col min="8719" max="8719" width="45.875" style="2893" customWidth="1"/>
    <col min="8720" max="8720" width="7.875" style="2893" customWidth="1"/>
    <col min="8721" max="8962" width="9" style="2893"/>
    <col min="8963" max="8963" width="27.75" style="2893" customWidth="1"/>
    <col min="8964" max="8964" width="6.25" style="2893" customWidth="1"/>
    <col min="8965" max="8967" width="13.875" style="2893" customWidth="1"/>
    <col min="8968" max="8968" width="8.375" style="2893" customWidth="1"/>
    <col min="8969" max="8969" width="7.875" style="2893" customWidth="1"/>
    <col min="8970" max="8970" width="9" style="2893" customWidth="1"/>
    <col min="8971" max="8972" width="10.625" style="2893" customWidth="1"/>
    <col min="8973" max="8973" width="14.375" style="2893" customWidth="1"/>
    <col min="8974" max="8974" width="6.25" style="2893" customWidth="1"/>
    <col min="8975" max="8975" width="45.875" style="2893" customWidth="1"/>
    <col min="8976" max="8976" width="7.875" style="2893" customWidth="1"/>
    <col min="8977" max="9218" width="9" style="2893"/>
    <col min="9219" max="9219" width="27.75" style="2893" customWidth="1"/>
    <col min="9220" max="9220" width="6.25" style="2893" customWidth="1"/>
    <col min="9221" max="9223" width="13.875" style="2893" customWidth="1"/>
    <col min="9224" max="9224" width="8.375" style="2893" customWidth="1"/>
    <col min="9225" max="9225" width="7.875" style="2893" customWidth="1"/>
    <col min="9226" max="9226" width="9" style="2893" customWidth="1"/>
    <col min="9227" max="9228" width="10.625" style="2893" customWidth="1"/>
    <col min="9229" max="9229" width="14.375" style="2893" customWidth="1"/>
    <col min="9230" max="9230" width="6.25" style="2893" customWidth="1"/>
    <col min="9231" max="9231" width="45.875" style="2893" customWidth="1"/>
    <col min="9232" max="9232" width="7.875" style="2893" customWidth="1"/>
    <col min="9233" max="9474" width="9" style="2893"/>
    <col min="9475" max="9475" width="27.75" style="2893" customWidth="1"/>
    <col min="9476" max="9476" width="6.25" style="2893" customWidth="1"/>
    <col min="9477" max="9479" width="13.875" style="2893" customWidth="1"/>
    <col min="9480" max="9480" width="8.375" style="2893" customWidth="1"/>
    <col min="9481" max="9481" width="7.875" style="2893" customWidth="1"/>
    <col min="9482" max="9482" width="9" style="2893" customWidth="1"/>
    <col min="9483" max="9484" width="10.625" style="2893" customWidth="1"/>
    <col min="9485" max="9485" width="14.375" style="2893" customWidth="1"/>
    <col min="9486" max="9486" width="6.25" style="2893" customWidth="1"/>
    <col min="9487" max="9487" width="45.875" style="2893" customWidth="1"/>
    <col min="9488" max="9488" width="7.875" style="2893" customWidth="1"/>
    <col min="9489" max="9730" width="9" style="2893"/>
    <col min="9731" max="9731" width="27.75" style="2893" customWidth="1"/>
    <col min="9732" max="9732" width="6.25" style="2893" customWidth="1"/>
    <col min="9733" max="9735" width="13.875" style="2893" customWidth="1"/>
    <col min="9736" max="9736" width="8.375" style="2893" customWidth="1"/>
    <col min="9737" max="9737" width="7.875" style="2893" customWidth="1"/>
    <col min="9738" max="9738" width="9" style="2893" customWidth="1"/>
    <col min="9739" max="9740" width="10.625" style="2893" customWidth="1"/>
    <col min="9741" max="9741" width="14.375" style="2893" customWidth="1"/>
    <col min="9742" max="9742" width="6.25" style="2893" customWidth="1"/>
    <col min="9743" max="9743" width="45.875" style="2893" customWidth="1"/>
    <col min="9744" max="9744" width="7.875" style="2893" customWidth="1"/>
    <col min="9745" max="9986" width="9" style="2893"/>
    <col min="9987" max="9987" width="27.75" style="2893" customWidth="1"/>
    <col min="9988" max="9988" width="6.25" style="2893" customWidth="1"/>
    <col min="9989" max="9991" width="13.875" style="2893" customWidth="1"/>
    <col min="9992" max="9992" width="8.375" style="2893" customWidth="1"/>
    <col min="9993" max="9993" width="7.875" style="2893" customWidth="1"/>
    <col min="9994" max="9994" width="9" style="2893" customWidth="1"/>
    <col min="9995" max="9996" width="10.625" style="2893" customWidth="1"/>
    <col min="9997" max="9997" width="14.375" style="2893" customWidth="1"/>
    <col min="9998" max="9998" width="6.25" style="2893" customWidth="1"/>
    <col min="9999" max="9999" width="45.875" style="2893" customWidth="1"/>
    <col min="10000" max="10000" width="7.875" style="2893" customWidth="1"/>
    <col min="10001" max="10242" width="9" style="2893"/>
    <col min="10243" max="10243" width="27.75" style="2893" customWidth="1"/>
    <col min="10244" max="10244" width="6.25" style="2893" customWidth="1"/>
    <col min="10245" max="10247" width="13.875" style="2893" customWidth="1"/>
    <col min="10248" max="10248" width="8.375" style="2893" customWidth="1"/>
    <col min="10249" max="10249" width="7.875" style="2893" customWidth="1"/>
    <col min="10250" max="10250" width="9" style="2893" customWidth="1"/>
    <col min="10251" max="10252" width="10.625" style="2893" customWidth="1"/>
    <col min="10253" max="10253" width="14.375" style="2893" customWidth="1"/>
    <col min="10254" max="10254" width="6.25" style="2893" customWidth="1"/>
    <col min="10255" max="10255" width="45.875" style="2893" customWidth="1"/>
    <col min="10256" max="10256" width="7.875" style="2893" customWidth="1"/>
    <col min="10257" max="10498" width="9" style="2893"/>
    <col min="10499" max="10499" width="27.75" style="2893" customWidth="1"/>
    <col min="10500" max="10500" width="6.25" style="2893" customWidth="1"/>
    <col min="10501" max="10503" width="13.875" style="2893" customWidth="1"/>
    <col min="10504" max="10504" width="8.375" style="2893" customWidth="1"/>
    <col min="10505" max="10505" width="7.875" style="2893" customWidth="1"/>
    <col min="10506" max="10506" width="9" style="2893" customWidth="1"/>
    <col min="10507" max="10508" width="10.625" style="2893" customWidth="1"/>
    <col min="10509" max="10509" width="14.375" style="2893" customWidth="1"/>
    <col min="10510" max="10510" width="6.25" style="2893" customWidth="1"/>
    <col min="10511" max="10511" width="45.875" style="2893" customWidth="1"/>
    <col min="10512" max="10512" width="7.875" style="2893" customWidth="1"/>
    <col min="10513" max="10754" width="9" style="2893"/>
    <col min="10755" max="10755" width="27.75" style="2893" customWidth="1"/>
    <col min="10756" max="10756" width="6.25" style="2893" customWidth="1"/>
    <col min="10757" max="10759" width="13.875" style="2893" customWidth="1"/>
    <col min="10760" max="10760" width="8.375" style="2893" customWidth="1"/>
    <col min="10761" max="10761" width="7.875" style="2893" customWidth="1"/>
    <col min="10762" max="10762" width="9" style="2893" customWidth="1"/>
    <col min="10763" max="10764" width="10.625" style="2893" customWidth="1"/>
    <col min="10765" max="10765" width="14.375" style="2893" customWidth="1"/>
    <col min="10766" max="10766" width="6.25" style="2893" customWidth="1"/>
    <col min="10767" max="10767" width="45.875" style="2893" customWidth="1"/>
    <col min="10768" max="10768" width="7.875" style="2893" customWidth="1"/>
    <col min="10769" max="11010" width="9" style="2893"/>
    <col min="11011" max="11011" width="27.75" style="2893" customWidth="1"/>
    <col min="11012" max="11012" width="6.25" style="2893" customWidth="1"/>
    <col min="11013" max="11015" width="13.875" style="2893" customWidth="1"/>
    <col min="11016" max="11016" width="8.375" style="2893" customWidth="1"/>
    <col min="11017" max="11017" width="7.875" style="2893" customWidth="1"/>
    <col min="11018" max="11018" width="9" style="2893" customWidth="1"/>
    <col min="11019" max="11020" width="10.625" style="2893" customWidth="1"/>
    <col min="11021" max="11021" width="14.375" style="2893" customWidth="1"/>
    <col min="11022" max="11022" width="6.25" style="2893" customWidth="1"/>
    <col min="11023" max="11023" width="45.875" style="2893" customWidth="1"/>
    <col min="11024" max="11024" width="7.875" style="2893" customWidth="1"/>
    <col min="11025" max="11266" width="9" style="2893"/>
    <col min="11267" max="11267" width="27.75" style="2893" customWidth="1"/>
    <col min="11268" max="11268" width="6.25" style="2893" customWidth="1"/>
    <col min="11269" max="11271" width="13.875" style="2893" customWidth="1"/>
    <col min="11272" max="11272" width="8.375" style="2893" customWidth="1"/>
    <col min="11273" max="11273" width="7.875" style="2893" customWidth="1"/>
    <col min="11274" max="11274" width="9" style="2893" customWidth="1"/>
    <col min="11275" max="11276" width="10.625" style="2893" customWidth="1"/>
    <col min="11277" max="11277" width="14.375" style="2893" customWidth="1"/>
    <col min="11278" max="11278" width="6.25" style="2893" customWidth="1"/>
    <col min="11279" max="11279" width="45.875" style="2893" customWidth="1"/>
    <col min="11280" max="11280" width="7.875" style="2893" customWidth="1"/>
    <col min="11281" max="11522" width="9" style="2893"/>
    <col min="11523" max="11523" width="27.75" style="2893" customWidth="1"/>
    <col min="11524" max="11524" width="6.25" style="2893" customWidth="1"/>
    <col min="11525" max="11527" width="13.875" style="2893" customWidth="1"/>
    <col min="11528" max="11528" width="8.375" style="2893" customWidth="1"/>
    <col min="11529" max="11529" width="7.875" style="2893" customWidth="1"/>
    <col min="11530" max="11530" width="9" style="2893" customWidth="1"/>
    <col min="11531" max="11532" width="10.625" style="2893" customWidth="1"/>
    <col min="11533" max="11533" width="14.375" style="2893" customWidth="1"/>
    <col min="11534" max="11534" width="6.25" style="2893" customWidth="1"/>
    <col min="11535" max="11535" width="45.875" style="2893" customWidth="1"/>
    <col min="11536" max="11536" width="7.875" style="2893" customWidth="1"/>
    <col min="11537" max="11778" width="9" style="2893"/>
    <col min="11779" max="11779" width="27.75" style="2893" customWidth="1"/>
    <col min="11780" max="11780" width="6.25" style="2893" customWidth="1"/>
    <col min="11781" max="11783" width="13.875" style="2893" customWidth="1"/>
    <col min="11784" max="11784" width="8.375" style="2893" customWidth="1"/>
    <col min="11785" max="11785" width="7.875" style="2893" customWidth="1"/>
    <col min="11786" max="11786" width="9" style="2893" customWidth="1"/>
    <col min="11787" max="11788" width="10.625" style="2893" customWidth="1"/>
    <col min="11789" max="11789" width="14.375" style="2893" customWidth="1"/>
    <col min="11790" max="11790" width="6.25" style="2893" customWidth="1"/>
    <col min="11791" max="11791" width="45.875" style="2893" customWidth="1"/>
    <col min="11792" max="11792" width="7.875" style="2893" customWidth="1"/>
    <col min="11793" max="12034" width="9" style="2893"/>
    <col min="12035" max="12035" width="27.75" style="2893" customWidth="1"/>
    <col min="12036" max="12036" width="6.25" style="2893" customWidth="1"/>
    <col min="12037" max="12039" width="13.875" style="2893" customWidth="1"/>
    <col min="12040" max="12040" width="8.375" style="2893" customWidth="1"/>
    <col min="12041" max="12041" width="7.875" style="2893" customWidth="1"/>
    <col min="12042" max="12042" width="9" style="2893" customWidth="1"/>
    <col min="12043" max="12044" width="10.625" style="2893" customWidth="1"/>
    <col min="12045" max="12045" width="14.375" style="2893" customWidth="1"/>
    <col min="12046" max="12046" width="6.25" style="2893" customWidth="1"/>
    <col min="12047" max="12047" width="45.875" style="2893" customWidth="1"/>
    <col min="12048" max="12048" width="7.875" style="2893" customWidth="1"/>
    <col min="12049" max="12290" width="9" style="2893"/>
    <col min="12291" max="12291" width="27.75" style="2893" customWidth="1"/>
    <col min="12292" max="12292" width="6.25" style="2893" customWidth="1"/>
    <col min="12293" max="12295" width="13.875" style="2893" customWidth="1"/>
    <col min="12296" max="12296" width="8.375" style="2893" customWidth="1"/>
    <col min="12297" max="12297" width="7.875" style="2893" customWidth="1"/>
    <col min="12298" max="12298" width="9" style="2893" customWidth="1"/>
    <col min="12299" max="12300" width="10.625" style="2893" customWidth="1"/>
    <col min="12301" max="12301" width="14.375" style="2893" customWidth="1"/>
    <col min="12302" max="12302" width="6.25" style="2893" customWidth="1"/>
    <col min="12303" max="12303" width="45.875" style="2893" customWidth="1"/>
    <col min="12304" max="12304" width="7.875" style="2893" customWidth="1"/>
    <col min="12305" max="12546" width="9" style="2893"/>
    <col min="12547" max="12547" width="27.75" style="2893" customWidth="1"/>
    <col min="12548" max="12548" width="6.25" style="2893" customWidth="1"/>
    <col min="12549" max="12551" width="13.875" style="2893" customWidth="1"/>
    <col min="12552" max="12552" width="8.375" style="2893" customWidth="1"/>
    <col min="12553" max="12553" width="7.875" style="2893" customWidth="1"/>
    <col min="12554" max="12554" width="9" style="2893" customWidth="1"/>
    <col min="12555" max="12556" width="10.625" style="2893" customWidth="1"/>
    <col min="12557" max="12557" width="14.375" style="2893" customWidth="1"/>
    <col min="12558" max="12558" width="6.25" style="2893" customWidth="1"/>
    <col min="12559" max="12559" width="45.875" style="2893" customWidth="1"/>
    <col min="12560" max="12560" width="7.875" style="2893" customWidth="1"/>
    <col min="12561" max="12802" width="9" style="2893"/>
    <col min="12803" max="12803" width="27.75" style="2893" customWidth="1"/>
    <col min="12804" max="12804" width="6.25" style="2893" customWidth="1"/>
    <col min="12805" max="12807" width="13.875" style="2893" customWidth="1"/>
    <col min="12808" max="12808" width="8.375" style="2893" customWidth="1"/>
    <col min="12809" max="12809" width="7.875" style="2893" customWidth="1"/>
    <col min="12810" max="12810" width="9" style="2893" customWidth="1"/>
    <col min="12811" max="12812" width="10.625" style="2893" customWidth="1"/>
    <col min="12813" max="12813" width="14.375" style="2893" customWidth="1"/>
    <col min="12814" max="12814" width="6.25" style="2893" customWidth="1"/>
    <col min="12815" max="12815" width="45.875" style="2893" customWidth="1"/>
    <col min="12816" max="12816" width="7.875" style="2893" customWidth="1"/>
    <col min="12817" max="13058" width="9" style="2893"/>
    <col min="13059" max="13059" width="27.75" style="2893" customWidth="1"/>
    <col min="13060" max="13060" width="6.25" style="2893" customWidth="1"/>
    <col min="13061" max="13063" width="13.875" style="2893" customWidth="1"/>
    <col min="13064" max="13064" width="8.375" style="2893" customWidth="1"/>
    <col min="13065" max="13065" width="7.875" style="2893" customWidth="1"/>
    <col min="13066" max="13066" width="9" style="2893" customWidth="1"/>
    <col min="13067" max="13068" width="10.625" style="2893" customWidth="1"/>
    <col min="13069" max="13069" width="14.375" style="2893" customWidth="1"/>
    <col min="13070" max="13070" width="6.25" style="2893" customWidth="1"/>
    <col min="13071" max="13071" width="45.875" style="2893" customWidth="1"/>
    <col min="13072" max="13072" width="7.875" style="2893" customWidth="1"/>
    <col min="13073" max="13314" width="9" style="2893"/>
    <col min="13315" max="13315" width="27.75" style="2893" customWidth="1"/>
    <col min="13316" max="13316" width="6.25" style="2893" customWidth="1"/>
    <col min="13317" max="13319" width="13.875" style="2893" customWidth="1"/>
    <col min="13320" max="13320" width="8.375" style="2893" customWidth="1"/>
    <col min="13321" max="13321" width="7.875" style="2893" customWidth="1"/>
    <col min="13322" max="13322" width="9" style="2893" customWidth="1"/>
    <col min="13323" max="13324" width="10.625" style="2893" customWidth="1"/>
    <col min="13325" max="13325" width="14.375" style="2893" customWidth="1"/>
    <col min="13326" max="13326" width="6.25" style="2893" customWidth="1"/>
    <col min="13327" max="13327" width="45.875" style="2893" customWidth="1"/>
    <col min="13328" max="13328" width="7.875" style="2893" customWidth="1"/>
    <col min="13329" max="13570" width="9" style="2893"/>
    <col min="13571" max="13571" width="27.75" style="2893" customWidth="1"/>
    <col min="13572" max="13572" width="6.25" style="2893" customWidth="1"/>
    <col min="13573" max="13575" width="13.875" style="2893" customWidth="1"/>
    <col min="13576" max="13576" width="8.375" style="2893" customWidth="1"/>
    <col min="13577" max="13577" width="7.875" style="2893" customWidth="1"/>
    <col min="13578" max="13578" width="9" style="2893" customWidth="1"/>
    <col min="13579" max="13580" width="10.625" style="2893" customWidth="1"/>
    <col min="13581" max="13581" width="14.375" style="2893" customWidth="1"/>
    <col min="13582" max="13582" width="6.25" style="2893" customWidth="1"/>
    <col min="13583" max="13583" width="45.875" style="2893" customWidth="1"/>
    <col min="13584" max="13584" width="7.875" style="2893" customWidth="1"/>
    <col min="13585" max="13826" width="9" style="2893"/>
    <col min="13827" max="13827" width="27.75" style="2893" customWidth="1"/>
    <col min="13828" max="13828" width="6.25" style="2893" customWidth="1"/>
    <col min="13829" max="13831" width="13.875" style="2893" customWidth="1"/>
    <col min="13832" max="13832" width="8.375" style="2893" customWidth="1"/>
    <col min="13833" max="13833" width="7.875" style="2893" customWidth="1"/>
    <col min="13834" max="13834" width="9" style="2893" customWidth="1"/>
    <col min="13835" max="13836" width="10.625" style="2893" customWidth="1"/>
    <col min="13837" max="13837" width="14.375" style="2893" customWidth="1"/>
    <col min="13838" max="13838" width="6.25" style="2893" customWidth="1"/>
    <col min="13839" max="13839" width="45.875" style="2893" customWidth="1"/>
    <col min="13840" max="13840" width="7.875" style="2893" customWidth="1"/>
    <col min="13841" max="14082" width="9" style="2893"/>
    <col min="14083" max="14083" width="27.75" style="2893" customWidth="1"/>
    <col min="14084" max="14084" width="6.25" style="2893" customWidth="1"/>
    <col min="14085" max="14087" width="13.875" style="2893" customWidth="1"/>
    <col min="14088" max="14088" width="8.375" style="2893" customWidth="1"/>
    <col min="14089" max="14089" width="7.875" style="2893" customWidth="1"/>
    <col min="14090" max="14090" width="9" style="2893" customWidth="1"/>
    <col min="14091" max="14092" width="10.625" style="2893" customWidth="1"/>
    <col min="14093" max="14093" width="14.375" style="2893" customWidth="1"/>
    <col min="14094" max="14094" width="6.25" style="2893" customWidth="1"/>
    <col min="14095" max="14095" width="45.875" style="2893" customWidth="1"/>
    <col min="14096" max="14096" width="7.875" style="2893" customWidth="1"/>
    <col min="14097" max="14338" width="9" style="2893"/>
    <col min="14339" max="14339" width="27.75" style="2893" customWidth="1"/>
    <col min="14340" max="14340" width="6.25" style="2893" customWidth="1"/>
    <col min="14341" max="14343" width="13.875" style="2893" customWidth="1"/>
    <col min="14344" max="14344" width="8.375" style="2893" customWidth="1"/>
    <col min="14345" max="14345" width="7.875" style="2893" customWidth="1"/>
    <col min="14346" max="14346" width="9" style="2893" customWidth="1"/>
    <col min="14347" max="14348" width="10.625" style="2893" customWidth="1"/>
    <col min="14349" max="14349" width="14.375" style="2893" customWidth="1"/>
    <col min="14350" max="14350" width="6.25" style="2893" customWidth="1"/>
    <col min="14351" max="14351" width="45.875" style="2893" customWidth="1"/>
    <col min="14352" max="14352" width="7.875" style="2893" customWidth="1"/>
    <col min="14353" max="14594" width="9" style="2893"/>
    <col min="14595" max="14595" width="27.75" style="2893" customWidth="1"/>
    <col min="14596" max="14596" width="6.25" style="2893" customWidth="1"/>
    <col min="14597" max="14599" width="13.875" style="2893" customWidth="1"/>
    <col min="14600" max="14600" width="8.375" style="2893" customWidth="1"/>
    <col min="14601" max="14601" width="7.875" style="2893" customWidth="1"/>
    <col min="14602" max="14602" width="9" style="2893" customWidth="1"/>
    <col min="14603" max="14604" width="10.625" style="2893" customWidth="1"/>
    <col min="14605" max="14605" width="14.375" style="2893" customWidth="1"/>
    <col min="14606" max="14606" width="6.25" style="2893" customWidth="1"/>
    <col min="14607" max="14607" width="45.875" style="2893" customWidth="1"/>
    <col min="14608" max="14608" width="7.875" style="2893" customWidth="1"/>
    <col min="14609" max="14850" width="9" style="2893"/>
    <col min="14851" max="14851" width="27.75" style="2893" customWidth="1"/>
    <col min="14852" max="14852" width="6.25" style="2893" customWidth="1"/>
    <col min="14853" max="14855" width="13.875" style="2893" customWidth="1"/>
    <col min="14856" max="14856" width="8.375" style="2893" customWidth="1"/>
    <col min="14857" max="14857" width="7.875" style="2893" customWidth="1"/>
    <col min="14858" max="14858" width="9" style="2893" customWidth="1"/>
    <col min="14859" max="14860" width="10.625" style="2893" customWidth="1"/>
    <col min="14861" max="14861" width="14.375" style="2893" customWidth="1"/>
    <col min="14862" max="14862" width="6.25" style="2893" customWidth="1"/>
    <col min="14863" max="14863" width="45.875" style="2893" customWidth="1"/>
    <col min="14864" max="14864" width="7.875" style="2893" customWidth="1"/>
    <col min="14865" max="15106" width="9" style="2893"/>
    <col min="15107" max="15107" width="27.75" style="2893" customWidth="1"/>
    <col min="15108" max="15108" width="6.25" style="2893" customWidth="1"/>
    <col min="15109" max="15111" width="13.875" style="2893" customWidth="1"/>
    <col min="15112" max="15112" width="8.375" style="2893" customWidth="1"/>
    <col min="15113" max="15113" width="7.875" style="2893" customWidth="1"/>
    <col min="15114" max="15114" width="9" style="2893" customWidth="1"/>
    <col min="15115" max="15116" width="10.625" style="2893" customWidth="1"/>
    <col min="15117" max="15117" width="14.375" style="2893" customWidth="1"/>
    <col min="15118" max="15118" width="6.25" style="2893" customWidth="1"/>
    <col min="15119" max="15119" width="45.875" style="2893" customWidth="1"/>
    <col min="15120" max="15120" width="7.875" style="2893" customWidth="1"/>
    <col min="15121" max="15362" width="9" style="2893"/>
    <col min="15363" max="15363" width="27.75" style="2893" customWidth="1"/>
    <col min="15364" max="15364" width="6.25" style="2893" customWidth="1"/>
    <col min="15365" max="15367" width="13.875" style="2893" customWidth="1"/>
    <col min="15368" max="15368" width="8.375" style="2893" customWidth="1"/>
    <col min="15369" max="15369" width="7.875" style="2893" customWidth="1"/>
    <col min="15370" max="15370" width="9" style="2893" customWidth="1"/>
    <col min="15371" max="15372" width="10.625" style="2893" customWidth="1"/>
    <col min="15373" max="15373" width="14.375" style="2893" customWidth="1"/>
    <col min="15374" max="15374" width="6.25" style="2893" customWidth="1"/>
    <col min="15375" max="15375" width="45.875" style="2893" customWidth="1"/>
    <col min="15376" max="15376" width="7.875" style="2893" customWidth="1"/>
    <col min="15377" max="15618" width="9" style="2893"/>
    <col min="15619" max="15619" width="27.75" style="2893" customWidth="1"/>
    <col min="15620" max="15620" width="6.25" style="2893" customWidth="1"/>
    <col min="15621" max="15623" width="13.875" style="2893" customWidth="1"/>
    <col min="15624" max="15624" width="8.375" style="2893" customWidth="1"/>
    <col min="15625" max="15625" width="7.875" style="2893" customWidth="1"/>
    <col min="15626" max="15626" width="9" style="2893" customWidth="1"/>
    <col min="15627" max="15628" width="10.625" style="2893" customWidth="1"/>
    <col min="15629" max="15629" width="14.375" style="2893" customWidth="1"/>
    <col min="15630" max="15630" width="6.25" style="2893" customWidth="1"/>
    <col min="15631" max="15631" width="45.875" style="2893" customWidth="1"/>
    <col min="15632" max="15632" width="7.875" style="2893" customWidth="1"/>
    <col min="15633" max="15874" width="9" style="2893"/>
    <col min="15875" max="15875" width="27.75" style="2893" customWidth="1"/>
    <col min="15876" max="15876" width="6.25" style="2893" customWidth="1"/>
    <col min="15877" max="15879" width="13.875" style="2893" customWidth="1"/>
    <col min="15880" max="15880" width="8.375" style="2893" customWidth="1"/>
    <col min="15881" max="15881" width="7.875" style="2893" customWidth="1"/>
    <col min="15882" max="15882" width="9" style="2893" customWidth="1"/>
    <col min="15883" max="15884" width="10.625" style="2893" customWidth="1"/>
    <col min="15885" max="15885" width="14.375" style="2893" customWidth="1"/>
    <col min="15886" max="15886" width="6.25" style="2893" customWidth="1"/>
    <col min="15887" max="15887" width="45.875" style="2893" customWidth="1"/>
    <col min="15888" max="15888" width="7.875" style="2893" customWidth="1"/>
    <col min="15889" max="16130" width="9" style="2893"/>
    <col min="16131" max="16131" width="27.75" style="2893" customWidth="1"/>
    <col min="16132" max="16132" width="6.25" style="2893" customWidth="1"/>
    <col min="16133" max="16135" width="13.875" style="2893" customWidth="1"/>
    <col min="16136" max="16136" width="8.375" style="2893" customWidth="1"/>
    <col min="16137" max="16137" width="7.875" style="2893" customWidth="1"/>
    <col min="16138" max="16138" width="9" style="2893" customWidth="1"/>
    <col min="16139" max="16140" width="10.625" style="2893" customWidth="1"/>
    <col min="16141" max="16141" width="14.375" style="2893" customWidth="1"/>
    <col min="16142" max="16142" width="6.25" style="2893" customWidth="1"/>
    <col min="16143" max="16143" width="45.875" style="2893" customWidth="1"/>
    <col min="16144" max="16144" width="7.875" style="2893" customWidth="1"/>
    <col min="16145" max="16384" width="9" style="2893"/>
  </cols>
  <sheetData>
    <row r="1" spans="1:16" s="3185" customFormat="1" ht="28.5">
      <c r="A1" s="3184" t="s">
        <v>2995</v>
      </c>
      <c r="B1" s="3184" t="s">
        <v>2996</v>
      </c>
      <c r="C1" s="3184" t="s">
        <v>2997</v>
      </c>
      <c r="D1" s="3184" t="s">
        <v>2998</v>
      </c>
      <c r="E1" s="3184" t="s">
        <v>2999</v>
      </c>
      <c r="F1" s="3184" t="s">
        <v>2031</v>
      </c>
      <c r="G1" s="3184" t="s">
        <v>3105</v>
      </c>
      <c r="H1" s="3184" t="s">
        <v>3000</v>
      </c>
      <c r="I1" s="3184" t="s">
        <v>3001</v>
      </c>
      <c r="J1" s="3184" t="s">
        <v>3002</v>
      </c>
      <c r="K1" s="3184" t="s">
        <v>3003</v>
      </c>
      <c r="L1" s="3184" t="s">
        <v>3103</v>
      </c>
      <c r="M1" s="3184" t="s">
        <v>3104</v>
      </c>
      <c r="N1" s="3184" t="s">
        <v>3004</v>
      </c>
      <c r="O1" s="3184" t="s">
        <v>3005</v>
      </c>
      <c r="P1" s="3184" t="s">
        <v>3006</v>
      </c>
    </row>
    <row r="2" spans="1:16" s="3190" customFormat="1">
      <c r="A2" s="3189" t="s">
        <v>3007</v>
      </c>
      <c r="B2" s="3189" t="s">
        <v>3008</v>
      </c>
      <c r="C2" s="3189" t="s">
        <v>3009</v>
      </c>
      <c r="D2" s="3189">
        <v>78884.3</v>
      </c>
      <c r="E2" s="3189">
        <v>173545.46</v>
      </c>
      <c r="F2" s="3189" t="s">
        <v>3010</v>
      </c>
      <c r="G2" s="3189">
        <f>ROUND(E2/D2,2)</f>
        <v>2.2000000000000002</v>
      </c>
      <c r="H2" s="3189" t="s">
        <v>3011</v>
      </c>
      <c r="I2" s="3189" t="s">
        <v>3012</v>
      </c>
      <c r="J2" s="3189">
        <v>28530</v>
      </c>
      <c r="K2" s="3189">
        <v>28630</v>
      </c>
      <c r="L2" s="3189">
        <v>1650</v>
      </c>
      <c r="M2" s="3189">
        <f t="shared" ref="M2:M41" si="0">ROUND(J2/E2*10000,0)</f>
        <v>1644</v>
      </c>
      <c r="N2" s="3189">
        <v>0.35</v>
      </c>
      <c r="O2" s="3189" t="s">
        <v>3013</v>
      </c>
      <c r="P2" s="3189" t="s">
        <v>3014</v>
      </c>
    </row>
    <row r="3" spans="1:16">
      <c r="A3" s="3183" t="s">
        <v>3015</v>
      </c>
      <c r="B3" s="3183" t="s">
        <v>3008</v>
      </c>
      <c r="C3" s="3183" t="s">
        <v>3009</v>
      </c>
      <c r="D3" s="3183">
        <v>47778</v>
      </c>
      <c r="E3" s="3183">
        <v>95556</v>
      </c>
      <c r="F3" s="3183" t="s">
        <v>3016</v>
      </c>
      <c r="G3" s="3183">
        <f t="shared" ref="G3:G41" si="1">ROUND(E3/D3,2)</f>
        <v>2</v>
      </c>
      <c r="H3" s="3183" t="s">
        <v>3011</v>
      </c>
      <c r="I3" s="3183" t="s">
        <v>3012</v>
      </c>
      <c r="J3" s="3183">
        <v>9420</v>
      </c>
      <c r="K3" s="3183">
        <v>12460</v>
      </c>
      <c r="L3" s="3183">
        <v>1303.95</v>
      </c>
      <c r="M3" s="3183">
        <f t="shared" si="0"/>
        <v>986</v>
      </c>
      <c r="N3" s="3183">
        <v>32.270000000000003</v>
      </c>
      <c r="O3" s="3183" t="s">
        <v>3017</v>
      </c>
      <c r="P3" s="3183" t="s">
        <v>3018</v>
      </c>
    </row>
    <row r="4" spans="1:16">
      <c r="A4" s="3183" t="s">
        <v>3019</v>
      </c>
      <c r="B4" s="3183" t="s">
        <v>3008</v>
      </c>
      <c r="C4" s="3183" t="s">
        <v>3009</v>
      </c>
      <c r="D4" s="3183">
        <v>32533.200000000001</v>
      </c>
      <c r="E4" s="3183">
        <v>58559.76</v>
      </c>
      <c r="F4" s="3183" t="s">
        <v>3020</v>
      </c>
      <c r="G4" s="3183">
        <f t="shared" si="1"/>
        <v>1.8</v>
      </c>
      <c r="H4" s="3183" t="s">
        <v>3011</v>
      </c>
      <c r="I4" s="3183" t="s">
        <v>3012</v>
      </c>
      <c r="J4" s="3183">
        <v>3820</v>
      </c>
      <c r="K4" s="3183">
        <v>5860</v>
      </c>
      <c r="L4" s="3183">
        <v>1000.69</v>
      </c>
      <c r="M4" s="3183">
        <f t="shared" si="0"/>
        <v>652</v>
      </c>
      <c r="N4" s="3183">
        <v>53.4</v>
      </c>
      <c r="O4" s="3183" t="s">
        <v>3017</v>
      </c>
      <c r="P4" s="3183" t="s">
        <v>3018</v>
      </c>
    </row>
    <row r="5" spans="1:16">
      <c r="A5" s="3183" t="s">
        <v>3021</v>
      </c>
      <c r="B5" s="3183" t="s">
        <v>3008</v>
      </c>
      <c r="C5" s="3183" t="s">
        <v>3009</v>
      </c>
      <c r="D5" s="3183">
        <v>45204</v>
      </c>
      <c r="E5" s="3183">
        <v>90408</v>
      </c>
      <c r="F5" s="3183" t="s">
        <v>3016</v>
      </c>
      <c r="G5" s="3183">
        <f t="shared" si="1"/>
        <v>2</v>
      </c>
      <c r="H5" s="3183" t="s">
        <v>3011</v>
      </c>
      <c r="I5" s="3183" t="s">
        <v>3012</v>
      </c>
      <c r="J5" s="3183">
        <v>8450</v>
      </c>
      <c r="K5" s="3183">
        <v>8690</v>
      </c>
      <c r="L5" s="3183">
        <v>961.2</v>
      </c>
      <c r="M5" s="3183">
        <f t="shared" si="0"/>
        <v>935</v>
      </c>
      <c r="N5" s="3183">
        <v>2.84</v>
      </c>
      <c r="O5" s="3183" t="s">
        <v>3017</v>
      </c>
      <c r="P5" s="3183" t="s">
        <v>3018</v>
      </c>
    </row>
    <row r="6" spans="1:16">
      <c r="A6" s="3183" t="s">
        <v>3022</v>
      </c>
      <c r="B6" s="3183" t="s">
        <v>3008</v>
      </c>
      <c r="C6" s="3183" t="s">
        <v>3009</v>
      </c>
      <c r="D6" s="3183">
        <v>41508.199999999997</v>
      </c>
      <c r="E6" s="3183">
        <v>74714.759999999995</v>
      </c>
      <c r="F6" s="3183" t="s">
        <v>3020</v>
      </c>
      <c r="G6" s="3183">
        <f t="shared" si="1"/>
        <v>1.8</v>
      </c>
      <c r="H6" s="3183" t="s">
        <v>3011</v>
      </c>
      <c r="I6" s="3183" t="s">
        <v>3012</v>
      </c>
      <c r="J6" s="3183">
        <v>4910</v>
      </c>
      <c r="K6" s="3183">
        <v>7510</v>
      </c>
      <c r="L6" s="3183">
        <v>1005.15</v>
      </c>
      <c r="M6" s="3183">
        <f t="shared" si="0"/>
        <v>657</v>
      </c>
      <c r="N6" s="3183">
        <v>52.95</v>
      </c>
      <c r="O6" s="3183" t="s">
        <v>3017</v>
      </c>
      <c r="P6" s="3183" t="s">
        <v>3018</v>
      </c>
    </row>
    <row r="7" spans="1:16">
      <c r="A7" s="3183" t="s">
        <v>3023</v>
      </c>
      <c r="B7" s="3183" t="s">
        <v>3008</v>
      </c>
      <c r="C7" s="3183" t="s">
        <v>3009</v>
      </c>
      <c r="D7" s="3183">
        <v>176183</v>
      </c>
      <c r="E7" s="3183">
        <v>369984.3</v>
      </c>
      <c r="F7" s="3183" t="s">
        <v>3024</v>
      </c>
      <c r="G7" s="3183">
        <f t="shared" si="1"/>
        <v>2.1</v>
      </c>
      <c r="H7" s="3183" t="s">
        <v>3011</v>
      </c>
      <c r="I7" s="3183" t="s">
        <v>3012</v>
      </c>
      <c r="J7" s="3183">
        <v>86830</v>
      </c>
      <c r="K7" s="3183">
        <v>101330</v>
      </c>
      <c r="L7" s="3183">
        <v>2738.76</v>
      </c>
      <c r="M7" s="3183">
        <f t="shared" si="0"/>
        <v>2347</v>
      </c>
      <c r="N7" s="3183">
        <v>16.7</v>
      </c>
      <c r="O7" s="3183" t="s">
        <v>3013</v>
      </c>
      <c r="P7" s="3183" t="s">
        <v>3018</v>
      </c>
    </row>
    <row r="8" spans="1:16">
      <c r="A8" s="3183" t="s">
        <v>3025</v>
      </c>
      <c r="B8" s="3183" t="s">
        <v>3008</v>
      </c>
      <c r="C8" s="3183" t="s">
        <v>3026</v>
      </c>
      <c r="D8" s="3183">
        <v>75228</v>
      </c>
      <c r="E8" s="3183">
        <v>188070</v>
      </c>
      <c r="F8" s="3183" t="s">
        <v>3027</v>
      </c>
      <c r="G8" s="3183">
        <f t="shared" si="1"/>
        <v>2.5</v>
      </c>
      <c r="H8" s="3183" t="s">
        <v>3011</v>
      </c>
      <c r="I8" s="3183" t="s">
        <v>3028</v>
      </c>
      <c r="J8" s="3183">
        <v>94900</v>
      </c>
      <c r="K8" s="3183">
        <v>105840</v>
      </c>
      <c r="L8" s="3183">
        <v>5627.68</v>
      </c>
      <c r="M8" s="3183">
        <f t="shared" si="0"/>
        <v>5046</v>
      </c>
      <c r="N8" s="3183">
        <v>11.53</v>
      </c>
      <c r="O8" s="3183" t="s">
        <v>3029</v>
      </c>
      <c r="P8" s="3183" t="s">
        <v>3018</v>
      </c>
    </row>
    <row r="9" spans="1:16">
      <c r="A9" s="3183" t="s">
        <v>3030</v>
      </c>
      <c r="B9" s="3183" t="s">
        <v>3008</v>
      </c>
      <c r="C9" s="3183" t="s">
        <v>3026</v>
      </c>
      <c r="D9" s="3183">
        <v>42139</v>
      </c>
      <c r="E9" s="3183">
        <v>105347.5</v>
      </c>
      <c r="F9" s="3183" t="s">
        <v>3027</v>
      </c>
      <c r="G9" s="3183">
        <f t="shared" si="1"/>
        <v>2.5</v>
      </c>
      <c r="H9" s="3183" t="s">
        <v>3011</v>
      </c>
      <c r="I9" s="3183" t="s">
        <v>3031</v>
      </c>
      <c r="J9" s="3183">
        <v>29700</v>
      </c>
      <c r="K9" s="3183">
        <v>29700</v>
      </c>
      <c r="L9" s="3183">
        <v>2819.23</v>
      </c>
      <c r="M9" s="3183">
        <f t="shared" si="0"/>
        <v>2819</v>
      </c>
      <c r="N9" s="3183">
        <v>0</v>
      </c>
      <c r="O9" s="3183" t="s">
        <v>3032</v>
      </c>
      <c r="P9" s="3183" t="s">
        <v>3018</v>
      </c>
    </row>
    <row r="10" spans="1:16">
      <c r="A10" s="3183" t="s">
        <v>3033</v>
      </c>
      <c r="B10" s="3183" t="s">
        <v>3008</v>
      </c>
      <c r="C10" s="3183" t="s">
        <v>3026</v>
      </c>
      <c r="D10" s="3183">
        <v>17391</v>
      </c>
      <c r="E10" s="3183">
        <v>43477.5</v>
      </c>
      <c r="F10" s="3183" t="s">
        <v>3027</v>
      </c>
      <c r="G10" s="3183">
        <f t="shared" si="1"/>
        <v>2.5</v>
      </c>
      <c r="H10" s="3183" t="s">
        <v>3011</v>
      </c>
      <c r="I10" s="3183" t="s">
        <v>3031</v>
      </c>
      <c r="J10" s="3183">
        <v>13340</v>
      </c>
      <c r="K10" s="3183">
        <v>13340</v>
      </c>
      <c r="L10" s="3183">
        <v>3068.25</v>
      </c>
      <c r="M10" s="3183">
        <f t="shared" si="0"/>
        <v>3068</v>
      </c>
      <c r="N10" s="3183">
        <v>0</v>
      </c>
      <c r="O10" s="3183" t="s">
        <v>3032</v>
      </c>
      <c r="P10" s="3183" t="s">
        <v>3018</v>
      </c>
    </row>
    <row r="11" spans="1:16">
      <c r="A11" s="3183" t="s">
        <v>3034</v>
      </c>
      <c r="B11" s="3183" t="s">
        <v>3008</v>
      </c>
      <c r="C11" s="3183" t="s">
        <v>3026</v>
      </c>
      <c r="D11" s="3183">
        <v>36842</v>
      </c>
      <c r="E11" s="3183">
        <v>92105</v>
      </c>
      <c r="F11" s="3183" t="s">
        <v>3027</v>
      </c>
      <c r="G11" s="3183">
        <f t="shared" si="1"/>
        <v>2.5</v>
      </c>
      <c r="H11" s="3183" t="s">
        <v>3011</v>
      </c>
      <c r="I11" s="3183" t="s">
        <v>3031</v>
      </c>
      <c r="J11" s="3183">
        <v>15450</v>
      </c>
      <c r="K11" s="3183">
        <v>15450</v>
      </c>
      <c r="L11" s="3183">
        <v>1677.43</v>
      </c>
      <c r="M11" s="3183">
        <f t="shared" si="0"/>
        <v>1677</v>
      </c>
      <c r="N11" s="3183">
        <v>0</v>
      </c>
      <c r="O11" s="3183" t="s">
        <v>3035</v>
      </c>
      <c r="P11" s="3183" t="s">
        <v>3018</v>
      </c>
    </row>
    <row r="12" spans="1:16">
      <c r="A12" s="3183" t="s">
        <v>3036</v>
      </c>
      <c r="B12" s="3183" t="s">
        <v>3008</v>
      </c>
      <c r="C12" s="3183" t="s">
        <v>3026</v>
      </c>
      <c r="D12" s="3183">
        <v>14903</v>
      </c>
      <c r="E12" s="3183">
        <v>37257.5</v>
      </c>
      <c r="F12" s="3183" t="s">
        <v>3027</v>
      </c>
      <c r="G12" s="3183">
        <f t="shared" si="1"/>
        <v>2.5</v>
      </c>
      <c r="H12" s="3183" t="s">
        <v>3011</v>
      </c>
      <c r="I12" s="3183" t="s">
        <v>3031</v>
      </c>
      <c r="J12" s="3183">
        <v>6410</v>
      </c>
      <c r="K12" s="3183">
        <v>6410</v>
      </c>
      <c r="L12" s="3183">
        <v>1720.46</v>
      </c>
      <c r="M12" s="3183">
        <f t="shared" si="0"/>
        <v>1720</v>
      </c>
      <c r="N12" s="3183">
        <v>0</v>
      </c>
      <c r="O12" s="3183" t="s">
        <v>3037</v>
      </c>
      <c r="P12" s="3183" t="s">
        <v>3018</v>
      </c>
    </row>
    <row r="13" spans="1:16" s="3187" customFormat="1">
      <c r="A13" s="3186" t="s">
        <v>3038</v>
      </c>
      <c r="B13" s="3186" t="s">
        <v>3008</v>
      </c>
      <c r="C13" s="3186" t="s">
        <v>3026</v>
      </c>
      <c r="D13" s="3186">
        <v>188564.2</v>
      </c>
      <c r="E13" s="3186">
        <v>546836.19999999995</v>
      </c>
      <c r="F13" s="3186" t="s">
        <v>3039</v>
      </c>
      <c r="G13" s="3186">
        <f t="shared" si="1"/>
        <v>2.9</v>
      </c>
      <c r="H13" s="3186" t="s">
        <v>3011</v>
      </c>
      <c r="I13" s="3186" t="s">
        <v>3040</v>
      </c>
      <c r="J13" s="3186">
        <v>138000</v>
      </c>
      <c r="K13" s="3186">
        <v>138000</v>
      </c>
      <c r="L13" s="3186">
        <v>2524</v>
      </c>
      <c r="M13" s="3186">
        <f t="shared" si="0"/>
        <v>2524</v>
      </c>
      <c r="N13" s="3186">
        <v>0</v>
      </c>
      <c r="O13" s="3186" t="s">
        <v>3041</v>
      </c>
      <c r="P13" s="3186" t="s">
        <v>3018</v>
      </c>
    </row>
    <row r="14" spans="1:16" hidden="1">
      <c r="A14" s="3183" t="s">
        <v>3042</v>
      </c>
      <c r="B14" s="3183" t="s">
        <v>3008</v>
      </c>
      <c r="C14" s="3183" t="s">
        <v>3026</v>
      </c>
      <c r="D14" s="3183">
        <v>88133</v>
      </c>
      <c r="E14" s="3183">
        <v>264399</v>
      </c>
      <c r="F14" s="3183" t="s">
        <v>3043</v>
      </c>
      <c r="G14" s="3183">
        <f t="shared" si="1"/>
        <v>3</v>
      </c>
      <c r="H14" s="3183" t="s">
        <v>3011</v>
      </c>
      <c r="I14" s="3183" t="s">
        <v>3040</v>
      </c>
      <c r="J14" s="3183">
        <v>94500</v>
      </c>
      <c r="K14" s="3183">
        <v>94500</v>
      </c>
      <c r="L14" s="3183">
        <v>3574.13</v>
      </c>
      <c r="M14" s="3183">
        <f t="shared" si="0"/>
        <v>3574</v>
      </c>
      <c r="N14" s="3183">
        <v>0</v>
      </c>
      <c r="O14" s="3183" t="s">
        <v>3044</v>
      </c>
      <c r="P14" s="3183" t="s">
        <v>3018</v>
      </c>
    </row>
    <row r="15" spans="1:16" s="3187" customFormat="1" hidden="1">
      <c r="A15" s="3186" t="s">
        <v>3045</v>
      </c>
      <c r="B15" s="3186" t="s">
        <v>3008</v>
      </c>
      <c r="C15" s="3186" t="s">
        <v>3026</v>
      </c>
      <c r="D15" s="3186">
        <v>17081.8</v>
      </c>
      <c r="E15" s="3186">
        <v>49537.22</v>
      </c>
      <c r="F15" s="3186" t="s">
        <v>3039</v>
      </c>
      <c r="G15" s="3186">
        <f t="shared" si="1"/>
        <v>2.9</v>
      </c>
      <c r="H15" s="3186" t="s">
        <v>3011</v>
      </c>
      <c r="I15" s="3186" t="s">
        <v>3046</v>
      </c>
      <c r="J15" s="3186">
        <v>14200</v>
      </c>
      <c r="K15" s="3186">
        <v>14300</v>
      </c>
      <c r="L15" s="3186">
        <v>2887</v>
      </c>
      <c r="M15" s="3186">
        <f t="shared" si="0"/>
        <v>2867</v>
      </c>
      <c r="N15" s="3186">
        <v>0.7</v>
      </c>
      <c r="O15" s="3186" t="s">
        <v>3032</v>
      </c>
      <c r="P15" s="3186" t="s">
        <v>3018</v>
      </c>
    </row>
    <row r="16" spans="1:16" s="3198" customFormat="1" hidden="1">
      <c r="A16" s="3197" t="s">
        <v>3135</v>
      </c>
      <c r="B16" s="3197" t="s">
        <v>3008</v>
      </c>
      <c r="C16" s="3197" t="s">
        <v>3026</v>
      </c>
      <c r="D16" s="3197">
        <v>122649.9</v>
      </c>
      <c r="E16" s="3197">
        <v>367949.7</v>
      </c>
      <c r="F16" s="3197" t="s">
        <v>3043</v>
      </c>
      <c r="G16" s="3197">
        <f t="shared" si="1"/>
        <v>3</v>
      </c>
      <c r="H16" s="3197" t="s">
        <v>3011</v>
      </c>
      <c r="I16" s="3197" t="s">
        <v>3046</v>
      </c>
      <c r="J16" s="3197">
        <v>171200</v>
      </c>
      <c r="K16" s="3197">
        <v>185700</v>
      </c>
      <c r="L16" s="3197">
        <v>5046.8900000000003</v>
      </c>
      <c r="M16" s="3197">
        <f t="shared" si="0"/>
        <v>4653</v>
      </c>
      <c r="N16" s="3197">
        <v>8.4700000000000006</v>
      </c>
      <c r="O16" s="3197" t="s">
        <v>3029</v>
      </c>
      <c r="P16" s="3197" t="s">
        <v>3018</v>
      </c>
    </row>
    <row r="17" spans="1:16" hidden="1">
      <c r="A17" s="3183" t="s">
        <v>3047</v>
      </c>
      <c r="B17" s="3183" t="s">
        <v>3008</v>
      </c>
      <c r="C17" s="3183" t="s">
        <v>3026</v>
      </c>
      <c r="D17" s="3183">
        <v>16416.099999999999</v>
      </c>
      <c r="E17" s="3183">
        <v>29548.98</v>
      </c>
      <c r="F17" s="3183" t="s">
        <v>3048</v>
      </c>
      <c r="G17" s="3183">
        <f t="shared" si="1"/>
        <v>1.8</v>
      </c>
      <c r="H17" s="3183" t="s">
        <v>3011</v>
      </c>
      <c r="I17" s="3183" t="s">
        <v>3046</v>
      </c>
      <c r="J17" s="3183">
        <v>5300</v>
      </c>
      <c r="K17" s="3183">
        <v>9440</v>
      </c>
      <c r="L17" s="3183">
        <v>3194.69</v>
      </c>
      <c r="M17" s="3183">
        <f t="shared" si="0"/>
        <v>1794</v>
      </c>
      <c r="N17" s="3183">
        <v>78.11</v>
      </c>
      <c r="O17" s="3183" t="s">
        <v>3049</v>
      </c>
      <c r="P17" s="3183" t="s">
        <v>3018</v>
      </c>
    </row>
    <row r="18" spans="1:16" hidden="1">
      <c r="A18" s="3183" t="s">
        <v>3050</v>
      </c>
      <c r="B18" s="3183" t="s">
        <v>3008</v>
      </c>
      <c r="C18" s="3183" t="s">
        <v>3026</v>
      </c>
      <c r="D18" s="3183">
        <v>78029.600000000006</v>
      </c>
      <c r="E18" s="3183">
        <v>195074</v>
      </c>
      <c r="F18" s="3183" t="s">
        <v>3027</v>
      </c>
      <c r="G18" s="3183">
        <f t="shared" si="1"/>
        <v>2.5</v>
      </c>
      <c r="H18" s="3183" t="s">
        <v>3011</v>
      </c>
      <c r="I18" s="3183" t="s">
        <v>3046</v>
      </c>
      <c r="J18" s="3183">
        <v>40000</v>
      </c>
      <c r="K18" s="3183">
        <v>41000</v>
      </c>
      <c r="L18" s="3183">
        <v>2101.7600000000002</v>
      </c>
      <c r="M18" s="3183">
        <f t="shared" si="0"/>
        <v>2051</v>
      </c>
      <c r="N18" s="3183">
        <v>2.5</v>
      </c>
      <c r="O18" s="3183" t="s">
        <v>3051</v>
      </c>
      <c r="P18" s="3183" t="s">
        <v>3018</v>
      </c>
    </row>
    <row r="19" spans="1:16" hidden="1">
      <c r="A19" s="3183" t="s">
        <v>3052</v>
      </c>
      <c r="B19" s="3183" t="s">
        <v>3008</v>
      </c>
      <c r="C19" s="3183" t="s">
        <v>3026</v>
      </c>
      <c r="D19" s="3183">
        <v>111006.39999999999</v>
      </c>
      <c r="E19" s="3183">
        <v>199811.5</v>
      </c>
      <c r="F19" s="3183" t="s">
        <v>3048</v>
      </c>
      <c r="G19" s="3183">
        <f t="shared" si="1"/>
        <v>1.8</v>
      </c>
      <c r="H19" s="3183" t="s">
        <v>3011</v>
      </c>
      <c r="I19" s="3183" t="s">
        <v>3053</v>
      </c>
      <c r="J19" s="3183">
        <v>16600</v>
      </c>
      <c r="K19" s="3183">
        <v>21400</v>
      </c>
      <c r="L19" s="3183">
        <v>1071</v>
      </c>
      <c r="M19" s="3183">
        <f t="shared" si="0"/>
        <v>831</v>
      </c>
      <c r="N19" s="3183">
        <v>28.92</v>
      </c>
      <c r="O19" s="3183" t="s">
        <v>3054</v>
      </c>
      <c r="P19" s="3183" t="s">
        <v>3018</v>
      </c>
    </row>
    <row r="20" spans="1:16" s="3187" customFormat="1">
      <c r="A20" s="3186" t="s">
        <v>3055</v>
      </c>
      <c r="B20" s="3186" t="s">
        <v>3008</v>
      </c>
      <c r="C20" s="3186" t="s">
        <v>3026</v>
      </c>
      <c r="D20" s="3186">
        <v>64361.8</v>
      </c>
      <c r="E20" s="3186">
        <v>128723.6</v>
      </c>
      <c r="F20" s="3186" t="s">
        <v>3056</v>
      </c>
      <c r="G20" s="3186">
        <f t="shared" si="1"/>
        <v>2</v>
      </c>
      <c r="H20" s="3186" t="s">
        <v>3011</v>
      </c>
      <c r="I20" s="3186" t="s">
        <v>3053</v>
      </c>
      <c r="J20" s="3186">
        <v>30600</v>
      </c>
      <c r="K20" s="3186">
        <v>30600</v>
      </c>
      <c r="L20" s="3186">
        <v>2377</v>
      </c>
      <c r="M20" s="3186">
        <f t="shared" si="0"/>
        <v>2377</v>
      </c>
      <c r="N20" s="3186">
        <v>0</v>
      </c>
      <c r="O20" s="3186" t="s">
        <v>3057</v>
      </c>
      <c r="P20" s="3186" t="s">
        <v>3018</v>
      </c>
    </row>
    <row r="21" spans="1:16" hidden="1">
      <c r="A21" s="3183" t="s">
        <v>3058</v>
      </c>
      <c r="B21" s="3183" t="s">
        <v>3008</v>
      </c>
      <c r="C21" s="3183" t="s">
        <v>3026</v>
      </c>
      <c r="D21" s="3183">
        <v>43285.3</v>
      </c>
      <c r="E21" s="3183">
        <v>121198.8</v>
      </c>
      <c r="F21" s="3183" t="s">
        <v>3059</v>
      </c>
      <c r="G21" s="3183">
        <f t="shared" si="1"/>
        <v>2.8</v>
      </c>
      <c r="H21" s="3183" t="s">
        <v>3011</v>
      </c>
      <c r="I21" s="3183" t="s">
        <v>3053</v>
      </c>
      <c r="J21" s="3183">
        <v>17900</v>
      </c>
      <c r="K21" s="3183">
        <v>17900</v>
      </c>
      <c r="L21" s="3183">
        <v>1476.91</v>
      </c>
      <c r="M21" s="3183">
        <f t="shared" si="0"/>
        <v>1477</v>
      </c>
      <c r="N21" s="3183">
        <v>0</v>
      </c>
      <c r="O21" s="3183" t="s">
        <v>3060</v>
      </c>
      <c r="P21" s="3183" t="s">
        <v>3018</v>
      </c>
    </row>
    <row r="22" spans="1:16" hidden="1">
      <c r="A22" s="3183" t="s">
        <v>3061</v>
      </c>
      <c r="B22" s="3183" t="s">
        <v>3008</v>
      </c>
      <c r="C22" s="3183" t="s">
        <v>3026</v>
      </c>
      <c r="D22" s="3183">
        <v>10443.1</v>
      </c>
      <c r="E22" s="3183">
        <v>16708.96</v>
      </c>
      <c r="F22" s="3183" t="s">
        <v>3062</v>
      </c>
      <c r="G22" s="3183">
        <f t="shared" si="1"/>
        <v>1.6</v>
      </c>
      <c r="H22" s="3183" t="s">
        <v>3011</v>
      </c>
      <c r="I22" s="3183" t="s">
        <v>3053</v>
      </c>
      <c r="J22" s="3183">
        <v>1520</v>
      </c>
      <c r="K22" s="3183">
        <v>1920</v>
      </c>
      <c r="L22" s="3183">
        <v>1149.07</v>
      </c>
      <c r="M22" s="3183">
        <f t="shared" si="0"/>
        <v>910</v>
      </c>
      <c r="N22" s="3183">
        <v>26.32</v>
      </c>
      <c r="O22" s="3183" t="s">
        <v>3054</v>
      </c>
      <c r="P22" s="3183" t="s">
        <v>3018</v>
      </c>
    </row>
    <row r="23" spans="1:16" hidden="1">
      <c r="A23" s="3183" t="s">
        <v>3063</v>
      </c>
      <c r="B23" s="3183" t="s">
        <v>3008</v>
      </c>
      <c r="C23" s="3183" t="s">
        <v>3026</v>
      </c>
      <c r="D23" s="3183">
        <v>127983.2</v>
      </c>
      <c r="E23" s="3183">
        <v>230369.8</v>
      </c>
      <c r="F23" s="3183" t="s">
        <v>3048</v>
      </c>
      <c r="G23" s="3183">
        <f t="shared" si="1"/>
        <v>1.8</v>
      </c>
      <c r="H23" s="3183" t="s">
        <v>3011</v>
      </c>
      <c r="I23" s="3183" t="s">
        <v>3053</v>
      </c>
      <c r="J23" s="3183">
        <v>20300</v>
      </c>
      <c r="K23" s="3183">
        <v>26260</v>
      </c>
      <c r="L23" s="3183">
        <v>1139.9100000000001</v>
      </c>
      <c r="M23" s="3183">
        <f t="shared" si="0"/>
        <v>881</v>
      </c>
      <c r="N23" s="3183">
        <v>29.36</v>
      </c>
      <c r="O23" s="3183" t="s">
        <v>3054</v>
      </c>
      <c r="P23" s="3183" t="s">
        <v>3018</v>
      </c>
    </row>
    <row r="24" spans="1:16" hidden="1">
      <c r="A24" s="3183" t="s">
        <v>3064</v>
      </c>
      <c r="B24" s="3183" t="s">
        <v>3008</v>
      </c>
      <c r="C24" s="3183" t="s">
        <v>3026</v>
      </c>
      <c r="D24" s="3183">
        <v>101368.9</v>
      </c>
      <c r="E24" s="3183">
        <v>182464</v>
      </c>
      <c r="F24" s="3183" t="s">
        <v>3048</v>
      </c>
      <c r="G24" s="3183">
        <f t="shared" si="1"/>
        <v>1.8</v>
      </c>
      <c r="H24" s="3183" t="s">
        <v>3011</v>
      </c>
      <c r="I24" s="3183" t="s">
        <v>3053</v>
      </c>
      <c r="J24" s="3183">
        <v>15500</v>
      </c>
      <c r="K24" s="3183">
        <v>20140</v>
      </c>
      <c r="L24" s="3183">
        <v>1103.77</v>
      </c>
      <c r="M24" s="3183">
        <f t="shared" si="0"/>
        <v>849</v>
      </c>
      <c r="N24" s="3183">
        <v>29.94</v>
      </c>
      <c r="O24" s="3183" t="s">
        <v>3054</v>
      </c>
      <c r="P24" s="3183" t="s">
        <v>3018</v>
      </c>
    </row>
    <row r="25" spans="1:16" hidden="1">
      <c r="A25" s="3183" t="s">
        <v>3065</v>
      </c>
      <c r="B25" s="3183" t="s">
        <v>3008</v>
      </c>
      <c r="C25" s="3183" t="s">
        <v>3026</v>
      </c>
      <c r="D25" s="3183">
        <v>6815.4</v>
      </c>
      <c r="E25" s="3183">
        <v>11586.18</v>
      </c>
      <c r="F25" s="3183" t="s">
        <v>3066</v>
      </c>
      <c r="G25" s="3183">
        <f t="shared" si="1"/>
        <v>1.7</v>
      </c>
      <c r="H25" s="3183" t="s">
        <v>3011</v>
      </c>
      <c r="I25" s="3183" t="s">
        <v>3053</v>
      </c>
      <c r="J25" s="3183">
        <v>920</v>
      </c>
      <c r="K25" s="3183">
        <v>1160</v>
      </c>
      <c r="L25" s="3183">
        <v>1001.19</v>
      </c>
      <c r="M25" s="3183">
        <f t="shared" si="0"/>
        <v>794</v>
      </c>
      <c r="N25" s="3183">
        <v>26.09</v>
      </c>
      <c r="O25" s="3183" t="s">
        <v>3054</v>
      </c>
      <c r="P25" s="3183" t="s">
        <v>3018</v>
      </c>
    </row>
    <row r="26" spans="1:16" hidden="1">
      <c r="A26" s="3183" t="s">
        <v>3067</v>
      </c>
      <c r="B26" s="3183" t="s">
        <v>3008</v>
      </c>
      <c r="C26" s="3183" t="s">
        <v>3026</v>
      </c>
      <c r="D26" s="3183">
        <v>5008.3999999999996</v>
      </c>
      <c r="E26" s="3183">
        <v>10016.799999999999</v>
      </c>
      <c r="F26" s="3183" t="s">
        <v>3056</v>
      </c>
      <c r="G26" s="3183">
        <f t="shared" si="1"/>
        <v>2</v>
      </c>
      <c r="H26" s="3183" t="s">
        <v>3011</v>
      </c>
      <c r="I26" s="3183" t="s">
        <v>3053</v>
      </c>
      <c r="J26" s="3183">
        <v>720</v>
      </c>
      <c r="K26" s="3183">
        <v>900</v>
      </c>
      <c r="L26" s="3183">
        <v>898.49</v>
      </c>
      <c r="M26" s="3183">
        <f t="shared" si="0"/>
        <v>719</v>
      </c>
      <c r="N26" s="3183">
        <v>25</v>
      </c>
      <c r="O26" s="3183" t="s">
        <v>3054</v>
      </c>
      <c r="P26" s="3183" t="s">
        <v>3018</v>
      </c>
    </row>
    <row r="27" spans="1:16" hidden="1">
      <c r="A27" s="3183" t="s">
        <v>3068</v>
      </c>
      <c r="B27" s="3183" t="s">
        <v>3008</v>
      </c>
      <c r="C27" s="3183" t="s">
        <v>3026</v>
      </c>
      <c r="D27" s="3183">
        <v>20190.599999999999</v>
      </c>
      <c r="E27" s="3183">
        <v>36343.08</v>
      </c>
      <c r="F27" s="3183" t="s">
        <v>3048</v>
      </c>
      <c r="G27" s="3183">
        <f t="shared" si="1"/>
        <v>1.8</v>
      </c>
      <c r="H27" s="3183" t="s">
        <v>3011</v>
      </c>
      <c r="I27" s="3183" t="s">
        <v>3053</v>
      </c>
      <c r="J27" s="3183">
        <v>3000</v>
      </c>
      <c r="K27" s="3183">
        <v>3800</v>
      </c>
      <c r="L27" s="3183">
        <v>1045.58</v>
      </c>
      <c r="M27" s="3183">
        <f t="shared" si="0"/>
        <v>825</v>
      </c>
      <c r="N27" s="3183">
        <v>26.67</v>
      </c>
      <c r="O27" s="3183" t="s">
        <v>3054</v>
      </c>
      <c r="P27" s="3183" t="s">
        <v>3018</v>
      </c>
    </row>
    <row r="28" spans="1:16" s="3187" customFormat="1">
      <c r="A28" s="3186" t="s">
        <v>3069</v>
      </c>
      <c r="B28" s="3186" t="s">
        <v>3008</v>
      </c>
      <c r="C28" s="3186" t="s">
        <v>3026</v>
      </c>
      <c r="D28" s="3186">
        <v>19280.3</v>
      </c>
      <c r="E28" s="3186">
        <v>57840.9</v>
      </c>
      <c r="F28" s="3186" t="s">
        <v>3043</v>
      </c>
      <c r="G28" s="3186">
        <f t="shared" si="1"/>
        <v>3</v>
      </c>
      <c r="H28" s="3186" t="s">
        <v>3011</v>
      </c>
      <c r="I28" s="3186" t="s">
        <v>3053</v>
      </c>
      <c r="J28" s="3186">
        <v>13200</v>
      </c>
      <c r="K28" s="3186">
        <v>13200</v>
      </c>
      <c r="L28" s="3186">
        <v>2282</v>
      </c>
      <c r="M28" s="3186">
        <f t="shared" si="0"/>
        <v>2282</v>
      </c>
      <c r="N28" s="3186">
        <v>0</v>
      </c>
      <c r="O28" s="3186" t="s">
        <v>3037</v>
      </c>
      <c r="P28" s="3186" t="s">
        <v>3018</v>
      </c>
    </row>
    <row r="29" spans="1:16" hidden="1">
      <c r="A29" s="3183" t="s">
        <v>3070</v>
      </c>
      <c r="B29" s="3183" t="s">
        <v>3008</v>
      </c>
      <c r="C29" s="3183" t="s">
        <v>3026</v>
      </c>
      <c r="D29" s="3183">
        <v>98229.6</v>
      </c>
      <c r="E29" s="3183">
        <v>147344.4</v>
      </c>
      <c r="F29" s="3183" t="s">
        <v>3071</v>
      </c>
      <c r="G29" s="3183">
        <f t="shared" si="1"/>
        <v>1.5</v>
      </c>
      <c r="H29" s="3183" t="s">
        <v>3011</v>
      </c>
      <c r="I29" s="3183" t="s">
        <v>3053</v>
      </c>
      <c r="J29" s="3183">
        <v>32900</v>
      </c>
      <c r="K29" s="3183">
        <v>52400</v>
      </c>
      <c r="L29" s="3183">
        <v>3556.28</v>
      </c>
      <c r="M29" s="3183">
        <f t="shared" si="0"/>
        <v>2233</v>
      </c>
      <c r="N29" s="3183">
        <v>59.27</v>
      </c>
      <c r="O29" s="3183" t="s">
        <v>3037</v>
      </c>
      <c r="P29" s="3183" t="s">
        <v>3018</v>
      </c>
    </row>
    <row r="30" spans="1:16" hidden="1">
      <c r="A30" s="3183" t="s">
        <v>3072</v>
      </c>
      <c r="B30" s="3183" t="s">
        <v>3008</v>
      </c>
      <c r="C30" s="3183" t="s">
        <v>3026</v>
      </c>
      <c r="D30" s="3183">
        <v>18117.599999999999</v>
      </c>
      <c r="E30" s="3183">
        <v>27176.400000000001</v>
      </c>
      <c r="F30" s="3183" t="s">
        <v>3073</v>
      </c>
      <c r="G30" s="3183">
        <f t="shared" si="1"/>
        <v>1.5</v>
      </c>
      <c r="H30" s="3183" t="s">
        <v>3011</v>
      </c>
      <c r="I30" s="3183" t="s">
        <v>3074</v>
      </c>
      <c r="J30" s="3183">
        <v>2000</v>
      </c>
      <c r="K30" s="3183">
        <v>2000</v>
      </c>
      <c r="L30" s="3183">
        <v>735.92</v>
      </c>
      <c r="M30" s="3183">
        <f t="shared" si="0"/>
        <v>736</v>
      </c>
      <c r="N30" s="3183">
        <v>0</v>
      </c>
      <c r="O30" s="3183" t="s">
        <v>3075</v>
      </c>
      <c r="P30" s="3183" t="s">
        <v>3076</v>
      </c>
    </row>
    <row r="31" spans="1:16" hidden="1">
      <c r="A31" s="3183" t="s">
        <v>3077</v>
      </c>
      <c r="B31" s="3183" t="s">
        <v>3008</v>
      </c>
      <c r="C31" s="3183" t="s">
        <v>3026</v>
      </c>
      <c r="D31" s="3183">
        <v>65611</v>
      </c>
      <c r="E31" s="3183">
        <v>196833</v>
      </c>
      <c r="F31" s="3183" t="s">
        <v>3078</v>
      </c>
      <c r="G31" s="3183">
        <f t="shared" si="1"/>
        <v>3</v>
      </c>
      <c r="H31" s="3183" t="s">
        <v>3011</v>
      </c>
      <c r="I31" s="3183" t="s">
        <v>3074</v>
      </c>
      <c r="J31" s="3183">
        <v>30100</v>
      </c>
      <c r="K31" s="3183">
        <v>30100</v>
      </c>
      <c r="L31" s="3183">
        <v>1529.22</v>
      </c>
      <c r="M31" s="3183">
        <f t="shared" si="0"/>
        <v>1529</v>
      </c>
      <c r="N31" s="3183">
        <v>0</v>
      </c>
      <c r="O31" s="3183" t="s">
        <v>3079</v>
      </c>
      <c r="P31" s="3183" t="s">
        <v>3018</v>
      </c>
    </row>
    <row r="32" spans="1:16" s="3198" customFormat="1" hidden="1">
      <c r="A32" s="3197" t="s">
        <v>3080</v>
      </c>
      <c r="B32" s="3197" t="s">
        <v>3008</v>
      </c>
      <c r="C32" s="3197" t="s">
        <v>3026</v>
      </c>
      <c r="D32" s="3197">
        <v>48726</v>
      </c>
      <c r="E32" s="3197">
        <v>136432.79999999999</v>
      </c>
      <c r="F32" s="3197" t="s">
        <v>3081</v>
      </c>
      <c r="G32" s="3197">
        <f t="shared" si="1"/>
        <v>2.8</v>
      </c>
      <c r="H32" s="3197" t="s">
        <v>3011</v>
      </c>
      <c r="I32" s="3197" t="s">
        <v>3074</v>
      </c>
      <c r="J32" s="3197">
        <v>49100</v>
      </c>
      <c r="K32" s="3197">
        <v>49100</v>
      </c>
      <c r="L32" s="3197">
        <v>3598.84</v>
      </c>
      <c r="M32" s="3197">
        <f t="shared" si="0"/>
        <v>3599</v>
      </c>
      <c r="N32" s="3197">
        <v>0</v>
      </c>
      <c r="O32" s="3197" t="s">
        <v>3082</v>
      </c>
      <c r="P32" s="3197" t="s">
        <v>3018</v>
      </c>
    </row>
    <row r="33" spans="1:16" hidden="1">
      <c r="A33" s="3183" t="s">
        <v>3083</v>
      </c>
      <c r="B33" s="3183" t="s">
        <v>3008</v>
      </c>
      <c r="C33" s="3183" t="s">
        <v>3026</v>
      </c>
      <c r="D33" s="3183">
        <v>28252</v>
      </c>
      <c r="E33" s="3183">
        <v>70630</v>
      </c>
      <c r="F33" s="3183" t="s">
        <v>3027</v>
      </c>
      <c r="G33" s="3183">
        <f t="shared" si="1"/>
        <v>2.5</v>
      </c>
      <c r="H33" s="3183" t="s">
        <v>3011</v>
      </c>
      <c r="I33" s="3183" t="s">
        <v>3084</v>
      </c>
      <c r="J33" s="3183">
        <v>3800</v>
      </c>
      <c r="K33" s="3183">
        <v>4000</v>
      </c>
      <c r="L33" s="3183">
        <v>566.33000000000004</v>
      </c>
      <c r="M33" s="3183">
        <f t="shared" si="0"/>
        <v>538</v>
      </c>
      <c r="N33" s="3183">
        <v>5.26</v>
      </c>
      <c r="O33" s="3183" t="s">
        <v>3085</v>
      </c>
      <c r="P33" s="3183" t="s">
        <v>3076</v>
      </c>
    </row>
    <row r="34" spans="1:16" hidden="1">
      <c r="A34" s="3183" t="s">
        <v>3086</v>
      </c>
      <c r="B34" s="3183" t="s">
        <v>3008</v>
      </c>
      <c r="C34" s="3183" t="s">
        <v>3026</v>
      </c>
      <c r="D34" s="3183">
        <v>38995</v>
      </c>
      <c r="E34" s="3183">
        <v>62392</v>
      </c>
      <c r="F34" s="3183" t="s">
        <v>3062</v>
      </c>
      <c r="G34" s="3183">
        <f t="shared" si="1"/>
        <v>1.6</v>
      </c>
      <c r="H34" s="3183" t="s">
        <v>3011</v>
      </c>
      <c r="I34" s="3183" t="s">
        <v>3084</v>
      </c>
      <c r="J34" s="3183">
        <v>8820</v>
      </c>
      <c r="K34" s="3183">
        <v>13200</v>
      </c>
      <c r="L34" s="3183">
        <v>2115.65</v>
      </c>
      <c r="M34" s="3183">
        <f t="shared" si="0"/>
        <v>1414</v>
      </c>
      <c r="N34" s="3183">
        <v>49.66</v>
      </c>
      <c r="O34" s="3183" t="s">
        <v>3037</v>
      </c>
      <c r="P34" s="3183" t="s">
        <v>3018</v>
      </c>
    </row>
    <row r="35" spans="1:16" hidden="1">
      <c r="A35" s="3183" t="s">
        <v>3087</v>
      </c>
      <c r="B35" s="3183" t="s">
        <v>3008</v>
      </c>
      <c r="C35" s="3183" t="s">
        <v>3026</v>
      </c>
      <c r="D35" s="3183">
        <v>28011.200000000001</v>
      </c>
      <c r="E35" s="3183">
        <v>30812.32</v>
      </c>
      <c r="F35" s="3183" t="s">
        <v>3088</v>
      </c>
      <c r="G35" s="3183">
        <f t="shared" si="1"/>
        <v>1.1000000000000001</v>
      </c>
      <c r="H35" s="3183" t="s">
        <v>3011</v>
      </c>
      <c r="I35" s="3183" t="s">
        <v>3089</v>
      </c>
      <c r="J35" s="3183">
        <v>3000</v>
      </c>
      <c r="K35" s="3183">
        <v>3060</v>
      </c>
      <c r="L35" s="3183">
        <v>993.11</v>
      </c>
      <c r="M35" s="3183">
        <f t="shared" si="0"/>
        <v>974</v>
      </c>
      <c r="N35" s="3183">
        <v>2</v>
      </c>
      <c r="O35" s="3183" t="s">
        <v>3090</v>
      </c>
      <c r="P35" s="3183" t="s">
        <v>3018</v>
      </c>
    </row>
    <row r="36" spans="1:16" hidden="1">
      <c r="A36" s="3183" t="s">
        <v>3091</v>
      </c>
      <c r="B36" s="3183" t="s">
        <v>3008</v>
      </c>
      <c r="C36" s="3183" t="s">
        <v>3026</v>
      </c>
      <c r="D36" s="3183">
        <v>100556.7</v>
      </c>
      <c r="E36" s="3183">
        <v>201113.4</v>
      </c>
      <c r="F36" s="3183" t="s">
        <v>3092</v>
      </c>
      <c r="G36" s="3183">
        <f t="shared" si="1"/>
        <v>2</v>
      </c>
      <c r="H36" s="3183" t="s">
        <v>3011</v>
      </c>
      <c r="I36" s="3183" t="s">
        <v>3089</v>
      </c>
      <c r="J36" s="3183">
        <v>21450</v>
      </c>
      <c r="K36" s="3183">
        <v>21550</v>
      </c>
      <c r="L36" s="3183">
        <v>1071.52</v>
      </c>
      <c r="M36" s="3183">
        <f t="shared" si="0"/>
        <v>1067</v>
      </c>
      <c r="N36" s="3183">
        <v>0.47</v>
      </c>
      <c r="O36" s="3183" t="s">
        <v>3093</v>
      </c>
      <c r="P36" s="3183" t="s">
        <v>3018</v>
      </c>
    </row>
    <row r="37" spans="1:16" s="3198" customFormat="1" hidden="1">
      <c r="A37" s="3197" t="s">
        <v>3094</v>
      </c>
      <c r="B37" s="3197" t="s">
        <v>3008</v>
      </c>
      <c r="C37" s="3197" t="s">
        <v>3026</v>
      </c>
      <c r="D37" s="3197">
        <v>86968.7</v>
      </c>
      <c r="E37" s="3197">
        <v>260906.1</v>
      </c>
      <c r="F37" s="3197" t="s">
        <v>3078</v>
      </c>
      <c r="G37" s="3197">
        <f t="shared" si="1"/>
        <v>3</v>
      </c>
      <c r="H37" s="3197" t="s">
        <v>3011</v>
      </c>
      <c r="I37" s="3197" t="s">
        <v>3095</v>
      </c>
      <c r="J37" s="3197">
        <v>24700</v>
      </c>
      <c r="K37" s="3197">
        <v>28400</v>
      </c>
      <c r="L37" s="3197">
        <v>1088.5</v>
      </c>
      <c r="M37" s="3197">
        <f t="shared" si="0"/>
        <v>947</v>
      </c>
      <c r="N37" s="3197">
        <v>14.98</v>
      </c>
      <c r="O37" s="3197" t="s">
        <v>3054</v>
      </c>
      <c r="P37" s="3197" t="s">
        <v>3018</v>
      </c>
    </row>
    <row r="38" spans="1:16" hidden="1">
      <c r="A38" s="3183" t="s">
        <v>3096</v>
      </c>
      <c r="B38" s="3183" t="s">
        <v>3008</v>
      </c>
      <c r="C38" s="3183" t="s">
        <v>3026</v>
      </c>
      <c r="D38" s="3183">
        <v>45076.2</v>
      </c>
      <c r="E38" s="3183">
        <v>135228.6</v>
      </c>
      <c r="F38" s="3183" t="s">
        <v>3078</v>
      </c>
      <c r="G38" s="3183">
        <f t="shared" si="1"/>
        <v>3</v>
      </c>
      <c r="H38" s="3183" t="s">
        <v>3011</v>
      </c>
      <c r="I38" s="3183" t="s">
        <v>3095</v>
      </c>
      <c r="J38" s="3183">
        <v>13000</v>
      </c>
      <c r="K38" s="3183">
        <v>14900</v>
      </c>
      <c r="L38" s="3183">
        <v>1101.83</v>
      </c>
      <c r="M38" s="3183">
        <f t="shared" si="0"/>
        <v>961</v>
      </c>
      <c r="N38" s="3183">
        <v>14.62</v>
      </c>
      <c r="O38" s="3183" t="s">
        <v>3054</v>
      </c>
      <c r="P38" s="3183" t="s">
        <v>3018</v>
      </c>
    </row>
    <row r="39" spans="1:16" hidden="1">
      <c r="A39" s="3183" t="s">
        <v>3097</v>
      </c>
      <c r="B39" s="3183" t="s">
        <v>3008</v>
      </c>
      <c r="C39" s="3183" t="s">
        <v>3026</v>
      </c>
      <c r="D39" s="3183">
        <v>121904.4</v>
      </c>
      <c r="E39" s="3183">
        <v>365713.2</v>
      </c>
      <c r="F39" s="3183" t="s">
        <v>3078</v>
      </c>
      <c r="G39" s="3183">
        <f t="shared" si="1"/>
        <v>3</v>
      </c>
      <c r="H39" s="3183" t="s">
        <v>3011</v>
      </c>
      <c r="I39" s="3183" t="s">
        <v>3098</v>
      </c>
      <c r="J39" s="3183">
        <v>41640</v>
      </c>
      <c r="K39" s="3183">
        <v>47880</v>
      </c>
      <c r="L39" s="3183">
        <v>1309.22</v>
      </c>
      <c r="M39" s="3183">
        <f t="shared" si="0"/>
        <v>1139</v>
      </c>
      <c r="N39" s="3183">
        <v>14.99</v>
      </c>
      <c r="O39" s="3183" t="s">
        <v>3099</v>
      </c>
      <c r="P39" s="3183" t="s">
        <v>3076</v>
      </c>
    </row>
    <row r="40" spans="1:16" hidden="1">
      <c r="A40" s="3183" t="s">
        <v>3097</v>
      </c>
      <c r="B40" s="3183" t="s">
        <v>3008</v>
      </c>
      <c r="C40" s="3183" t="s">
        <v>3026</v>
      </c>
      <c r="D40" s="3183">
        <v>28547</v>
      </c>
      <c r="E40" s="3183">
        <v>85641</v>
      </c>
      <c r="F40" s="3183" t="s">
        <v>3078</v>
      </c>
      <c r="G40" s="3183">
        <f t="shared" si="1"/>
        <v>3</v>
      </c>
      <c r="H40" s="3183" t="s">
        <v>3011</v>
      </c>
      <c r="I40" s="3183" t="s">
        <v>3098</v>
      </c>
      <c r="J40" s="3183">
        <v>9530</v>
      </c>
      <c r="K40" s="3183">
        <v>10950</v>
      </c>
      <c r="L40" s="3183">
        <v>1278.58</v>
      </c>
      <c r="M40" s="3183">
        <f t="shared" si="0"/>
        <v>1113</v>
      </c>
      <c r="N40" s="3183">
        <v>14.9</v>
      </c>
      <c r="O40" s="3183" t="s">
        <v>3099</v>
      </c>
      <c r="P40" s="3183" t="s">
        <v>3018</v>
      </c>
    </row>
    <row r="41" spans="1:16" hidden="1">
      <c r="A41" s="3183" t="s">
        <v>3100</v>
      </c>
      <c r="B41" s="3183" t="s">
        <v>3008</v>
      </c>
      <c r="C41" s="3183" t="s">
        <v>3026</v>
      </c>
      <c r="D41" s="3183">
        <v>113596.6</v>
      </c>
      <c r="E41" s="3183">
        <v>193114.2</v>
      </c>
      <c r="F41" s="3183" t="s">
        <v>3101</v>
      </c>
      <c r="G41" s="3183">
        <f t="shared" si="1"/>
        <v>1.7</v>
      </c>
      <c r="H41" s="3183" t="s">
        <v>3011</v>
      </c>
      <c r="I41" s="3183" t="s">
        <v>3102</v>
      </c>
      <c r="J41" s="3183">
        <v>28550</v>
      </c>
      <c r="K41" s="3183">
        <v>28670</v>
      </c>
      <c r="L41" s="3183">
        <v>1484.6</v>
      </c>
      <c r="M41" s="3183">
        <f t="shared" si="0"/>
        <v>1478</v>
      </c>
      <c r="N41" s="3183">
        <v>0.42</v>
      </c>
      <c r="O41" s="3183" t="s">
        <v>3093</v>
      </c>
      <c r="P41" s="3183"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515</v>
      </c>
      <c r="B1" s="503"/>
      <c r="C1" s="504" t="s">
        <v>596</v>
      </c>
      <c r="D1" s="505" t="s">
        <v>517</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1684</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5">
      <c r="A6" s="512" t="s">
        <v>520</v>
      </c>
      <c r="B6" s="513"/>
      <c r="C6" s="3414" t="s">
        <v>521</v>
      </c>
      <c r="D6" s="3415"/>
      <c r="E6" s="3438" t="s">
        <v>522</v>
      </c>
      <c r="F6" s="3439"/>
      <c r="G6" s="3414" t="s">
        <v>523</v>
      </c>
      <c r="H6" s="3415"/>
      <c r="I6" s="3414" t="s">
        <v>524</v>
      </c>
      <c r="J6" s="3415"/>
      <c r="K6" s="514" t="s">
        <v>525</v>
      </c>
      <c r="L6" s="2117"/>
      <c r="M6" s="2118"/>
      <c r="N6" s="2118"/>
      <c r="O6" s="2118"/>
      <c r="P6" s="3416" t="s">
        <v>526</v>
      </c>
      <c r="Q6" s="3417"/>
      <c r="R6" s="3402" t="s">
        <v>522</v>
      </c>
      <c r="S6" s="3403"/>
      <c r="T6" s="3402" t="s">
        <v>523</v>
      </c>
      <c r="U6" s="3403"/>
      <c r="V6" s="3422" t="s">
        <v>524</v>
      </c>
      <c r="W6" s="3422"/>
      <c r="X6" s="1552"/>
      <c r="Y6" s="3402" t="s">
        <v>526</v>
      </c>
      <c r="Z6" s="3403"/>
      <c r="AA6" s="3397" t="s">
        <v>522</v>
      </c>
      <c r="AB6" s="3398" t="s">
        <v>523</v>
      </c>
      <c r="AC6" s="3397" t="s">
        <v>524</v>
      </c>
    </row>
    <row r="7" spans="1:29" ht="15">
      <c r="A7" s="515"/>
      <c r="B7" s="516"/>
      <c r="C7" s="3425" t="s">
        <v>2919</v>
      </c>
      <c r="D7" s="3426"/>
      <c r="E7" s="3440" t="s">
        <v>2920</v>
      </c>
      <c r="F7" s="3441"/>
      <c r="G7" s="3425" t="s">
        <v>2921</v>
      </c>
      <c r="H7" s="3426"/>
      <c r="I7" s="3425" t="s">
        <v>2922</v>
      </c>
      <c r="J7" s="3426"/>
      <c r="K7" s="514"/>
      <c r="L7" s="2117"/>
      <c r="M7" s="2118"/>
      <c r="N7" s="2118"/>
      <c r="O7" s="2118"/>
      <c r="P7" s="3418"/>
      <c r="Q7" s="3419"/>
      <c r="R7" s="3404"/>
      <c r="S7" s="3405"/>
      <c r="T7" s="3404"/>
      <c r="U7" s="3405"/>
      <c r="V7" s="3422"/>
      <c r="W7" s="3422"/>
      <c r="X7" s="1552"/>
      <c r="Y7" s="3404"/>
      <c r="Z7" s="3405"/>
      <c r="AA7" s="3398"/>
      <c r="AB7" s="3398"/>
      <c r="AC7" s="3398"/>
    </row>
    <row r="8" spans="1:29" ht="15.75" thickBot="1">
      <c r="A8" s="517"/>
      <c r="B8" s="518"/>
      <c r="C8" s="3423" t="s">
        <v>2923</v>
      </c>
      <c r="D8" s="3424"/>
      <c r="E8" s="3442" t="s">
        <v>2923</v>
      </c>
      <c r="F8" s="3443"/>
      <c r="G8" s="3423" t="s">
        <v>2923</v>
      </c>
      <c r="H8" s="3424"/>
      <c r="I8" s="3423" t="s">
        <v>2923</v>
      </c>
      <c r="J8" s="3424"/>
      <c r="K8" s="514" t="s">
        <v>527</v>
      </c>
      <c r="L8" s="2117"/>
      <c r="M8" s="2118"/>
      <c r="N8" s="2118"/>
      <c r="O8" s="2118"/>
      <c r="P8" s="3420"/>
      <c r="Q8" s="3421"/>
      <c r="R8" s="3404"/>
      <c r="S8" s="3405"/>
      <c r="T8" s="3406"/>
      <c r="U8" s="3407"/>
      <c r="V8" s="3422"/>
      <c r="W8" s="3422"/>
      <c r="X8" s="1552"/>
      <c r="Y8" s="3406"/>
      <c r="Z8" s="3407"/>
      <c r="AA8" s="3399"/>
      <c r="AB8" s="3399"/>
      <c r="AC8" s="3399"/>
    </row>
    <row r="9" spans="1:29" s="1216" customFormat="1" ht="15.75" thickBot="1">
      <c r="A9" s="2866"/>
      <c r="B9" s="2873"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00" t="s">
        <v>529</v>
      </c>
      <c r="Q9" s="3409"/>
      <c r="R9" s="1553" t="s">
        <v>8</v>
      </c>
      <c r="S9" s="1554">
        <f t="shared" ref="S9:S17" si="0">F9</f>
        <v>0</v>
      </c>
      <c r="T9" s="1553" t="s">
        <v>8</v>
      </c>
      <c r="U9" s="1554">
        <f t="shared" ref="U9:U17" si="1">H9</f>
        <v>0</v>
      </c>
      <c r="V9" s="1553" t="s">
        <v>8</v>
      </c>
      <c r="W9" s="1554">
        <f t="shared" ref="W9:W17" si="2">J9</f>
        <v>0</v>
      </c>
      <c r="X9" s="1555"/>
      <c r="Y9" s="3400" t="s">
        <v>529</v>
      </c>
      <c r="Z9" s="3401"/>
      <c r="AA9" s="1556" t="e">
        <f>D9/F9</f>
        <v>#DIV/0!</v>
      </c>
      <c r="AB9" s="1556" t="e">
        <f>D9/H9</f>
        <v>#DIV/0!</v>
      </c>
      <c r="AC9" s="1556" t="e">
        <f>D9/J9</f>
        <v>#DIV/0!</v>
      </c>
    </row>
    <row r="10" spans="1:29" s="1216" customFormat="1" ht="15.7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00" t="s">
        <v>532</v>
      </c>
      <c r="Q10" s="3401"/>
      <c r="R10" s="1553" t="s">
        <v>8</v>
      </c>
      <c r="S10" s="1554">
        <f t="shared" si="0"/>
        <v>0</v>
      </c>
      <c r="T10" s="1553" t="s">
        <v>8</v>
      </c>
      <c r="U10" s="1554">
        <f t="shared" si="1"/>
        <v>0</v>
      </c>
      <c r="V10" s="1553" t="s">
        <v>8</v>
      </c>
      <c r="W10" s="1554">
        <f t="shared" si="2"/>
        <v>0</v>
      </c>
      <c r="X10" s="1555"/>
      <c r="Y10" s="3400" t="s">
        <v>532</v>
      </c>
      <c r="Z10" s="3401"/>
      <c r="AA10" s="1556" t="e">
        <f t="shared" ref="AA10:AA42" si="3">D10/F10</f>
        <v>#DIV/0!</v>
      </c>
      <c r="AB10" s="1556" t="e">
        <f t="shared" ref="AB10:AB42" si="4">D10/H10</f>
        <v>#DIV/0!</v>
      </c>
      <c r="AC10" s="1556" t="e">
        <f t="shared" ref="AC10:AC42" si="5">D10/J10</f>
        <v>#DIV/0!</v>
      </c>
    </row>
    <row r="11" spans="1:29" s="1216" customFormat="1" ht="15">
      <c r="A11" s="2868"/>
      <c r="B11" s="2875" t="s">
        <v>2754</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408" t="s">
        <v>534</v>
      </c>
      <c r="Q11" s="1147" t="str">
        <f t="shared" ref="Q11:Q17" si="6">B11</f>
        <v>用途</v>
      </c>
      <c r="R11" s="1553" t="s">
        <v>8</v>
      </c>
      <c r="S11" s="1554">
        <f t="shared" si="0"/>
        <v>100</v>
      </c>
      <c r="T11" s="1553" t="s">
        <v>8</v>
      </c>
      <c r="U11" s="1554">
        <f t="shared" si="1"/>
        <v>100</v>
      </c>
      <c r="V11" s="1553" t="s">
        <v>8</v>
      </c>
      <c r="W11" s="1554">
        <f t="shared" si="2"/>
        <v>100</v>
      </c>
      <c r="X11" s="1555"/>
      <c r="Y11" s="3365" t="s">
        <v>535</v>
      </c>
      <c r="Z11" s="1146" t="str">
        <f t="shared" ref="Z11:Z17" si="7">Q11</f>
        <v>用途</v>
      </c>
      <c r="AA11" s="1556">
        <f t="shared" si="3"/>
        <v>1</v>
      </c>
      <c r="AB11" s="1556">
        <f t="shared" si="4"/>
        <v>1</v>
      </c>
      <c r="AC11" s="1556">
        <f t="shared" si="5"/>
        <v>1</v>
      </c>
    </row>
    <row r="12" spans="1:29" s="1332" customFormat="1" ht="27">
      <c r="A12" s="2869"/>
      <c r="B12" s="2874" t="s">
        <v>2755</v>
      </c>
      <c r="C12" s="528"/>
      <c r="D12" s="255">
        <v>100</v>
      </c>
      <c r="E12" s="528"/>
      <c r="F12" s="255">
        <f>ROUND(100/'数据-取费表'!G16,0)</f>
        <v>101</v>
      </c>
      <c r="G12" s="528"/>
      <c r="H12" s="255">
        <f>ROUND(100/'数据-取费表'!G16,0)</f>
        <v>101</v>
      </c>
      <c r="I12" s="528"/>
      <c r="J12" s="255">
        <f>ROUND(100/'数据-取费表'!G16,0)</f>
        <v>101</v>
      </c>
      <c r="K12" s="531"/>
      <c r="L12" s="2122"/>
      <c r="M12" s="2162"/>
      <c r="N12" s="2162"/>
      <c r="O12" s="2123"/>
      <c r="P12" s="3408"/>
      <c r="Q12" s="1147" t="str">
        <f t="shared" si="6"/>
        <v>土地使用年限（年）</v>
      </c>
      <c r="R12" s="1553" t="s">
        <v>8</v>
      </c>
      <c r="S12" s="1554">
        <f t="shared" si="0"/>
        <v>101</v>
      </c>
      <c r="T12" s="1553" t="s">
        <v>8</v>
      </c>
      <c r="U12" s="1554">
        <f t="shared" si="1"/>
        <v>101</v>
      </c>
      <c r="V12" s="1553" t="s">
        <v>8</v>
      </c>
      <c r="W12" s="1554">
        <f t="shared" si="2"/>
        <v>101</v>
      </c>
      <c r="X12" s="1555"/>
      <c r="Y12" s="3365"/>
      <c r="Z12" s="1146" t="str">
        <f t="shared" si="7"/>
        <v>土地使用年限（年）</v>
      </c>
      <c r="AA12" s="1556">
        <f t="shared" si="3"/>
        <v>0.99009900990099009</v>
      </c>
      <c r="AB12" s="1556">
        <f t="shared" si="4"/>
        <v>0.99009900990099009</v>
      </c>
      <c r="AC12" s="1556">
        <f t="shared" si="5"/>
        <v>0.99009900990099009</v>
      </c>
    </row>
    <row r="13" spans="1:29" ht="15">
      <c r="A13" s="2870"/>
      <c r="B13" s="2874"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408"/>
      <c r="Q13" s="1147" t="str">
        <f t="shared" si="6"/>
        <v>容积率</v>
      </c>
      <c r="R13" s="1553" t="s">
        <v>8</v>
      </c>
      <c r="S13" s="1554" t="e">
        <f t="shared" si="0"/>
        <v>#N/A</v>
      </c>
      <c r="T13" s="1553" t="s">
        <v>8</v>
      </c>
      <c r="U13" s="1554" t="e">
        <f t="shared" si="1"/>
        <v>#N/A</v>
      </c>
      <c r="V13" s="1553" t="s">
        <v>8</v>
      </c>
      <c r="W13" s="1554" t="e">
        <f t="shared" si="2"/>
        <v>#N/A</v>
      </c>
      <c r="X13" s="1555"/>
      <c r="Y13" s="3365"/>
      <c r="Z13" s="1146" t="str">
        <f t="shared" si="7"/>
        <v>容积率</v>
      </c>
      <c r="AA13" s="1556" t="e">
        <f t="shared" si="3"/>
        <v>#N/A</v>
      </c>
      <c r="AB13" s="1556" t="e">
        <f t="shared" si="4"/>
        <v>#N/A</v>
      </c>
      <c r="AC13" s="1556"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408"/>
      <c r="Q14" s="1147">
        <f t="shared" si="6"/>
        <v>111</v>
      </c>
      <c r="R14" s="1553" t="s">
        <v>8</v>
      </c>
      <c r="S14" s="1554">
        <f t="shared" si="0"/>
        <v>100</v>
      </c>
      <c r="T14" s="1553" t="s">
        <v>8</v>
      </c>
      <c r="U14" s="1554">
        <f t="shared" si="1"/>
        <v>100</v>
      </c>
      <c r="V14" s="1553" t="s">
        <v>8</v>
      </c>
      <c r="W14" s="1554">
        <f t="shared" si="2"/>
        <v>100</v>
      </c>
      <c r="X14" s="1555"/>
      <c r="Y14" s="3365"/>
      <c r="Z14" s="1146">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408"/>
      <c r="Q15" s="1147">
        <f t="shared" si="6"/>
        <v>111</v>
      </c>
      <c r="R15" s="1553" t="s">
        <v>8</v>
      </c>
      <c r="S15" s="1554">
        <f t="shared" si="0"/>
        <v>100</v>
      </c>
      <c r="T15" s="1553" t="s">
        <v>8</v>
      </c>
      <c r="U15" s="1554">
        <f t="shared" si="1"/>
        <v>100</v>
      </c>
      <c r="V15" s="1553" t="s">
        <v>8</v>
      </c>
      <c r="W15" s="1554">
        <f t="shared" si="2"/>
        <v>100</v>
      </c>
      <c r="X15" s="1555"/>
      <c r="Y15" s="3365"/>
      <c r="Z15" s="1146">
        <f t="shared" si="7"/>
        <v>111</v>
      </c>
      <c r="AA15" s="1556">
        <f t="shared" si="3"/>
        <v>1</v>
      </c>
      <c r="AB15" s="1556">
        <f t="shared" si="4"/>
        <v>1</v>
      </c>
      <c r="AC15" s="1556">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408"/>
      <c r="Q16" s="1147">
        <f t="shared" si="6"/>
        <v>111</v>
      </c>
      <c r="R16" s="1553" t="s">
        <v>8</v>
      </c>
      <c r="S16" s="1554">
        <f t="shared" si="0"/>
        <v>100</v>
      </c>
      <c r="T16" s="1553" t="s">
        <v>8</v>
      </c>
      <c r="U16" s="1554">
        <f t="shared" si="1"/>
        <v>100</v>
      </c>
      <c r="V16" s="1553" t="s">
        <v>8</v>
      </c>
      <c r="W16" s="1554">
        <f t="shared" si="2"/>
        <v>100</v>
      </c>
      <c r="X16" s="1555"/>
      <c r="Y16" s="3365"/>
      <c r="Z16" s="1146">
        <f t="shared" si="7"/>
        <v>111</v>
      </c>
      <c r="AA16" s="1556">
        <f t="shared" si="3"/>
        <v>1</v>
      </c>
      <c r="AB16" s="1556">
        <f t="shared" si="4"/>
        <v>1</v>
      </c>
      <c r="AC16" s="1556">
        <f t="shared" si="5"/>
        <v>1</v>
      </c>
    </row>
    <row r="17" spans="1:29" ht="15">
      <c r="A17" s="2864"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10" t="s">
        <v>539</v>
      </c>
      <c r="Q17" s="1557" t="str">
        <f t="shared" si="6"/>
        <v>产业集聚程度</v>
      </c>
      <c r="R17" s="1558" t="s">
        <v>8</v>
      </c>
      <c r="S17" s="1559">
        <f t="shared" si="0"/>
        <v>100</v>
      </c>
      <c r="T17" s="1558" t="s">
        <v>8</v>
      </c>
      <c r="U17" s="1559">
        <f t="shared" si="1"/>
        <v>100</v>
      </c>
      <c r="V17" s="1558" t="s">
        <v>8</v>
      </c>
      <c r="W17" s="1559">
        <f t="shared" si="2"/>
        <v>100</v>
      </c>
      <c r="X17" s="1552"/>
      <c r="Y17" s="3410" t="s">
        <v>539</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11"/>
      <c r="Q18" s="1557"/>
      <c r="R18" s="1558"/>
      <c r="S18" s="1559"/>
      <c r="T18" s="1558"/>
      <c r="U18" s="1559"/>
      <c r="V18" s="1558"/>
      <c r="W18" s="1559"/>
      <c r="X18" s="1552"/>
      <c r="Y18" s="3411"/>
      <c r="Z18" s="1560"/>
      <c r="AA18" s="1561">
        <v>1</v>
      </c>
      <c r="AB18" s="1561">
        <v>1</v>
      </c>
      <c r="AC18" s="1561">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11"/>
      <c r="Q19" s="1557" t="str">
        <f>B19</f>
        <v>交通便捷度</v>
      </c>
      <c r="R19" s="1558" t="s">
        <v>8</v>
      </c>
      <c r="S19" s="1559">
        <f>F19</f>
        <v>100</v>
      </c>
      <c r="T19" s="1558" t="s">
        <v>8</v>
      </c>
      <c r="U19" s="1559">
        <f>H19</f>
        <v>100</v>
      </c>
      <c r="V19" s="1558" t="s">
        <v>8</v>
      </c>
      <c r="W19" s="1559">
        <f>J19</f>
        <v>100</v>
      </c>
      <c r="X19" s="1552"/>
      <c r="Y19" s="3411"/>
      <c r="Z19" s="1560" t="str">
        <f>Q19</f>
        <v>交通便捷度</v>
      </c>
      <c r="AA19" s="1561">
        <f t="shared" si="3"/>
        <v>1</v>
      </c>
      <c r="AB19" s="1561">
        <f t="shared" si="4"/>
        <v>1</v>
      </c>
      <c r="AC19" s="1561">
        <f t="shared" si="5"/>
        <v>1</v>
      </c>
    </row>
    <row r="20" spans="1:29" ht="15">
      <c r="A20" s="532"/>
      <c r="B20" s="922"/>
      <c r="C20" s="576"/>
      <c r="D20" s="555"/>
      <c r="E20" s="556"/>
      <c r="F20" s="555"/>
      <c r="G20" s="556"/>
      <c r="H20" s="555"/>
      <c r="I20" s="558"/>
      <c r="J20" s="555"/>
      <c r="K20" s="531"/>
      <c r="L20" s="2126"/>
      <c r="M20" s="2118"/>
      <c r="N20" s="2118"/>
      <c r="O20" s="2125"/>
      <c r="P20" s="3411"/>
      <c r="Q20" s="1557"/>
      <c r="R20" s="1558"/>
      <c r="S20" s="1559"/>
      <c r="T20" s="1558"/>
      <c r="U20" s="1559"/>
      <c r="V20" s="1558"/>
      <c r="W20" s="1559"/>
      <c r="X20" s="1552"/>
      <c r="Y20" s="3411"/>
      <c r="Z20" s="1560"/>
      <c r="AA20" s="1561">
        <v>1</v>
      </c>
      <c r="AB20" s="1561">
        <v>1</v>
      </c>
      <c r="AC20" s="1561">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11"/>
      <c r="Q21" s="1557" t="str">
        <f t="shared" ref="Q21:Q35" si="8">B21</f>
        <v>区域土地利用方向</v>
      </c>
      <c r="R21" s="1558" t="s">
        <v>8</v>
      </c>
      <c r="S21" s="1559">
        <f>F21</f>
        <v>100</v>
      </c>
      <c r="T21" s="1558" t="s">
        <v>8</v>
      </c>
      <c r="U21" s="1559">
        <f>H21</f>
        <v>100</v>
      </c>
      <c r="V21" s="1558" t="s">
        <v>8</v>
      </c>
      <c r="W21" s="1559">
        <f>J21</f>
        <v>100</v>
      </c>
      <c r="X21" s="1552"/>
      <c r="Y21" s="3411"/>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11"/>
      <c r="Q22" s="1557"/>
      <c r="R22" s="1558"/>
      <c r="S22" s="1559"/>
      <c r="T22" s="1558"/>
      <c r="U22" s="1559"/>
      <c r="V22" s="1558"/>
      <c r="W22" s="1559"/>
      <c r="X22" s="1552"/>
      <c r="Y22" s="3411"/>
      <c r="Z22" s="1560"/>
      <c r="AA22" s="1561"/>
      <c r="AB22" s="1561"/>
      <c r="AC22" s="1561"/>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11"/>
      <c r="Q23" s="1557" t="str">
        <f t="shared" si="8"/>
        <v>环境状况</v>
      </c>
      <c r="R23" s="1558" t="s">
        <v>8</v>
      </c>
      <c r="S23" s="1559">
        <f>F23</f>
        <v>100</v>
      </c>
      <c r="T23" s="1558" t="s">
        <v>8</v>
      </c>
      <c r="U23" s="1559">
        <f>H23</f>
        <v>100</v>
      </c>
      <c r="V23" s="1558" t="s">
        <v>8</v>
      </c>
      <c r="W23" s="1559">
        <f>J23</f>
        <v>100</v>
      </c>
      <c r="X23" s="1552"/>
      <c r="Y23" s="3411"/>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11"/>
      <c r="Q24" s="1557"/>
      <c r="R24" s="1558"/>
      <c r="S24" s="1559"/>
      <c r="T24" s="1558"/>
      <c r="U24" s="1559"/>
      <c r="V24" s="1558"/>
      <c r="W24" s="1559"/>
      <c r="X24" s="1552"/>
      <c r="Y24" s="3411"/>
      <c r="Z24" s="1560"/>
      <c r="AA24" s="1561">
        <v>1</v>
      </c>
      <c r="AB24" s="1561">
        <v>1</v>
      </c>
      <c r="AC24" s="1561">
        <v>1</v>
      </c>
    </row>
    <row r="25" spans="1:29" s="1216" customFormat="1" ht="15">
      <c r="A25" s="577"/>
      <c r="B25" s="2556"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11"/>
      <c r="Q25" s="1147" t="str">
        <f t="shared" si="8"/>
        <v>公共配套设施</v>
      </c>
      <c r="R25" s="1553" t="s">
        <v>8</v>
      </c>
      <c r="S25" s="1554">
        <f>F25</f>
        <v>100</v>
      </c>
      <c r="T25" s="1553" t="s">
        <v>8</v>
      </c>
      <c r="U25" s="1554">
        <f>H25</f>
        <v>100</v>
      </c>
      <c r="V25" s="1553" t="s">
        <v>8</v>
      </c>
      <c r="W25" s="1554">
        <f>J25</f>
        <v>100</v>
      </c>
      <c r="X25" s="1555"/>
      <c r="Y25" s="3411"/>
      <c r="Z25" s="1146" t="str">
        <f>Q25</f>
        <v>公共配套设施</v>
      </c>
      <c r="AA25" s="1561">
        <f>D25/F25</f>
        <v>1</v>
      </c>
      <c r="AB25" s="1561">
        <f>D25/H25</f>
        <v>1</v>
      </c>
      <c r="AC25" s="1561">
        <f>D25/J25</f>
        <v>1</v>
      </c>
    </row>
    <row r="26" spans="1:29" s="1216" customFormat="1" ht="15">
      <c r="A26" s="577"/>
      <c r="B26" s="595"/>
      <c r="C26" s="2555"/>
      <c r="D26" s="555"/>
      <c r="E26" s="554"/>
      <c r="F26" s="555"/>
      <c r="G26" s="554"/>
      <c r="H26" s="555"/>
      <c r="I26" s="576"/>
      <c r="J26" s="555"/>
      <c r="K26" s="531"/>
      <c r="L26" s="2119"/>
      <c r="M26" s="2120"/>
      <c r="N26" s="2120"/>
      <c r="O26" s="2121"/>
      <c r="P26" s="3411"/>
      <c r="Q26" s="1147"/>
      <c r="R26" s="1553"/>
      <c r="S26" s="1554"/>
      <c r="T26" s="1553"/>
      <c r="U26" s="1554"/>
      <c r="V26" s="1553"/>
      <c r="W26" s="1554"/>
      <c r="X26" s="1555"/>
      <c r="Y26" s="3411"/>
      <c r="Z26" s="1146"/>
      <c r="AA26" s="1556">
        <v>1</v>
      </c>
      <c r="AB26" s="1556">
        <v>1</v>
      </c>
      <c r="AC26" s="1556">
        <v>1</v>
      </c>
    </row>
    <row r="27" spans="1:29" s="1216" customFormat="1" ht="15">
      <c r="A27" s="577"/>
      <c r="B27" s="2556"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11"/>
      <c r="Q27" s="2541" t="str">
        <f t="shared" ref="Q27" si="9">B27</f>
        <v>基础设施水平</v>
      </c>
      <c r="R27" s="1553" t="s">
        <v>8</v>
      </c>
      <c r="S27" s="1554">
        <f>F27</f>
        <v>100</v>
      </c>
      <c r="T27" s="1553" t="s">
        <v>8</v>
      </c>
      <c r="U27" s="1554">
        <f>H27</f>
        <v>100</v>
      </c>
      <c r="V27" s="1553" t="s">
        <v>8</v>
      </c>
      <c r="W27" s="1554">
        <f>J27</f>
        <v>100</v>
      </c>
      <c r="X27" s="1555"/>
      <c r="Y27" s="3411"/>
      <c r="Z27" s="2538" t="str">
        <f>Q27</f>
        <v>基础设施水平</v>
      </c>
      <c r="AA27" s="1561">
        <f>D27/F27</f>
        <v>1</v>
      </c>
      <c r="AB27" s="1561">
        <f>D27/H27</f>
        <v>1</v>
      </c>
      <c r="AC27" s="1561">
        <f>D27/J27</f>
        <v>1</v>
      </c>
    </row>
    <row r="28" spans="1:29" s="1216" customFormat="1" ht="15">
      <c r="A28" s="577"/>
      <c r="B28" s="595"/>
      <c r="C28" s="2555"/>
      <c r="D28" s="555"/>
      <c r="E28" s="579"/>
      <c r="F28" s="555"/>
      <c r="G28" s="579"/>
      <c r="H28" s="555"/>
      <c r="I28" s="579"/>
      <c r="J28" s="555"/>
      <c r="K28" s="531"/>
      <c r="L28" s="2119"/>
      <c r="M28" s="2120"/>
      <c r="N28" s="2120"/>
      <c r="O28" s="2121"/>
      <c r="P28" s="3411"/>
      <c r="Q28" s="2541"/>
      <c r="R28" s="1553"/>
      <c r="S28" s="1554"/>
      <c r="T28" s="1553"/>
      <c r="U28" s="1554"/>
      <c r="V28" s="1553"/>
      <c r="W28" s="1554"/>
      <c r="X28" s="1555"/>
      <c r="Y28" s="3411"/>
      <c r="Z28" s="2538"/>
      <c r="AA28" s="1556">
        <v>1</v>
      </c>
      <c r="AB28" s="1556">
        <v>1</v>
      </c>
      <c r="AC28" s="1556">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11"/>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11"/>
      <c r="Z29" s="1560" t="str">
        <f t="shared" ref="Z29:Z42" si="13">Q29</f>
        <v>临街状况</v>
      </c>
      <c r="AA29" s="1561">
        <f t="shared" si="3"/>
        <v>1</v>
      </c>
      <c r="AB29" s="1561">
        <f t="shared" si="4"/>
        <v>1</v>
      </c>
      <c r="AC29" s="1561">
        <f t="shared" si="5"/>
        <v>1</v>
      </c>
    </row>
    <row r="30" spans="1:29" ht="27">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11"/>
      <c r="Q30" s="1557" t="str">
        <f t="shared" si="8"/>
        <v>毗邻道路的类型与等级</v>
      </c>
      <c r="R30" s="1558" t="s">
        <v>8</v>
      </c>
      <c r="S30" s="1559">
        <f t="shared" si="10"/>
        <v>100</v>
      </c>
      <c r="T30" s="1558" t="s">
        <v>8</v>
      </c>
      <c r="U30" s="1559">
        <f t="shared" si="11"/>
        <v>100</v>
      </c>
      <c r="V30" s="1558" t="s">
        <v>8</v>
      </c>
      <c r="W30" s="1559">
        <f t="shared" si="12"/>
        <v>100</v>
      </c>
      <c r="X30" s="1552"/>
      <c r="Y30" s="3411"/>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11"/>
      <c r="Q31" s="1557"/>
      <c r="R31" s="1558"/>
      <c r="S31" s="1559"/>
      <c r="T31" s="1558"/>
      <c r="U31" s="1559"/>
      <c r="V31" s="1558"/>
      <c r="W31" s="1559"/>
      <c r="X31" s="1552"/>
      <c r="Y31" s="3411"/>
      <c r="Z31" s="1560"/>
      <c r="AA31" s="1561">
        <v>1</v>
      </c>
      <c r="AB31" s="1561">
        <v>1</v>
      </c>
      <c r="AC31" s="1561">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11"/>
      <c r="Q32" s="1557" t="str">
        <f t="shared" si="8"/>
        <v>土地级别</v>
      </c>
      <c r="R32" s="1558" t="s">
        <v>8</v>
      </c>
      <c r="S32" s="1559">
        <f t="shared" si="10"/>
        <v>100</v>
      </c>
      <c r="T32" s="1558" t="s">
        <v>8</v>
      </c>
      <c r="U32" s="1559">
        <f t="shared" si="11"/>
        <v>100</v>
      </c>
      <c r="V32" s="1558" t="s">
        <v>8</v>
      </c>
      <c r="W32" s="1559">
        <f t="shared" si="12"/>
        <v>100</v>
      </c>
      <c r="X32" s="1552"/>
      <c r="Y32" s="3411"/>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11"/>
      <c r="Q33" s="1557">
        <f t="shared" si="8"/>
        <v>111</v>
      </c>
      <c r="R33" s="1558" t="s">
        <v>8</v>
      </c>
      <c r="S33" s="1559">
        <f t="shared" si="10"/>
        <v>100</v>
      </c>
      <c r="T33" s="1558" t="s">
        <v>8</v>
      </c>
      <c r="U33" s="1559">
        <f t="shared" si="11"/>
        <v>100</v>
      </c>
      <c r="V33" s="1558" t="s">
        <v>8</v>
      </c>
      <c r="W33" s="1559">
        <f t="shared" si="12"/>
        <v>100</v>
      </c>
      <c r="X33" s="1552"/>
      <c r="Y33" s="3411"/>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12" t="s">
        <v>549</v>
      </c>
      <c r="Q34" s="1557">
        <f t="shared" si="8"/>
        <v>111</v>
      </c>
      <c r="R34" s="1558" t="s">
        <v>8</v>
      </c>
      <c r="S34" s="1559">
        <f t="shared" si="10"/>
        <v>100</v>
      </c>
      <c r="T34" s="1558" t="s">
        <v>8</v>
      </c>
      <c r="U34" s="1559">
        <f t="shared" si="11"/>
        <v>100</v>
      </c>
      <c r="V34" s="1558" t="s">
        <v>8</v>
      </c>
      <c r="W34" s="1559">
        <f t="shared" si="12"/>
        <v>100</v>
      </c>
      <c r="X34" s="1552"/>
      <c r="Y34" s="3413" t="s">
        <v>549</v>
      </c>
      <c r="Z34" s="1560">
        <f t="shared" si="13"/>
        <v>111</v>
      </c>
      <c r="AA34" s="1561">
        <f t="shared" si="3"/>
        <v>1</v>
      </c>
      <c r="AB34" s="1561">
        <f t="shared" si="4"/>
        <v>1</v>
      </c>
      <c r="AC34" s="1561">
        <f t="shared" si="5"/>
        <v>1</v>
      </c>
    </row>
    <row r="35" spans="1:29" s="1333"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13"/>
      <c r="Q35" s="1557">
        <f t="shared" si="8"/>
        <v>111</v>
      </c>
      <c r="R35" s="1562" t="s">
        <v>8</v>
      </c>
      <c r="S35" s="1563">
        <f t="shared" si="10"/>
        <v>100</v>
      </c>
      <c r="T35" s="1562" t="s">
        <v>8</v>
      </c>
      <c r="U35" s="1563">
        <f t="shared" si="11"/>
        <v>100</v>
      </c>
      <c r="V35" s="1562" t="s">
        <v>8</v>
      </c>
      <c r="W35" s="1563">
        <f t="shared" si="12"/>
        <v>100</v>
      </c>
      <c r="X35" s="1564"/>
      <c r="Y35" s="3413"/>
      <c r="Z35" s="1565">
        <f t="shared" si="13"/>
        <v>111</v>
      </c>
      <c r="AA35" s="1561">
        <f t="shared" si="3"/>
        <v>1</v>
      </c>
      <c r="AB35" s="1561">
        <f t="shared" si="4"/>
        <v>1</v>
      </c>
      <c r="AC35" s="1561">
        <f t="shared" si="5"/>
        <v>1</v>
      </c>
    </row>
    <row r="36" spans="1:29" ht="15">
      <c r="A36" s="2861"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13"/>
      <c r="Q36" s="1557" t="str">
        <f>B36</f>
        <v>宗地面积</v>
      </c>
      <c r="R36" s="1558" t="s">
        <v>8</v>
      </c>
      <c r="S36" s="1559" t="e">
        <f t="shared" si="10"/>
        <v>#N/A</v>
      </c>
      <c r="T36" s="1558" t="s">
        <v>8</v>
      </c>
      <c r="U36" s="1559" t="e">
        <f t="shared" si="11"/>
        <v>#N/A</v>
      </c>
      <c r="V36" s="1558" t="s">
        <v>8</v>
      </c>
      <c r="W36" s="1559" t="e">
        <f t="shared" si="12"/>
        <v>#N/A</v>
      </c>
      <c r="X36" s="1552"/>
      <c r="Y36" s="3413"/>
      <c r="Z36" s="1560" t="str">
        <f t="shared" si="13"/>
        <v>宗地面积</v>
      </c>
      <c r="AA36" s="1561" t="e">
        <f t="shared" si="3"/>
        <v>#N/A</v>
      </c>
      <c r="AB36" s="1561" t="e">
        <f t="shared" si="4"/>
        <v>#N/A</v>
      </c>
      <c r="AC36" s="1561"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13"/>
      <c r="Q37" s="1557" t="str">
        <f t="shared" ref="Q37:Q42" si="14">B37</f>
        <v>宗地形状</v>
      </c>
      <c r="R37" s="1558" t="s">
        <v>8</v>
      </c>
      <c r="S37" s="1559">
        <f t="shared" si="10"/>
        <v>100</v>
      </c>
      <c r="T37" s="1558" t="s">
        <v>8</v>
      </c>
      <c r="U37" s="1559">
        <f t="shared" si="11"/>
        <v>100</v>
      </c>
      <c r="V37" s="1558" t="s">
        <v>8</v>
      </c>
      <c r="W37" s="1559">
        <f t="shared" si="12"/>
        <v>100</v>
      </c>
      <c r="X37" s="1552"/>
      <c r="Y37" s="3413"/>
      <c r="Z37" s="1560" t="str">
        <f t="shared" si="13"/>
        <v>宗地形状</v>
      </c>
      <c r="AA37" s="1561">
        <f t="shared" si="3"/>
        <v>1</v>
      </c>
      <c r="AB37" s="1561">
        <f t="shared" si="4"/>
        <v>1</v>
      </c>
      <c r="AC37" s="1561">
        <f t="shared" si="5"/>
        <v>1</v>
      </c>
    </row>
    <row r="38" spans="1:29" s="1216" customFormat="1" ht="15">
      <c r="A38" s="600"/>
      <c r="B38" s="1879"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13"/>
      <c r="Q38" s="1557" t="str">
        <f t="shared" si="14"/>
        <v>宗地开发程度</v>
      </c>
      <c r="R38" s="1553" t="s">
        <v>8</v>
      </c>
      <c r="S38" s="1554">
        <f t="shared" si="10"/>
        <v>100</v>
      </c>
      <c r="T38" s="1553" t="s">
        <v>8</v>
      </c>
      <c r="U38" s="1554">
        <f t="shared" si="11"/>
        <v>100</v>
      </c>
      <c r="V38" s="1553" t="s">
        <v>8</v>
      </c>
      <c r="W38" s="1554">
        <f t="shared" si="12"/>
        <v>100</v>
      </c>
      <c r="X38" s="1555"/>
      <c r="Y38" s="3413"/>
      <c r="Z38" s="1146" t="str">
        <f t="shared" si="13"/>
        <v>宗地开发程度</v>
      </c>
      <c r="AA38" s="1556">
        <f t="shared" si="3"/>
        <v>1</v>
      </c>
      <c r="AB38" s="1556">
        <f t="shared" si="4"/>
        <v>1</v>
      </c>
      <c r="AC38" s="1556">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3" t="s">
        <v>600</v>
      </c>
      <c r="Q39" s="1557" t="str">
        <f t="shared" si="14"/>
        <v>工程地质条件</v>
      </c>
      <c r="R39" s="1558" t="s">
        <v>8</v>
      </c>
      <c r="S39" s="1559">
        <f t="shared" si="10"/>
        <v>100</v>
      </c>
      <c r="T39" s="1558" t="s">
        <v>8</v>
      </c>
      <c r="U39" s="1559">
        <f t="shared" si="11"/>
        <v>100</v>
      </c>
      <c r="V39" s="1558" t="s">
        <v>8</v>
      </c>
      <c r="W39" s="1559">
        <f t="shared" si="12"/>
        <v>100</v>
      </c>
      <c r="X39" s="1552"/>
      <c r="Y39" s="3413" t="s">
        <v>600</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13"/>
      <c r="Q40" s="1557">
        <f t="shared" si="14"/>
        <v>111</v>
      </c>
      <c r="R40" s="1558" t="s">
        <v>8</v>
      </c>
      <c r="S40" s="1559">
        <f t="shared" si="10"/>
        <v>100</v>
      </c>
      <c r="T40" s="1558" t="s">
        <v>8</v>
      </c>
      <c r="U40" s="1559">
        <f t="shared" si="11"/>
        <v>100</v>
      </c>
      <c r="V40" s="1558" t="s">
        <v>8</v>
      </c>
      <c r="W40" s="1559">
        <f t="shared" si="12"/>
        <v>100</v>
      </c>
      <c r="X40" s="1552"/>
      <c r="Y40" s="3413"/>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13"/>
      <c r="Q41" s="1557">
        <f t="shared" si="14"/>
        <v>111</v>
      </c>
      <c r="R41" s="1558" t="s">
        <v>8</v>
      </c>
      <c r="S41" s="1559">
        <f t="shared" si="10"/>
        <v>100</v>
      </c>
      <c r="T41" s="1558" t="s">
        <v>8</v>
      </c>
      <c r="U41" s="1559">
        <f t="shared" si="11"/>
        <v>100</v>
      </c>
      <c r="V41" s="1558" t="s">
        <v>8</v>
      </c>
      <c r="W41" s="1559">
        <f t="shared" si="12"/>
        <v>100</v>
      </c>
      <c r="X41" s="1552"/>
      <c r="Y41" s="3413"/>
      <c r="Z41" s="1560">
        <f t="shared" si="13"/>
        <v>111</v>
      </c>
      <c r="AA41" s="1561">
        <f t="shared" si="3"/>
        <v>1</v>
      </c>
      <c r="AB41" s="1561">
        <f t="shared" si="4"/>
        <v>1</v>
      </c>
      <c r="AC41" s="1561">
        <f t="shared" si="5"/>
        <v>1</v>
      </c>
    </row>
    <row r="42" spans="1:29" s="1333"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13"/>
      <c r="Q42" s="1557">
        <f t="shared" si="14"/>
        <v>111</v>
      </c>
      <c r="R42" s="1562" t="s">
        <v>8</v>
      </c>
      <c r="S42" s="1563">
        <f t="shared" si="10"/>
        <v>100</v>
      </c>
      <c r="T42" s="1562" t="s">
        <v>8</v>
      </c>
      <c r="U42" s="1563">
        <f t="shared" si="11"/>
        <v>100</v>
      </c>
      <c r="V42" s="1562" t="s">
        <v>8</v>
      </c>
      <c r="W42" s="1563">
        <f t="shared" si="12"/>
        <v>100</v>
      </c>
      <c r="X42" s="1564"/>
      <c r="Y42" s="3413"/>
      <c r="Z42" s="1565">
        <f t="shared" si="13"/>
        <v>111</v>
      </c>
      <c r="AA42" s="1561">
        <f t="shared" si="3"/>
        <v>1</v>
      </c>
      <c r="AB42" s="1561">
        <f t="shared" si="4"/>
        <v>1</v>
      </c>
      <c r="AC42" s="1561">
        <f t="shared" si="5"/>
        <v>1</v>
      </c>
    </row>
    <row r="43" spans="1:29" ht="15">
      <c r="A43" s="607" t="s">
        <v>555</v>
      </c>
      <c r="B43" s="608" t="s">
        <v>2924</v>
      </c>
      <c r="C43" s="609" t="s">
        <v>1</v>
      </c>
      <c r="D43" s="610"/>
      <c r="E43" s="611"/>
      <c r="F43" s="612"/>
      <c r="G43" s="613"/>
      <c r="H43" s="614"/>
      <c r="I43" s="611"/>
      <c r="J43" s="614"/>
      <c r="K43" s="1334"/>
      <c r="L43" s="2128"/>
      <c r="M43" s="2118"/>
      <c r="N43" s="2118"/>
      <c r="O43" s="2129"/>
      <c r="P43" s="3408" t="str">
        <f>A43</f>
        <v>成交单价</v>
      </c>
      <c r="Q43" s="3408"/>
      <c r="R43" s="3422">
        <f>E43</f>
        <v>0</v>
      </c>
      <c r="S43" s="3422"/>
      <c r="T43" s="3422">
        <f>G43</f>
        <v>0</v>
      </c>
      <c r="U43" s="3422"/>
      <c r="V43" s="3422">
        <f>I43</f>
        <v>0</v>
      </c>
      <c r="W43" s="3422"/>
      <c r="X43" s="1544"/>
      <c r="Y43" s="1566"/>
      <c r="Z43" s="1544"/>
      <c r="AA43" s="1544"/>
      <c r="AB43" s="1544"/>
      <c r="AC43" s="1544"/>
    </row>
    <row r="44" spans="1:29" ht="15.75" thickBot="1">
      <c r="A44" s="615" t="s">
        <v>2691</v>
      </c>
      <c r="B44" s="616"/>
      <c r="C44" s="617" t="e">
        <f>R45</f>
        <v>#DIV/0!</v>
      </c>
      <c r="D44" s="618"/>
      <c r="E44" s="617" t="e">
        <f>R44</f>
        <v>#DIV/0!</v>
      </c>
      <c r="F44" s="619"/>
      <c r="G44" s="620" t="e">
        <f>T44</f>
        <v>#DIV/0!</v>
      </c>
      <c r="H44" s="618"/>
      <c r="I44" s="617" t="e">
        <f>V44</f>
        <v>#DIV/0!</v>
      </c>
      <c r="J44" s="618"/>
      <c r="K44" s="1335"/>
      <c r="L44" s="2128"/>
      <c r="M44" s="2118"/>
      <c r="N44" s="2118"/>
      <c r="O44" s="2129"/>
      <c r="P44" s="3408" t="str">
        <f>A44</f>
        <v>比较价格（元/平方米）</v>
      </c>
      <c r="Q44" s="3408"/>
      <c r="R44" s="3432" t="e">
        <f>ROUND(PRODUCT(R43,AA9:AA42),0)</f>
        <v>#DIV/0!</v>
      </c>
      <c r="S44" s="3432"/>
      <c r="T44" s="3432" t="e">
        <f>ROUND(PRODUCT(T43,AB9:AB42),0)</f>
        <v>#DIV/0!</v>
      </c>
      <c r="U44" s="3432"/>
      <c r="V44" s="3432" t="e">
        <f>ROUND(PRODUCT(V43,AC9:AC42),0)</f>
        <v>#DIV/0!</v>
      </c>
      <c r="W44" s="3432"/>
      <c r="X44" s="1544"/>
      <c r="Y44" s="1544"/>
      <c r="Z44" s="1544"/>
      <c r="AA44" s="1544"/>
      <c r="AB44" s="1544"/>
      <c r="AC44" s="1544"/>
    </row>
    <row r="45" spans="1:29" ht="15.75" thickBot="1">
      <c r="A45" s="621" t="s">
        <v>2925</v>
      </c>
      <c r="B45" s="622"/>
      <c r="C45" s="623" t="e">
        <f>R45</f>
        <v>#DIV/0!</v>
      </c>
      <c r="D45" s="623"/>
      <c r="E45" s="623"/>
      <c r="F45" s="623"/>
      <c r="G45" s="623"/>
      <c r="H45" s="623"/>
      <c r="I45" s="623"/>
      <c r="J45" s="623"/>
      <c r="K45" s="1336"/>
      <c r="L45" s="2128"/>
      <c r="M45" s="2118"/>
      <c r="N45" s="2118"/>
      <c r="O45" s="2129"/>
      <c r="P45" s="3429" t="str">
        <f>A45</f>
        <v>估价对象XX用房的比较价格（楼面单价，元/平方米）</v>
      </c>
      <c r="Q45" s="3430"/>
      <c r="R45" s="3431" t="e">
        <f>ROUND(AVERAGE(R44:V44),0)</f>
        <v>#DIV/0!</v>
      </c>
      <c r="S45" s="3431"/>
      <c r="T45" s="3431"/>
      <c r="U45" s="3431"/>
      <c r="V45" s="3431"/>
      <c r="W45" s="3431"/>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29" t="s">
        <v>559</v>
      </c>
      <c r="B52" s="630" t="s">
        <v>560</v>
      </c>
      <c r="C52" s="1545" t="s">
        <v>1723</v>
      </c>
      <c r="D52" s="2211" t="s">
        <v>2292</v>
      </c>
      <c r="E52" s="631" t="s">
        <v>561</v>
      </c>
      <c r="F52" s="1935" t="s">
        <v>562</v>
      </c>
      <c r="G52" s="3433" t="s">
        <v>2283</v>
      </c>
      <c r="H52" s="3434"/>
      <c r="I52" s="1936" t="s">
        <v>1944</v>
      </c>
      <c r="J52" s="1540">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2.75">
      <c r="A53" s="633" t="s">
        <v>563</v>
      </c>
      <c r="B53" s="634" t="e">
        <f>C45</f>
        <v>#DIV/0!</v>
      </c>
      <c r="C53" s="635">
        <v>1</v>
      </c>
      <c r="D53" s="2212">
        <v>1</v>
      </c>
      <c r="E53" s="635">
        <f>'数据-汇总表'!E8+'数据-汇总表'!E9</f>
        <v>321749.09999999998</v>
      </c>
      <c r="F53" s="1934" t="e">
        <f t="shared" ref="F53:F62" si="15">ROUND(B53*E53/10000,0)</f>
        <v>#DIV/0!</v>
      </c>
      <c r="G53" s="3435"/>
      <c r="H53" s="3436"/>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2.75">
      <c r="A54" s="637" t="s">
        <v>564</v>
      </c>
      <c r="B54" s="638" t="e">
        <f>ROUND($C$45*C54*D54,0)</f>
        <v>#DIV/0!</v>
      </c>
      <c r="C54" s="378">
        <f t="shared" ref="C54:C62" si="16">IF($C$52="北京市系数",I54,J54)</f>
        <v>0</v>
      </c>
      <c r="D54" s="2213">
        <v>0.25</v>
      </c>
      <c r="E54" s="639"/>
      <c r="F54" s="1934" t="e">
        <f t="shared" si="15"/>
        <v>#DIV/0!</v>
      </c>
      <c r="G54" s="3437"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2.75">
      <c r="A55" s="637" t="s">
        <v>565</v>
      </c>
      <c r="B55" s="638" t="e">
        <f t="shared" ref="B55:B62" si="17">ROUND($C$45*C55*D55,0)</f>
        <v>#DIV/0!</v>
      </c>
      <c r="C55" s="378">
        <f t="shared" si="16"/>
        <v>0</v>
      </c>
      <c r="D55" s="2213">
        <v>0.25</v>
      </c>
      <c r="E55" s="639"/>
      <c r="F55" s="1934" t="e">
        <f t="shared" si="15"/>
        <v>#DIV/0!</v>
      </c>
      <c r="G55" s="3437"/>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2.75">
      <c r="A56" s="637" t="s">
        <v>566</v>
      </c>
      <c r="B56" s="638" t="e">
        <f t="shared" si="17"/>
        <v>#DIV/0!</v>
      </c>
      <c r="C56" s="378">
        <f t="shared" si="16"/>
        <v>0</v>
      </c>
      <c r="D56" s="2213">
        <v>0.25</v>
      </c>
      <c r="E56" s="639"/>
      <c r="F56" s="1934" t="e">
        <f t="shared" si="15"/>
        <v>#DIV/0!</v>
      </c>
      <c r="G56" s="3437"/>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2.75">
      <c r="A57" s="637" t="s">
        <v>567</v>
      </c>
      <c r="B57" s="638" t="e">
        <f t="shared" si="17"/>
        <v>#DIV/0!</v>
      </c>
      <c r="C57" s="378">
        <f t="shared" si="16"/>
        <v>0</v>
      </c>
      <c r="D57" s="2213">
        <v>0.25</v>
      </c>
      <c r="E57" s="639"/>
      <c r="F57" s="1934" t="e">
        <f t="shared" si="15"/>
        <v>#DIV/0!</v>
      </c>
      <c r="G57" s="3437"/>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2.75">
      <c r="A58" s="2315" t="s">
        <v>2327</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2.75">
      <c r="A59" s="637" t="s">
        <v>568</v>
      </c>
      <c r="B59" s="638" t="e">
        <f t="shared" si="17"/>
        <v>#DIV/0!</v>
      </c>
      <c r="C59" s="378">
        <f t="shared" si="16"/>
        <v>0</v>
      </c>
      <c r="D59" s="2213">
        <v>0.25</v>
      </c>
      <c r="E59" s="641">
        <f>'数据-汇总表'!E12</f>
        <v>0</v>
      </c>
      <c r="F59" s="1934" t="e">
        <f t="shared" si="15"/>
        <v>#DIV/0!</v>
      </c>
      <c r="G59" s="1930" t="s">
        <v>1676</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2.75">
      <c r="A60" s="637" t="s">
        <v>569</v>
      </c>
      <c r="B60" s="638" t="e">
        <f t="shared" si="17"/>
        <v>#DIV/0!</v>
      </c>
      <c r="C60" s="378">
        <f t="shared" si="16"/>
        <v>0</v>
      </c>
      <c r="D60" s="2213">
        <v>0.25</v>
      </c>
      <c r="E60" s="641">
        <f>'数据-汇总表'!E13</f>
        <v>0</v>
      </c>
      <c r="F60" s="1934" t="e">
        <f t="shared" si="15"/>
        <v>#DIV/0!</v>
      </c>
      <c r="G60" s="1930" t="s">
        <v>922</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2.75">
      <c r="A61" s="637" t="s">
        <v>570</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5" thickBot="1">
      <c r="A62" s="637" t="s">
        <v>571</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5" thickBot="1">
      <c r="A63" s="642" t="s">
        <v>572</v>
      </c>
      <c r="B63" s="643" t="s">
        <v>17</v>
      </c>
      <c r="C63" s="643" t="s">
        <v>18</v>
      </c>
      <c r="D63" s="643" t="s">
        <v>2293</v>
      </c>
      <c r="E63" s="643">
        <f>IF(B43="楼面地价",SUM(E53:E62),'数据-汇总表'!D3)</f>
        <v>71994.8</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29"/>
      <c r="P65" s="2129"/>
      <c r="Q65" s="2129"/>
      <c r="R65" s="2129"/>
      <c r="S65" s="2129"/>
      <c r="T65" s="2129"/>
      <c r="U65" s="2129"/>
      <c r="V65" s="2129"/>
      <c r="W65" s="2129"/>
      <c r="X65" s="2129"/>
      <c r="Y65" s="2129"/>
      <c r="Z65" s="2129"/>
      <c r="AA65" s="2129"/>
      <c r="AB65" s="2129"/>
      <c r="AC65" s="2129"/>
    </row>
    <row r="66" spans="1:29" ht="21.75" thickBot="1">
      <c r="A66" s="1569" t="s">
        <v>573</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5">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2647</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7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5">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5.75"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5.75"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7.75"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5.75"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5.75"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5.75"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5.75"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5.75"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5.75"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7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75" thickTop="1">
      <c r="A93" s="687"/>
      <c r="B93" s="1880" t="s">
        <v>2546</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5.75"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7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5.75"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7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5.75"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5"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5"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5.75"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2424</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5"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5.75"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5"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5.75"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1693</v>
      </c>
      <c r="B1" s="1395"/>
      <c r="C1" s="1401" t="s">
        <v>2425</v>
      </c>
      <c r="D1" s="1507">
        <f>SUM(D29:D30,D33:D39)</f>
        <v>0</v>
      </c>
      <c r="E1" s="1401" t="s">
        <v>2426</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2760</v>
      </c>
      <c r="S1" s="2890" t="s">
        <v>2761</v>
      </c>
      <c r="T1" s="2890" t="s">
        <v>2782</v>
      </c>
      <c r="U1" s="2890" t="s">
        <v>2783</v>
      </c>
      <c r="V1" s="2890" t="s">
        <v>2784</v>
      </c>
      <c r="W1" s="2173"/>
      <c r="X1" s="2173"/>
      <c r="Y1" s="2173"/>
      <c r="Z1" s="2173"/>
      <c r="AA1" s="2173"/>
      <c r="AB1" s="2173"/>
      <c r="AC1" s="2174"/>
    </row>
    <row r="2" spans="1:39" ht="15.75">
      <c r="A2" s="1401" t="s">
        <v>919</v>
      </c>
      <c r="B2" s="1038" t="e">
        <f>C26</f>
        <v>#DIV/0!</v>
      </c>
      <c r="C2" s="1402" t="s">
        <v>920</v>
      </c>
      <c r="D2" s="1403" t="s">
        <v>921</v>
      </c>
      <c r="E2" s="1404"/>
      <c r="F2" s="1403" t="s">
        <v>923</v>
      </c>
      <c r="G2" s="1636">
        <f>IF(E2="商业",项目基本情况!B43,IF(E2="办公",项目基本情况!C43,IF(E2="住宅",项目基本情况!D43,项目基本情况!E43)))</f>
        <v>0</v>
      </c>
      <c r="H2" s="1403" t="s">
        <v>925</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75">
      <c r="A3" s="1406" t="s">
        <v>1686</v>
      </c>
      <c r="B3" s="1038" t="e">
        <f>ROUND(B2*10000/D1,0)</f>
        <v>#DIV/0!</v>
      </c>
      <c r="C3" s="1402" t="s">
        <v>926</v>
      </c>
      <c r="D3" s="1403" t="s">
        <v>927</v>
      </c>
      <c r="E3" s="1407"/>
      <c r="F3" s="1408"/>
      <c r="G3" s="1039">
        <f>IF(F3="宗地容积率",'数据-汇总表'!I4,IF(F3="估价对象容积率",'数据-汇总表'!I6,'数据-汇总表'!I7))</f>
        <v>0</v>
      </c>
      <c r="H3" s="1409" t="s">
        <v>928</v>
      </c>
      <c r="I3" s="1040">
        <v>8</v>
      </c>
      <c r="J3" s="1405" t="s">
        <v>929</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28.5">
      <c r="A4" s="1875" t="s">
        <v>2279</v>
      </c>
      <c r="B4" s="2416" t="e">
        <f>ROUND(B2*10000/F1,0)</f>
        <v>#DIV/0!</v>
      </c>
      <c r="C4" s="1878" t="s">
        <v>2253</v>
      </c>
      <c r="D4" s="1878" t="e">
        <f>ROUND(B2/(F1/666.67),0)</f>
        <v>#DIV/0!</v>
      </c>
      <c r="E4" s="1878" t="s">
        <v>2254</v>
      </c>
      <c r="F4" s="1876"/>
      <c r="G4" s="1876"/>
      <c r="H4" s="1876"/>
      <c r="I4" s="1876"/>
      <c r="J4" s="1877"/>
      <c r="K4" s="3151"/>
      <c r="L4" s="1869" t="s">
        <v>2240</v>
      </c>
      <c r="M4" s="1870">
        <f>SUMPRODUCT((区片价!B49:B75=I2)*(区片价!C3:F3=E2)*(区片价!C49:F75))</f>
        <v>0</v>
      </c>
      <c r="N4" s="1871">
        <f>SUMPRODUCT((因素修正幅度!B49:B75=I2)*(因素修正幅度!C3:F3=E2)*(因素修正幅度!C49:F75))</f>
        <v>0</v>
      </c>
      <c r="O4" s="3151"/>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75" thickBot="1">
      <c r="A5" s="1622" t="s">
        <v>1822</v>
      </c>
      <c r="B5" s="1410" t="s">
        <v>930</v>
      </c>
      <c r="C5" s="1041" t="e">
        <f>ROUND(IF(E2="商业",C6*C7+C16,(IF(E2="住宅",C6*C12+C16,C6+C16))),0)</f>
        <v>#DIV/0!</v>
      </c>
      <c r="D5" s="3070" t="e">
        <f>ROUND(C6+C16,0)</f>
        <v>#DIV/0!</v>
      </c>
      <c r="E5" s="3070"/>
      <c r="F5" s="1411"/>
      <c r="G5" s="1412"/>
      <c r="H5" s="1412"/>
      <c r="I5" s="1412"/>
      <c r="J5" s="1413"/>
      <c r="K5" s="3152"/>
      <c r="L5" s="1869" t="s">
        <v>2241</v>
      </c>
      <c r="M5" s="1870">
        <f>SUMPRODUCT((区片价!B76:B109=I2)*(区片价!C3:F3=E2)*(区片价!C76:F109))</f>
        <v>0</v>
      </c>
      <c r="N5" s="1871">
        <f>SUMPRODUCT((因素修正幅度!B76:B109=I2)*(因素修正幅度!C3:F3=E2)*(因素修正幅度!C76:F109))</f>
        <v>0</v>
      </c>
      <c r="O5" s="3152"/>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75" thickBot="1">
      <c r="A6" s="1623" t="s">
        <v>1869</v>
      </c>
      <c r="B6" s="1417" t="s">
        <v>930</v>
      </c>
      <c r="C6" s="1042">
        <f>SUMIF(L1:L12,基准地价!G2,M1:M12)</f>
        <v>0</v>
      </c>
      <c r="D6" s="1418" t="s">
        <v>1694</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45" t="str">
        <f>IF(E2="商业",IF(C8="不临58条商业街","",2),"")</f>
        <v/>
      </c>
      <c r="B7" s="1422" t="s">
        <v>931</v>
      </c>
      <c r="C7" s="1043" t="e">
        <f>IF(C8="不临58条商业街",1,ROUND(1+(1.6*E8+1.2*E9+0.8*E10+0.4*E11)*C9,4))</f>
        <v>#DIV/0!</v>
      </c>
      <c r="D7" s="1423" t="s">
        <v>932</v>
      </c>
      <c r="E7" s="1044"/>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2763</v>
      </c>
      <c r="X7" s="2881">
        <f>G2</f>
        <v>0</v>
      </c>
      <c r="Y7" s="2881" t="s">
        <v>2764</v>
      </c>
      <c r="Z7" s="2882">
        <f>G3</f>
        <v>0</v>
      </c>
      <c r="AA7" s="2176"/>
      <c r="AB7" s="2176"/>
      <c r="AC7" s="2177"/>
      <c r="AD7" s="2883"/>
      <c r="AE7" s="2883"/>
      <c r="AF7" s="2883"/>
      <c r="AG7" s="2883"/>
      <c r="AH7" s="2883"/>
      <c r="AI7" s="2883"/>
      <c r="AJ7" s="2884"/>
    </row>
    <row r="8" spans="1:39" ht="15">
      <c r="A8" s="3446"/>
      <c r="B8" s="1409" t="s">
        <v>933</v>
      </c>
      <c r="C8" s="1515"/>
      <c r="D8" s="1045" t="s">
        <v>934</v>
      </c>
      <c r="E8" s="1046" t="e">
        <f>ROUND(C11/E7,4)</f>
        <v>#DIV/0!</v>
      </c>
      <c r="F8" s="1427" t="s">
        <v>935</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56" t="s">
        <v>2781</v>
      </c>
      <c r="X8" s="3457"/>
      <c r="Y8" s="1833" t="s">
        <v>2765</v>
      </c>
      <c r="Z8" s="1833" t="s">
        <v>2766</v>
      </c>
      <c r="AA8" s="1833" t="s">
        <v>2767</v>
      </c>
      <c r="AB8" s="1833" t="s">
        <v>2768</v>
      </c>
      <c r="AC8" s="1833" t="s">
        <v>2769</v>
      </c>
      <c r="AD8" s="1833" t="s">
        <v>2770</v>
      </c>
      <c r="AE8" s="1833" t="s">
        <v>2771</v>
      </c>
      <c r="AF8" s="1833" t="s">
        <v>2772</v>
      </c>
      <c r="AG8" s="1833" t="s">
        <v>2773</v>
      </c>
      <c r="AH8" s="1833" t="s">
        <v>2774</v>
      </c>
      <c r="AI8" s="1833" t="s">
        <v>2775</v>
      </c>
      <c r="AJ8" s="1833" t="s">
        <v>2776</v>
      </c>
    </row>
    <row r="9" spans="1:39" ht="15">
      <c r="A9" s="3446"/>
      <c r="B9" s="1409" t="s">
        <v>936</v>
      </c>
      <c r="C9" s="1047">
        <f>SUMIF(修正!C59:C119,C8,修正!E59:E119)</f>
        <v>0</v>
      </c>
      <c r="D9" s="1048" t="s">
        <v>937</v>
      </c>
      <c r="E9" s="1048" t="e">
        <f>ROUND(C11/E7,4)</f>
        <v>#DIV/0!</v>
      </c>
      <c r="F9" s="1427" t="s">
        <v>938</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55" t="s">
        <v>2777</v>
      </c>
      <c r="X9" s="2885" t="s">
        <v>2778</v>
      </c>
      <c r="Y9" s="3048"/>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46"/>
      <c r="B10" s="1409" t="s">
        <v>939</v>
      </c>
      <c r="C10" s="1048">
        <f>SUMIF(修正!C59:C119,C8,修正!F59:F119)</f>
        <v>0</v>
      </c>
      <c r="D10" s="1048" t="s">
        <v>940</v>
      </c>
      <c r="E10" s="1048" t="e">
        <f>ROUND(C11/E7,4)</f>
        <v>#DIV/0!</v>
      </c>
      <c r="F10" s="1427" t="s">
        <v>941</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55"/>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46"/>
      <c r="B11" s="1430" t="s">
        <v>942</v>
      </c>
      <c r="C11" s="1049">
        <f>C10/4</f>
        <v>0</v>
      </c>
      <c r="D11" s="1049" t="s">
        <v>943</v>
      </c>
      <c r="E11" s="1049" t="e">
        <f>ROUND(C11/E7,4)</f>
        <v>#DIV/0!</v>
      </c>
      <c r="F11" s="1431" t="s">
        <v>944</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55" t="s">
        <v>2779</v>
      </c>
      <c r="X11" s="1048" t="s">
        <v>2764</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5" thickBot="1">
      <c r="A12" s="3445" t="s">
        <v>1870</v>
      </c>
      <c r="B12" s="1434" t="s">
        <v>945</v>
      </c>
      <c r="C12" s="1043">
        <f>ROUND(C15*D15*E15*F15*G15*H15*I15*J15,4)</f>
        <v>1</v>
      </c>
      <c r="D12" s="1435" t="s">
        <v>946</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55"/>
      <c r="X12" s="2888" t="s">
        <v>2780</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47"/>
      <c r="B13" s="1439" t="s">
        <v>1695</v>
      </c>
      <c r="C13" s="1440" t="s">
        <v>1696</v>
      </c>
      <c r="D13" s="1085" t="s">
        <v>1697</v>
      </c>
      <c r="E13" s="1085" t="s">
        <v>1698</v>
      </c>
      <c r="F13" s="1441" t="s">
        <v>947</v>
      </c>
      <c r="G13" s="1442" t="s">
        <v>1641</v>
      </c>
      <c r="H13" s="1443" t="s">
        <v>1641</v>
      </c>
      <c r="I13" s="1444" t="s">
        <v>1641</v>
      </c>
      <c r="J13" s="1445" t="s">
        <v>1641</v>
      </c>
      <c r="K13" s="3167"/>
      <c r="L13" s="3167"/>
      <c r="M13" s="3167"/>
      <c r="N13" s="3167"/>
      <c r="O13" s="3167"/>
      <c r="P13" s="1396"/>
      <c r="Q13" s="2173"/>
      <c r="R13" s="2891">
        <v>12</v>
      </c>
      <c r="S13" s="2880"/>
      <c r="T13" s="2891" t="e">
        <f t="shared" si="0"/>
        <v>#DIV/0!</v>
      </c>
      <c r="U13" s="2880"/>
      <c r="V13" s="2891" t="e">
        <f t="shared" si="1"/>
        <v>#DIV/0!</v>
      </c>
      <c r="W13" s="3455"/>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47"/>
      <c r="B14" s="1446"/>
      <c r="C14" s="1447"/>
      <c r="D14" s="1448"/>
      <c r="E14" s="1448"/>
      <c r="F14" s="1449"/>
      <c r="G14" s="1450" t="s">
        <v>948</v>
      </c>
      <c r="H14" s="1451"/>
      <c r="I14" s="1452"/>
      <c r="J14" s="1453"/>
      <c r="K14" s="3153"/>
      <c r="L14" s="3153"/>
      <c r="M14" s="3153"/>
      <c r="N14" s="3153"/>
      <c r="O14" s="3153"/>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48"/>
      <c r="B15" s="3172" t="s">
        <v>1699</v>
      </c>
      <c r="C15" s="1049">
        <f>IF(C14="有",1.1,1)</f>
        <v>1</v>
      </c>
      <c r="D15" s="1049">
        <f>IF(D14="有",1.1,1)</f>
        <v>1</v>
      </c>
      <c r="E15" s="1049">
        <f>IF(E14="有",1.1,1)</f>
        <v>1</v>
      </c>
      <c r="F15" s="1049">
        <f>IF(F14="500米范围内",1.2,IF(F14="500-1000米",1.1,1))</f>
        <v>1</v>
      </c>
      <c r="G15" s="3164">
        <v>1</v>
      </c>
      <c r="H15" s="3164">
        <v>1</v>
      </c>
      <c r="I15" s="3164">
        <v>1</v>
      </c>
      <c r="J15" s="3165">
        <v>1</v>
      </c>
      <c r="K15" s="3168"/>
      <c r="L15" s="3168"/>
      <c r="M15" s="3168"/>
      <c r="N15" s="3168"/>
      <c r="O15" s="3168"/>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45" t="s">
        <v>1837</v>
      </c>
      <c r="B16" s="1422" t="s">
        <v>949</v>
      </c>
      <c r="C16" s="1052" t="e">
        <f>ROUND(IF(F17="与级别开发程度一致",0,(G17-E17)/C17),0)</f>
        <v>#DIV/0!</v>
      </c>
      <c r="D16" s="3463" t="s">
        <v>953</v>
      </c>
      <c r="E16" s="3464"/>
      <c r="F16" s="3463" t="s">
        <v>950</v>
      </c>
      <c r="G16" s="3464"/>
      <c r="H16" s="1454"/>
      <c r="I16" s="1454"/>
      <c r="J16" s="1454"/>
      <c r="K16" s="1454"/>
      <c r="L16" s="1454"/>
      <c r="M16" s="1454"/>
      <c r="N16" s="1454"/>
      <c r="O16" s="3177"/>
      <c r="P16" s="1396"/>
      <c r="Q16" s="2176"/>
      <c r="R16" s="2891">
        <v>15</v>
      </c>
      <c r="S16" s="2880"/>
      <c r="T16" s="2891" t="e">
        <f t="shared" si="0"/>
        <v>#DIV/0!</v>
      </c>
      <c r="U16" s="2880"/>
      <c r="V16" s="2891" t="e">
        <f t="shared" si="1"/>
        <v>#DIV/0!</v>
      </c>
      <c r="W16" s="2176"/>
      <c r="X16" s="2176"/>
      <c r="Y16" s="2176"/>
      <c r="Z16" s="2176"/>
      <c r="AA16" s="2176"/>
      <c r="AB16" s="2176"/>
      <c r="AC16" s="2177"/>
    </row>
    <row r="17" spans="1:40" ht="13.5" thickBot="1">
      <c r="A17" s="3449"/>
      <c r="B17" s="3178" t="s">
        <v>952</v>
      </c>
      <c r="C17" s="3179">
        <f>SUMPRODUCT((修正!A2:A5=E2)*(修正!B1:M1=G2)*(修正!B2:M5))</f>
        <v>0</v>
      </c>
      <c r="D17" s="3180" t="str">
        <f>IF(OR(G2="八级",G2="九级",G2="十级",G2="十一级",G2="十二级"),"五通一平","七通一平")</f>
        <v>七通一平</v>
      </c>
      <c r="E17" s="3170">
        <f>SUMPRODUCT((修正!B1:M1=G2)*(修正!B15:M15))</f>
        <v>0</v>
      </c>
      <c r="F17" s="3171"/>
      <c r="G17" s="3170">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1">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75" thickBot="1">
      <c r="A18" s="2733" t="s">
        <v>1828</v>
      </c>
      <c r="B18" s="3173" t="s">
        <v>954</v>
      </c>
      <c r="C18" s="3174">
        <f>SUMIF(修正!C18:C39,E3,修正!E18:E39)</f>
        <v>0</v>
      </c>
      <c r="D18" s="3175"/>
      <c r="E18" s="3176"/>
      <c r="F18" s="3158"/>
      <c r="G18" s="3152"/>
      <c r="H18" s="3152"/>
      <c r="I18" s="3152"/>
      <c r="J18" s="3166"/>
      <c r="K18" s="3152"/>
      <c r="L18" s="3152"/>
      <c r="M18" s="3152"/>
      <c r="N18" s="3152"/>
      <c r="O18" s="3152"/>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7.75" thickBot="1">
      <c r="A19" s="1624" t="s">
        <v>1834</v>
      </c>
      <c r="B19" s="1457" t="s">
        <v>955</v>
      </c>
      <c r="C19" s="1053" t="e">
        <f>ROUND(IF(H19="按公示增长率计算",SUMPRODUCT((地价!A3:A26=YEAR(G19)&amp;"-"&amp;ROUNDUP(MONTH(G19)/3,0))*(地价!X2:AB2=E2)*(地价!X3:AB26)),IF(H19="地价指数",M20/M19,(1+I19)^O19)),4)</f>
        <v>#VALUE!</v>
      </c>
      <c r="D19" s="1461" t="s">
        <v>956</v>
      </c>
      <c r="E19" s="1054">
        <v>41640</v>
      </c>
      <c r="F19" s="1461" t="s">
        <v>957</v>
      </c>
      <c r="G19" s="1055">
        <f>'数据-取费表'!B2</f>
        <v>43628</v>
      </c>
      <c r="H19" s="1462"/>
      <c r="I19" s="2739" t="str">
        <f>IF(H19="季度增幅（自定义）",SUMIF(N21:N24,E2,O21:O24),"")</f>
        <v/>
      </c>
      <c r="J19" s="1458"/>
      <c r="K19" s="3152"/>
      <c r="L19" s="2991" t="s">
        <v>2839</v>
      </c>
      <c r="M19" s="2992">
        <f>ROUND(SUMIF(地价!B2:F2,E2,地价!B26:F26),0)</f>
        <v>0</v>
      </c>
      <c r="N19" s="2741" t="s">
        <v>1675</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7.75" thickBot="1">
      <c r="A20" s="2733" t="s">
        <v>1835</v>
      </c>
      <c r="B20" s="2734" t="s">
        <v>970</v>
      </c>
      <c r="C20" s="2735" t="e">
        <f>ROUND(POWER(1+G20,J20-I20)*(POWER(1+G20,I20)-1)/(POWER(1+G20,J20)-1),4)</f>
        <v>#DIV/0!</v>
      </c>
      <c r="D20" s="2736" t="s">
        <v>971</v>
      </c>
      <c r="E20" s="3045">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4"/>
      <c r="L20" s="2993" t="s">
        <v>2840</v>
      </c>
      <c r="M20" s="3161">
        <f>ROUND(SUMPRODUCT((地价!A4:A26=YEAR(G19)&amp;"-"&amp;ROUNDUP(MONTH(G19)/3,0))*(地价!B2:F2=E2)*(地价!B4:F26)),0)</f>
        <v>0</v>
      </c>
      <c r="N20" s="2744" t="s">
        <v>2643</v>
      </c>
      <c r="O20" s="2742" t="s">
        <v>2642</v>
      </c>
      <c r="P20" s="2743" t="s">
        <v>2648</v>
      </c>
      <c r="Q20" s="2879"/>
      <c r="R20" s="2179"/>
      <c r="S20" s="2179"/>
      <c r="T20" s="2179"/>
      <c r="U20" s="2179"/>
      <c r="V20" s="2179"/>
      <c r="W20" s="2179"/>
      <c r="X20" s="2179"/>
      <c r="Y20" s="1459"/>
      <c r="Z20" s="1459"/>
      <c r="AA20" s="1459"/>
      <c r="AB20" s="1459"/>
      <c r="AC20" s="1459"/>
      <c r="AD20" s="1459"/>
    </row>
    <row r="21" spans="1:40" s="1416" customFormat="1" ht="14.25">
      <c r="A21" s="1626" t="s">
        <v>1836</v>
      </c>
      <c r="B21" s="1467" t="s">
        <v>2759</v>
      </c>
      <c r="C21" s="1154">
        <f>IF(B21="容积率修正",IF(G3&lt;=10,D22,J22),C23)</f>
        <v>0</v>
      </c>
      <c r="D21" s="1468"/>
      <c r="E21" s="1468"/>
      <c r="F21" s="1468"/>
      <c r="G21" s="1468"/>
      <c r="H21" s="1468"/>
      <c r="I21" s="1468"/>
      <c r="J21" s="1469"/>
      <c r="K21" s="3152"/>
      <c r="L21" s="1468"/>
      <c r="M21" s="1468"/>
      <c r="N21" s="1465" t="s">
        <v>974</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25">
      <c r="A22" s="1627" t="s">
        <v>1869</v>
      </c>
      <c r="B22" s="1470"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5"/>
      <c r="L22" s="1468"/>
      <c r="M22" s="1468"/>
      <c r="N22" s="1465" t="s">
        <v>977</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75" thickBot="1">
      <c r="A23" s="1627" t="s">
        <v>1870</v>
      </c>
      <c r="B23" s="1470" t="s">
        <v>978</v>
      </c>
      <c r="C23" s="1057">
        <f>ROUND(IF(G3&gt;1,IF(I3&lt;7,SUMPRODUCT((B93:B98=I3)*(C92:N92=G2)*(C93:N98)),SUMIF(C92:N92,G2,C100:N100)),IF(I3&lt;7,SUMPRODUCT((B102:B107=I3)*(C92:N92=G2)*(C102:N107)),SUMIF(C92:N92,G2,C109:N109))),4)</f>
        <v>0</v>
      </c>
      <c r="D23" s="1516"/>
      <c r="E23" s="1516"/>
      <c r="F23" s="1517"/>
      <c r="G23" s="1518"/>
      <c r="H23" s="1519"/>
      <c r="I23" s="1520"/>
      <c r="J23" s="1520"/>
      <c r="K23" s="3156"/>
      <c r="L23" s="1396"/>
      <c r="M23" s="1396"/>
      <c r="N23" s="1465" t="s">
        <v>922</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75" thickBot="1">
      <c r="A24" s="1625" t="s">
        <v>1871</v>
      </c>
      <c r="B24" s="1410" t="s">
        <v>979</v>
      </c>
      <c r="C24" s="1058">
        <f>SUMIF(A44:A87,E2,B44:B87)</f>
        <v>0</v>
      </c>
      <c r="D24" s="1521"/>
      <c r="E24" s="1522"/>
      <c r="F24" s="1522"/>
      <c r="G24" s="1522"/>
      <c r="H24" s="1522"/>
      <c r="I24" s="1522"/>
      <c r="J24" s="1522"/>
      <c r="K24" s="3156"/>
      <c r="L24" s="1468"/>
      <c r="M24" s="1468"/>
      <c r="N24" s="1465" t="s">
        <v>980</v>
      </c>
      <c r="O24" s="3160"/>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1872</v>
      </c>
      <c r="B25" s="1472" t="s">
        <v>981</v>
      </c>
      <c r="C25" s="1473"/>
      <c r="D25" s="1425"/>
      <c r="E25" s="1425"/>
      <c r="F25" s="1474"/>
      <c r="G25" s="1425"/>
      <c r="H25" s="1425"/>
      <c r="I25" s="1425"/>
      <c r="J25" s="1426"/>
      <c r="K25" s="1451"/>
      <c r="L25" s="2179"/>
      <c r="M25" s="2179"/>
      <c r="N25" s="3162" t="s">
        <v>2646</v>
      </c>
      <c r="O25" s="3163"/>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25">
      <c r="A26" s="1475"/>
      <c r="B26" s="1470" t="s">
        <v>985</v>
      </c>
      <c r="C26" s="1059" t="e">
        <f>E29+SUM(E33:E39)</f>
        <v>#DIV/0!</v>
      </c>
      <c r="D26" s="1476"/>
      <c r="E26" s="1451"/>
      <c r="F26" s="1477"/>
      <c r="G26" s="1451"/>
      <c r="H26" s="1451"/>
      <c r="I26" s="1451"/>
      <c r="J26" s="1478"/>
      <c r="K26" s="1451"/>
      <c r="L26" s="1582" t="s">
        <v>897</v>
      </c>
      <c r="M26" s="1423" t="s">
        <v>982</v>
      </c>
      <c r="N26" s="1423" t="s">
        <v>983</v>
      </c>
      <c r="O26" s="1423" t="s">
        <v>901</v>
      </c>
      <c r="P26" s="1463" t="s">
        <v>984</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987</v>
      </c>
      <c r="C27" s="1060" t="e">
        <f>E30+SUM(I33:I39)</f>
        <v>#DIV/0!</v>
      </c>
      <c r="D27" s="1480"/>
      <c r="E27" s="1481"/>
      <c r="F27" s="1482"/>
      <c r="G27" s="1481"/>
      <c r="H27" s="1481"/>
      <c r="I27" s="1481"/>
      <c r="J27" s="1483"/>
      <c r="K27" s="1451"/>
      <c r="L27" s="1455" t="s">
        <v>986</v>
      </c>
      <c r="M27" s="1047">
        <v>0.25</v>
      </c>
      <c r="N27" s="1047">
        <v>0.2</v>
      </c>
      <c r="O27" s="1047">
        <v>0.15</v>
      </c>
      <c r="P27" s="1525">
        <v>0.1</v>
      </c>
      <c r="Q27" s="2179"/>
      <c r="R27" s="2879"/>
      <c r="S27" s="2879"/>
      <c r="T27" s="2879"/>
      <c r="U27" s="2879"/>
      <c r="V27" s="2879"/>
      <c r="W27" s="2179"/>
      <c r="X27" s="2179"/>
      <c r="Y27" s="2179"/>
      <c r="Z27" s="2179"/>
      <c r="AA27" s="2179"/>
      <c r="AB27" s="2179"/>
      <c r="AC27" s="2179"/>
    </row>
    <row r="28" spans="1:40" ht="15" thickBot="1">
      <c r="A28" s="1471"/>
      <c r="B28" s="1484" t="s">
        <v>988</v>
      </c>
      <c r="C28" s="1485" t="s">
        <v>989</v>
      </c>
      <c r="D28" s="1485" t="s">
        <v>990</v>
      </c>
      <c r="E28" s="1486" t="s">
        <v>991</v>
      </c>
      <c r="F28" s="1487"/>
      <c r="G28" s="1437"/>
      <c r="H28" s="1437"/>
      <c r="I28" s="1437"/>
      <c r="J28" s="1438"/>
      <c r="K28" s="1451"/>
      <c r="L28" s="1456" t="s">
        <v>972</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14.25">
      <c r="A29" s="1488"/>
      <c r="B29" s="1489" t="s">
        <v>992</v>
      </c>
      <c r="C29" s="1059" t="e">
        <f>ROUND(C5*C18*C19*C20*C21*C24,0)</f>
        <v>#DIV/0!</v>
      </c>
      <c r="D29" s="1490"/>
      <c r="E29" s="1833" t="e">
        <f>ROUND(C29*D29/10000,0)</f>
        <v>#DIV/0!</v>
      </c>
      <c r="F29" s="1491" t="s">
        <v>1700</v>
      </c>
      <c r="G29" s="1492"/>
      <c r="H29" s="1492"/>
      <c r="I29" s="1492"/>
      <c r="J29" s="1493"/>
      <c r="K29" s="3157"/>
      <c r="L29" s="3157"/>
      <c r="M29" s="3157"/>
      <c r="N29" s="3157"/>
      <c r="O29" s="3157"/>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75" thickBot="1">
      <c r="A30" s="1494"/>
      <c r="B30" s="1495" t="s">
        <v>993</v>
      </c>
      <c r="C30" s="1051" t="e">
        <f>ROUND(IF(E2="工业",C29*M39,C29*M38),0)</f>
        <v>#DIV/0!</v>
      </c>
      <c r="D30" s="1496"/>
      <c r="E30" s="1833" t="e">
        <f>ROUND(C30*D30/10000,0)</f>
        <v>#DIV/0!</v>
      </c>
      <c r="F30" s="1497" t="s">
        <v>994</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995</v>
      </c>
      <c r="C31" s="1502" t="s">
        <v>996</v>
      </c>
      <c r="D31" s="1437"/>
      <c r="E31" s="1502"/>
      <c r="F31" s="1502"/>
      <c r="G31" s="1435" t="s">
        <v>994</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24">
      <c r="A32" s="1488"/>
      <c r="B32" s="1504"/>
      <c r="C32" s="1505" t="s">
        <v>989</v>
      </c>
      <c r="D32" s="1506" t="s">
        <v>990</v>
      </c>
      <c r="E32" s="1506" t="s">
        <v>991</v>
      </c>
      <c r="F32" s="1507" t="s">
        <v>997</v>
      </c>
      <c r="G32" s="1466" t="s">
        <v>989</v>
      </c>
      <c r="H32" s="1466" t="s">
        <v>990</v>
      </c>
      <c r="I32" s="1466" t="s">
        <v>991</v>
      </c>
      <c r="J32" s="1508"/>
      <c r="K32" s="3158"/>
      <c r="L32" s="3158"/>
      <c r="M32" s="3158"/>
      <c r="N32" s="3158"/>
      <c r="O32" s="3158"/>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2.75">
      <c r="A33" s="3452" t="s">
        <v>2951</v>
      </c>
      <c r="B33" s="1510" t="s">
        <v>998</v>
      </c>
      <c r="C33" s="1059" t="e">
        <f>ROUND(D5*C19*C20*C24*F33,0)</f>
        <v>#DIV/0!</v>
      </c>
      <c r="D33" s="1523"/>
      <c r="E33" s="1048" t="e">
        <f>ROUND(C33*D33/10000,0)</f>
        <v>#DIV/0!</v>
      </c>
      <c r="F33" s="1048">
        <f>SUMIF(修正!A45:A56,G2,修正!B45:B56)</f>
        <v>0</v>
      </c>
      <c r="G33" s="1048" t="e">
        <f t="shared" ref="G33" si="6">ROUND(IF(E2="工业",C33*$M$39,C33*$M$38),0)</f>
        <v>#DIV/0!</v>
      </c>
      <c r="H33" s="1048">
        <f>D33</f>
        <v>0</v>
      </c>
      <c r="I33" s="1048" t="e">
        <f>ROUND(G33*H33/10000,0)</f>
        <v>#DIV/0!</v>
      </c>
      <c r="J33" s="1511"/>
      <c r="K33" s="3159"/>
      <c r="L33" s="3159"/>
      <c r="M33" s="3159"/>
      <c r="N33" s="3159"/>
      <c r="O33" s="3159"/>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2.75">
      <c r="A34" s="3453"/>
      <c r="B34" s="1440" t="s">
        <v>999</v>
      </c>
      <c r="C34" s="1059" t="e">
        <f>ROUND(D5*C19*C20*C24*F34,0)</f>
        <v>#DIV/0!</v>
      </c>
      <c r="D34" s="1523"/>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1"/>
      <c r="K34" s="3159"/>
      <c r="L34" s="3159"/>
      <c r="M34" s="3159"/>
      <c r="N34" s="3159"/>
      <c r="O34" s="3159"/>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2.75">
      <c r="A35" s="3453"/>
      <c r="B35" s="1440" t="s">
        <v>1000</v>
      </c>
      <c r="C35" s="1059" t="e">
        <f>ROUND(D5*C19*C20*C24*F35,0)</f>
        <v>#DIV/0!</v>
      </c>
      <c r="D35" s="1523"/>
      <c r="E35" s="1048" t="e">
        <f t="shared" si="7"/>
        <v>#DIV/0!</v>
      </c>
      <c r="F35" s="1048">
        <f>SUMIF(修正!A45:A56,G2,修正!D45:D56)</f>
        <v>0</v>
      </c>
      <c r="G35" s="1048" t="e">
        <f>ROUND(IF(E2="工业",C35*$M$39,C35*$M$38),0)</f>
        <v>#DIV/0!</v>
      </c>
      <c r="H35" s="1048">
        <f t="shared" si="8"/>
        <v>0</v>
      </c>
      <c r="I35" s="1048" t="e">
        <f t="shared" si="9"/>
        <v>#DIV/0!</v>
      </c>
      <c r="J35" s="1511"/>
      <c r="K35" s="3159"/>
      <c r="L35" s="3159"/>
      <c r="M35" s="3159"/>
      <c r="N35" s="3159"/>
      <c r="O35" s="3159"/>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5" thickBot="1">
      <c r="A36" s="3454"/>
      <c r="B36" s="1440" t="s">
        <v>1001</v>
      </c>
      <c r="C36" s="1059" t="e">
        <f>ROUND(D5*C19*C20*C24*F36,0)</f>
        <v>#DIV/0!</v>
      </c>
      <c r="D36" s="1523"/>
      <c r="E36" s="1048" t="e">
        <f t="shared" si="7"/>
        <v>#DIV/0!</v>
      </c>
      <c r="F36" s="1048">
        <f>SUMIF(修正!A45:A56,G2,修正!E45:E56)</f>
        <v>0</v>
      </c>
      <c r="G36" s="1048" t="e">
        <f>ROUND(IF(E2="工业",C36*$M$39,C36*$M$38),0)</f>
        <v>#DIV/0!</v>
      </c>
      <c r="H36" s="1048">
        <f t="shared" si="8"/>
        <v>0</v>
      </c>
      <c r="I36" s="1048" t="e">
        <f t="shared" si="9"/>
        <v>#DIV/0!</v>
      </c>
      <c r="J36" s="1511"/>
      <c r="K36" s="3159"/>
      <c r="L36" s="3159"/>
      <c r="M36" s="3159"/>
      <c r="N36" s="3159"/>
      <c r="O36" s="3159"/>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2.75">
      <c r="A37" s="1509"/>
      <c r="B37" s="1440" t="s">
        <v>1002</v>
      </c>
      <c r="C37" s="1048" t="e">
        <f>ROUND(D5*C19*C20*C24*F37,0)</f>
        <v>#DIV/0!</v>
      </c>
      <c r="D37" s="1523"/>
      <c r="E37" s="1048" t="e">
        <f t="shared" si="7"/>
        <v>#DIV/0!</v>
      </c>
      <c r="F37" s="1059">
        <f>SUMIF(修正!A45:A56,G2,修正!F45:F56)</f>
        <v>0</v>
      </c>
      <c r="G37" s="1048" t="e">
        <f>ROUND(IF(E2="工业",C37*$M$39,C37*$M$38),0)</f>
        <v>#DIV/0!</v>
      </c>
      <c r="H37" s="1048">
        <f t="shared" si="8"/>
        <v>0</v>
      </c>
      <c r="I37" s="1048" t="e">
        <f t="shared" si="9"/>
        <v>#DIV/0!</v>
      </c>
      <c r="J37" s="1511"/>
      <c r="K37" s="1396"/>
      <c r="L37" s="1529" t="s">
        <v>1702</v>
      </c>
      <c r="M37" s="1530"/>
      <c r="N37" s="2173"/>
      <c r="O37" s="2173"/>
      <c r="P37" s="2173"/>
      <c r="Q37" s="2173"/>
      <c r="R37" s="2174"/>
      <c r="S37" s="2174"/>
      <c r="T37" s="2174"/>
      <c r="U37" s="2174"/>
      <c r="V37" s="2174"/>
      <c r="W37" s="2173"/>
      <c r="X37" s="2173"/>
      <c r="Y37" s="2173"/>
      <c r="Z37" s="2173"/>
      <c r="AA37" s="2173"/>
      <c r="AB37" s="2173"/>
      <c r="AC37" s="2174"/>
    </row>
    <row r="38" spans="1:44" ht="12.75">
      <c r="A38" s="1509"/>
      <c r="B38" s="1440" t="s">
        <v>1003</v>
      </c>
      <c r="C38" s="1048" t="e">
        <f>ROUND(D5*C19*C41*C24*F38,0)</f>
        <v>#DIV/0!</v>
      </c>
      <c r="D38" s="1523"/>
      <c r="E38" s="1048" t="e">
        <f t="shared" si="7"/>
        <v>#DIV/0!</v>
      </c>
      <c r="F38" s="1059">
        <f>SUMIF(修正!A45:A56,G2,修正!G45:G56)</f>
        <v>0</v>
      </c>
      <c r="G38" s="1048" t="e">
        <f>ROUND(IF(E2="工业",C38*$M$39,C38*$M$38),0)</f>
        <v>#DIV/0!</v>
      </c>
      <c r="H38" s="1048">
        <f t="shared" si="8"/>
        <v>0</v>
      </c>
      <c r="I38" s="1048" t="e">
        <f t="shared" si="9"/>
        <v>#DIV/0!</v>
      </c>
      <c r="J38" s="1511"/>
      <c r="K38" s="1396"/>
      <c r="L38" s="1531" t="s">
        <v>1704</v>
      </c>
      <c r="M38" s="1532">
        <v>0.25</v>
      </c>
      <c r="N38" s="2173"/>
      <c r="O38" s="2173"/>
      <c r="P38" s="2173"/>
      <c r="Q38" s="2173"/>
      <c r="R38" s="2174"/>
      <c r="S38" s="2174"/>
      <c r="T38" s="2174"/>
      <c r="U38" s="2174"/>
      <c r="V38" s="2174"/>
      <c r="W38" s="2173"/>
      <c r="X38" s="2173"/>
      <c r="Y38" s="2173"/>
      <c r="Z38" s="2173"/>
      <c r="AA38" s="2173"/>
      <c r="AB38" s="2173"/>
      <c r="AC38" s="2174"/>
    </row>
    <row r="39" spans="1:44" ht="13.5" thickBot="1">
      <c r="A39" s="1494"/>
      <c r="B39" s="1512" t="s">
        <v>1004</v>
      </c>
      <c r="C39" s="1051" t="e">
        <f>ROUND(D5*C19*C41*C24*F39,0)</f>
        <v>#DIV/0!</v>
      </c>
      <c r="D39" s="1524"/>
      <c r="E39" s="1051" t="e">
        <f t="shared" si="7"/>
        <v>#DIV/0!</v>
      </c>
      <c r="F39" s="1061">
        <f>SUMIF(修正!A45:A56,G2,修正!H45:H56)</f>
        <v>0</v>
      </c>
      <c r="G39" s="1051" t="e">
        <f>ROUND(IF(E2="工业",C39*$M$39,C39*$M$38),0)</f>
        <v>#DIV/0!</v>
      </c>
      <c r="H39" s="1051">
        <f t="shared" si="8"/>
        <v>0</v>
      </c>
      <c r="I39" s="1051" t="e">
        <f t="shared" si="9"/>
        <v>#DIV/0!</v>
      </c>
      <c r="J39" s="1513"/>
      <c r="K39" s="1396"/>
      <c r="L39" s="1533" t="s">
        <v>1703</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12.75">
      <c r="A41" s="1398"/>
      <c r="B41" s="3148" t="s">
        <v>2978</v>
      </c>
      <c r="C41" s="839" t="e">
        <f>ROUND(POWER(1+E41,H41-G41)*(POWER(1+E41,G41)-1)/(POWER(1+E41,H41)-1),4)</f>
        <v>#DIV/0!</v>
      </c>
      <c r="D41" s="378" t="s">
        <v>2976</v>
      </c>
      <c r="E41" s="3147">
        <f>G20</f>
        <v>0</v>
      </c>
      <c r="F41" s="378" t="s">
        <v>2977</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5">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3" t="s">
        <v>1007</v>
      </c>
      <c r="B46" s="2371" t="s">
        <v>1008</v>
      </c>
      <c r="C46" s="2393" t="s">
        <v>1009</v>
      </c>
      <c r="D46" s="2394" t="s">
        <v>1010</v>
      </c>
      <c r="E46" s="2395" t="s">
        <v>1012</v>
      </c>
      <c r="F46" s="2396" t="s">
        <v>2249</v>
      </c>
      <c r="G46" s="2394" t="s">
        <v>1013</v>
      </c>
      <c r="H46" s="2377" t="s">
        <v>2417</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3" t="s">
        <v>1019</v>
      </c>
      <c r="B47" s="2374" t="str">
        <f>估价对象房地状况!C16</f>
        <v>较好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14.25">
      <c r="A48" s="1063" t="s">
        <v>1020</v>
      </c>
      <c r="B48" s="2371" t="str">
        <f>估价对象房地状况!C18</f>
        <v>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36">
      <c r="A50" s="1063" t="s">
        <v>1022</v>
      </c>
      <c r="B50" s="3047" t="s">
        <v>2927</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3" t="s">
        <v>1023</v>
      </c>
      <c r="B51" s="2371" t="str">
        <f>估价对象房地状况!C24</f>
        <v>新民东路-支路</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24">
      <c r="A52" s="1063" t="s">
        <v>1024</v>
      </c>
      <c r="B52" s="3046" t="s">
        <v>2926</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1025</v>
      </c>
      <c r="B53" s="2372" t="str">
        <f>估价对象房地状况!C21</f>
        <v>较好</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1026</v>
      </c>
      <c r="B54" s="2371" t="str">
        <f>估价对象房地状况!C22</f>
        <v>六通</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24.75" thickBot="1">
      <c r="A55" s="2404" t="s">
        <v>1027</v>
      </c>
      <c r="B55" s="2375" t="str">
        <f>估价对象房地状况!C20</f>
        <v>较好</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5">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3" t="s">
        <v>1007</v>
      </c>
      <c r="B57" s="2371"/>
      <c r="C57" s="2393" t="s">
        <v>1009</v>
      </c>
      <c r="D57" s="2394" t="s">
        <v>1010</v>
      </c>
      <c r="E57" s="2395" t="s">
        <v>1012</v>
      </c>
      <c r="F57" s="2396" t="s">
        <v>2250</v>
      </c>
      <c r="G57" s="2394" t="s">
        <v>1013</v>
      </c>
      <c r="H57" s="2377" t="s">
        <v>2417</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3" t="s">
        <v>1029</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14.25">
      <c r="A59" s="1063" t="s">
        <v>1020</v>
      </c>
      <c r="B59" s="2371" t="str">
        <f>估价对象房地状况!C18</f>
        <v>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36">
      <c r="A61" s="1063" t="s">
        <v>1022</v>
      </c>
      <c r="B61" s="3047" t="s">
        <v>2928</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3" t="s">
        <v>1023</v>
      </c>
      <c r="B62" s="2371" t="str">
        <f>估价对象房地状况!C24</f>
        <v>新民东路-支路</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24">
      <c r="A63" s="1063" t="s">
        <v>1024</v>
      </c>
      <c r="B63" s="3046" t="s">
        <v>2926</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3" t="s">
        <v>1025</v>
      </c>
      <c r="B64" s="2372" t="str">
        <f>估价对象房地状况!C21</f>
        <v>较好</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3" t="s">
        <v>1026</v>
      </c>
      <c r="B65" s="2372" t="str">
        <f>估价对象房地状况!C22</f>
        <v>六通</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24.75" thickBot="1">
      <c r="A66" s="2404" t="s">
        <v>1027</v>
      </c>
      <c r="B66" s="2376" t="str">
        <f>估价对象房地状况!C20</f>
        <v>较好</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5">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3" t="s">
        <v>1007</v>
      </c>
      <c r="B68" s="2371"/>
      <c r="C68" s="2393" t="s">
        <v>1009</v>
      </c>
      <c r="D68" s="2394" t="s">
        <v>1010</v>
      </c>
      <c r="E68" s="2395" t="s">
        <v>1012</v>
      </c>
      <c r="F68" s="2396" t="s">
        <v>2251</v>
      </c>
      <c r="G68" s="2394" t="s">
        <v>1013</v>
      </c>
      <c r="H68" s="2377" t="s">
        <v>2417</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3" t="s">
        <v>1031</v>
      </c>
      <c r="B69" s="2374" t="str">
        <f>估价对象房地状况!C15</f>
        <v>较好</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14.25">
      <c r="A70" s="1063" t="s">
        <v>1032</v>
      </c>
      <c r="B70" s="2371" t="str">
        <f>估价对象房地状况!C18</f>
        <v>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4.25">
      <c r="A72" s="1063" t="s">
        <v>1033</v>
      </c>
      <c r="B72" s="2371" t="str">
        <f>估价对象房地状况!C24</f>
        <v>新民东路-支路</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3" t="s">
        <v>1025</v>
      </c>
      <c r="B73" s="2372" t="str">
        <f>估价对象房地状况!C21</f>
        <v>较好</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3" t="s">
        <v>1026</v>
      </c>
      <c r="B74" s="2372" t="str">
        <f>估价对象房地状况!C22</f>
        <v>六通</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24">
      <c r="A75" s="1063" t="s">
        <v>1024</v>
      </c>
      <c r="B75" s="3046" t="s">
        <v>2926</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24">
      <c r="A76" s="1063" t="s">
        <v>1027</v>
      </c>
      <c r="B76" s="2374" t="str">
        <f>估价对象房地状况!C20</f>
        <v>较好</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24.75" thickBot="1">
      <c r="A77" s="2404" t="s">
        <v>1034</v>
      </c>
      <c r="B77" s="1834"/>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5">
      <c r="A78" s="2387" t="s">
        <v>1035</v>
      </c>
      <c r="B78" s="2388">
        <f>1+E80</f>
        <v>1</v>
      </c>
      <c r="C78" s="2407"/>
      <c r="D78" s="2390"/>
      <c r="E78" s="2391"/>
      <c r="F78" s="2392"/>
      <c r="G78" s="2386"/>
      <c r="H78" s="2386"/>
      <c r="I78" s="2386"/>
      <c r="J78" s="1062"/>
      <c r="K78" s="1062"/>
      <c r="L78" s="1062"/>
      <c r="M78" s="1062"/>
      <c r="N78" s="1062"/>
      <c r="AC78" s="1400"/>
      <c r="AD78" s="1399"/>
      <c r="AJ78" s="1398"/>
      <c r="AN78" s="1399"/>
    </row>
    <row r="79" spans="1:40" ht="24">
      <c r="A79" s="1063" t="s">
        <v>1007</v>
      </c>
      <c r="B79" s="2371"/>
      <c r="C79" s="2393" t="s">
        <v>1009</v>
      </c>
      <c r="D79" s="2394" t="s">
        <v>1010</v>
      </c>
      <c r="E79" s="2395" t="s">
        <v>1012</v>
      </c>
      <c r="F79" s="2396" t="s">
        <v>2252</v>
      </c>
      <c r="G79" s="2394" t="s">
        <v>1013</v>
      </c>
      <c r="H79" s="2377" t="s">
        <v>2417</v>
      </c>
      <c r="I79" s="2394" t="s">
        <v>1011</v>
      </c>
      <c r="J79" s="2397" t="s">
        <v>1014</v>
      </c>
      <c r="K79" s="2397" t="s">
        <v>1015</v>
      </c>
      <c r="L79" s="2397" t="s">
        <v>1016</v>
      </c>
      <c r="M79" s="2397" t="s">
        <v>1017</v>
      </c>
      <c r="N79" s="2397" t="s">
        <v>1018</v>
      </c>
      <c r="AC79" s="1400"/>
      <c r="AD79" s="1399"/>
      <c r="AJ79" s="1398"/>
      <c r="AN79" s="1399"/>
    </row>
    <row r="80" spans="1:40" ht="24">
      <c r="A80" s="1063" t="s">
        <v>1036</v>
      </c>
      <c r="B80" s="2371">
        <f>估价对象房地状况!G15</f>
        <v>0</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14.25">
      <c r="A81" s="1063" t="s">
        <v>1032</v>
      </c>
      <c r="B81" s="2371">
        <f>估价对象房地状况!G16</f>
        <v>0</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3" t="s">
        <v>1025</v>
      </c>
      <c r="B84" s="2372">
        <f>估价对象房地状况!G19</f>
        <v>0</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3" t="s">
        <v>1026</v>
      </c>
      <c r="B85" s="2372">
        <f>估价对象房地状况!G20</f>
        <v>0</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24">
      <c r="A86" s="1063" t="s">
        <v>1024</v>
      </c>
      <c r="B86" s="3046" t="s">
        <v>2926</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15" thickBot="1">
      <c r="A87" s="2404" t="s">
        <v>1037</v>
      </c>
      <c r="B87" s="2373">
        <f>估价对象房地状况!G18</f>
        <v>0</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50" t="s">
        <v>1632</v>
      </c>
      <c r="B90" s="3450"/>
      <c r="C90" s="3450"/>
      <c r="D90" s="3450"/>
      <c r="E90" s="3450"/>
      <c r="F90" s="3450"/>
      <c r="G90" s="3450"/>
      <c r="H90" s="3450"/>
      <c r="I90" s="3450"/>
      <c r="J90" s="3450"/>
      <c r="K90" s="2413"/>
      <c r="L90" s="2413"/>
      <c r="M90" s="2413"/>
      <c r="N90" s="2413"/>
    </row>
    <row r="91" spans="1:40">
      <c r="A91" s="3451" t="s">
        <v>1442</v>
      </c>
      <c r="B91" s="3451" t="s">
        <v>1633</v>
      </c>
      <c r="C91" s="1136" t="s">
        <v>1634</v>
      </c>
      <c r="D91" s="1137"/>
      <c r="E91" s="1137"/>
      <c r="F91" s="1137"/>
      <c r="G91" s="1137"/>
      <c r="H91" s="1137"/>
      <c r="I91" s="1137"/>
      <c r="J91" s="1138"/>
      <c r="K91" s="1130"/>
      <c r="L91" s="1130"/>
      <c r="M91" s="1130"/>
      <c r="N91" s="1130"/>
    </row>
    <row r="92" spans="1:40">
      <c r="A92" s="3451"/>
      <c r="B92" s="3451"/>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58"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9"/>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6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8"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59"/>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59"/>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59"/>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59"/>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59"/>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59"/>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59"/>
      <c r="B108" s="3461"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60"/>
      <c r="B109" s="3462"/>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44" t="s">
        <v>1638</v>
      </c>
      <c r="B110" s="3444"/>
      <c r="C110" s="3444"/>
      <c r="D110" s="3444"/>
      <c r="E110" s="3444"/>
      <c r="F110" s="3444"/>
      <c r="G110" s="3444"/>
      <c r="H110" s="3444"/>
      <c r="I110" s="3444"/>
      <c r="J110" s="3444"/>
      <c r="K110" s="2411"/>
      <c r="L110" s="2411"/>
      <c r="M110" s="2411"/>
      <c r="N110" s="2411"/>
    </row>
    <row r="112" spans="1:14" ht="12.75" thickBot="1"/>
    <row r="113" spans="1:13" ht="25.5" thickBot="1">
      <c r="A113" s="1016" t="s">
        <v>895</v>
      </c>
      <c r="B113" s="2414">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9" t="s">
        <v>2981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3" customFormat="1" ht="19.5" customHeight="1">
      <c r="A18" s="3451" t="s">
        <v>1006</v>
      </c>
      <c r="B18" s="1150" t="s">
        <v>1445</v>
      </c>
      <c r="C18" s="1127" t="s">
        <v>1446</v>
      </c>
      <c r="D18" s="1128"/>
      <c r="E18" s="1150">
        <v>1</v>
      </c>
      <c r="F18" s="1129" t="s">
        <v>1447</v>
      </c>
      <c r="G18" s="1130"/>
      <c r="H18" s="1101"/>
      <c r="I18" s="1101"/>
    </row>
    <row r="19" spans="1:9" s="1583" customFormat="1" ht="19.5" customHeight="1">
      <c r="A19" s="3451"/>
      <c r="B19" s="3451" t="s">
        <v>1448</v>
      </c>
      <c r="C19" s="1127" t="s">
        <v>1449</v>
      </c>
      <c r="D19" s="1128"/>
      <c r="E19" s="1150">
        <v>0.9</v>
      </c>
      <c r="F19" s="1129" t="s">
        <v>1450</v>
      </c>
      <c r="G19" s="1130"/>
      <c r="H19" s="1101"/>
      <c r="I19" s="1101"/>
    </row>
    <row r="20" spans="1:9" s="1583" customFormat="1" ht="19.5" customHeight="1">
      <c r="A20" s="3451"/>
      <c r="B20" s="3451"/>
      <c r="C20" s="1127" t="s">
        <v>1451</v>
      </c>
      <c r="D20" s="1128"/>
      <c r="E20" s="1150">
        <v>1.1000000000000001</v>
      </c>
      <c r="F20" s="1129" t="s">
        <v>1452</v>
      </c>
      <c r="G20" s="1130"/>
      <c r="H20" s="1101"/>
      <c r="I20" s="1101"/>
    </row>
    <row r="21" spans="1:9" s="1583" customFormat="1" ht="19.5" customHeight="1">
      <c r="A21" s="3451"/>
      <c r="B21" s="3451"/>
      <c r="C21" s="1127" t="s">
        <v>1453</v>
      </c>
      <c r="D21" s="1128"/>
      <c r="E21" s="1150">
        <v>0.8</v>
      </c>
      <c r="F21" s="1129" t="s">
        <v>1454</v>
      </c>
      <c r="G21" s="1130"/>
      <c r="H21" s="1101"/>
      <c r="I21" s="1101"/>
    </row>
    <row r="22" spans="1:9" s="1583" customFormat="1" ht="19.5" customHeight="1">
      <c r="A22" s="3451"/>
      <c r="B22" s="3451"/>
      <c r="C22" s="1127" t="s">
        <v>1455</v>
      </c>
      <c r="D22" s="1128"/>
      <c r="E22" s="1150">
        <v>0.5</v>
      </c>
      <c r="F22" s="1129"/>
      <c r="G22" s="1130"/>
      <c r="H22" s="1101"/>
      <c r="I22" s="1101"/>
    </row>
    <row r="23" spans="1:9" s="1583" customFormat="1" ht="19.5" customHeight="1">
      <c r="A23" s="3451" t="s">
        <v>1028</v>
      </c>
      <c r="B23" s="1150" t="s">
        <v>1445</v>
      </c>
      <c r="C23" s="1127" t="s">
        <v>1456</v>
      </c>
      <c r="D23" s="1128"/>
      <c r="E23" s="1150">
        <v>1</v>
      </c>
      <c r="F23" s="1129" t="s">
        <v>1457</v>
      </c>
      <c r="G23" s="1130"/>
      <c r="H23" s="1101"/>
      <c r="I23" s="1101"/>
    </row>
    <row r="24" spans="1:9" s="1583" customFormat="1" ht="19.5" customHeight="1">
      <c r="A24" s="3451"/>
      <c r="B24" s="3451" t="s">
        <v>1448</v>
      </c>
      <c r="C24" s="1127" t="s">
        <v>1458</v>
      </c>
      <c r="D24" s="1128"/>
      <c r="E24" s="1150">
        <v>0.5</v>
      </c>
      <c r="F24" s="1129"/>
      <c r="G24" s="1130"/>
      <c r="H24" s="1101"/>
      <c r="I24" s="1101"/>
    </row>
    <row r="25" spans="1:9" s="1583" customFormat="1" ht="19.5" customHeight="1">
      <c r="A25" s="3451"/>
      <c r="B25" s="3451"/>
      <c r="C25" s="1127" t="s">
        <v>1459</v>
      </c>
      <c r="D25" s="1128"/>
      <c r="E25" s="1150">
        <v>1.1000000000000001</v>
      </c>
      <c r="F25" s="1129"/>
      <c r="G25" s="1130"/>
      <c r="H25" s="1101"/>
      <c r="I25" s="1101"/>
    </row>
    <row r="26" spans="1:9" s="1583" customFormat="1" ht="19.5" customHeight="1">
      <c r="A26" s="3451"/>
      <c r="B26" s="3451"/>
      <c r="C26" s="1127" t="s">
        <v>1460</v>
      </c>
      <c r="D26" s="1128"/>
      <c r="E26" s="1150">
        <v>1.1000000000000001</v>
      </c>
      <c r="F26" s="1129"/>
      <c r="G26" s="1130"/>
      <c r="H26" s="1101"/>
      <c r="I26" s="1101"/>
    </row>
    <row r="27" spans="1:9" s="1583" customFormat="1" ht="19.5" customHeight="1">
      <c r="A27" s="3451"/>
      <c r="B27" s="3451"/>
      <c r="C27" s="1127" t="s">
        <v>1461</v>
      </c>
      <c r="D27" s="1128"/>
      <c r="E27" s="1150">
        <v>0.9</v>
      </c>
      <c r="F27" s="1129" t="s">
        <v>1462</v>
      </c>
      <c r="G27" s="1130"/>
      <c r="H27" s="1101"/>
      <c r="I27" s="1101"/>
    </row>
    <row r="28" spans="1:9" s="1583" customFormat="1" ht="19.5" customHeight="1">
      <c r="A28" s="3451"/>
      <c r="B28" s="3451"/>
      <c r="C28" s="1127" t="s">
        <v>1463</v>
      </c>
      <c r="D28" s="1128"/>
      <c r="E28" s="1150">
        <v>0.9</v>
      </c>
      <c r="F28" s="1129" t="s">
        <v>1464</v>
      </c>
      <c r="G28" s="1130"/>
      <c r="H28" s="1101"/>
      <c r="I28" s="1101"/>
    </row>
    <row r="29" spans="1:9" s="1583" customFormat="1" ht="19.5" customHeight="1">
      <c r="A29" s="3451"/>
      <c r="B29" s="3451"/>
      <c r="C29" s="1127" t="s">
        <v>1465</v>
      </c>
      <c r="D29" s="1128"/>
      <c r="E29" s="1150">
        <v>0.9</v>
      </c>
      <c r="F29" s="1129" t="s">
        <v>1466</v>
      </c>
      <c r="G29" s="1130"/>
      <c r="H29" s="1101"/>
      <c r="I29" s="1101"/>
    </row>
    <row r="30" spans="1:9" s="1583" customFormat="1" ht="19.5" customHeight="1">
      <c r="A30" s="3451"/>
      <c r="B30" s="3451"/>
      <c r="C30" s="1127" t="s">
        <v>1467</v>
      </c>
      <c r="D30" s="1128"/>
      <c r="E30" s="1150">
        <v>0.9</v>
      </c>
      <c r="F30" s="1129" t="s">
        <v>1468</v>
      </c>
      <c r="G30" s="1130"/>
      <c r="H30" s="1101"/>
      <c r="I30" s="1101"/>
    </row>
    <row r="31" spans="1:9" s="1583" customFormat="1" ht="19.5" customHeight="1">
      <c r="A31" s="3451"/>
      <c r="B31" s="3451"/>
      <c r="C31" s="1127" t="s">
        <v>1469</v>
      </c>
      <c r="D31" s="1128"/>
      <c r="E31" s="1150">
        <v>0.8</v>
      </c>
      <c r="F31" s="1129" t="s">
        <v>1470</v>
      </c>
      <c r="G31" s="1130"/>
      <c r="H31" s="1101"/>
      <c r="I31" s="1101"/>
    </row>
    <row r="32" spans="1:9" s="1583" customFormat="1" ht="19.5" customHeight="1">
      <c r="A32" s="3451"/>
      <c r="B32" s="3451"/>
      <c r="C32" s="1127" t="s">
        <v>1471</v>
      </c>
      <c r="D32" s="1128"/>
      <c r="E32" s="1150">
        <v>0.8</v>
      </c>
      <c r="F32" s="1129" t="s">
        <v>1472</v>
      </c>
      <c r="G32" s="1130"/>
      <c r="H32" s="1101"/>
      <c r="I32" s="1101"/>
    </row>
    <row r="33" spans="1:9" s="1583" customFormat="1" ht="19.5" customHeight="1">
      <c r="A33" s="3451" t="s">
        <v>1473</v>
      </c>
      <c r="B33" s="1150" t="s">
        <v>1445</v>
      </c>
      <c r="C33" s="1127" t="s">
        <v>1474</v>
      </c>
      <c r="D33" s="1128"/>
      <c r="E33" s="1150">
        <v>1</v>
      </c>
      <c r="F33" s="1129" t="s">
        <v>1475</v>
      </c>
      <c r="G33" s="1130"/>
      <c r="H33" s="1101"/>
      <c r="I33" s="1101"/>
    </row>
    <row r="34" spans="1:9" s="1583" customFormat="1" ht="19.5" customHeight="1">
      <c r="A34" s="3451"/>
      <c r="B34" s="1150" t="s">
        <v>1448</v>
      </c>
      <c r="C34" s="1127" t="s">
        <v>1476</v>
      </c>
      <c r="D34" s="1128"/>
      <c r="E34" s="1150">
        <v>1.5</v>
      </c>
      <c r="F34" s="1129" t="s">
        <v>1477</v>
      </c>
      <c r="G34" s="1130"/>
      <c r="H34" s="1101"/>
      <c r="I34" s="1101"/>
    </row>
    <row r="35" spans="1:9" s="1583" customFormat="1" ht="19.5" customHeight="1">
      <c r="A35" s="3451" t="s">
        <v>1431</v>
      </c>
      <c r="B35" s="1150" t="s">
        <v>1445</v>
      </c>
      <c r="C35" s="1127" t="s">
        <v>1478</v>
      </c>
      <c r="D35" s="1128"/>
      <c r="E35" s="1150">
        <v>1</v>
      </c>
      <c r="F35" s="1129" t="s">
        <v>1479</v>
      </c>
      <c r="G35" s="1130"/>
      <c r="H35" s="1101"/>
      <c r="I35" s="1101"/>
    </row>
    <row r="36" spans="1:9" s="1583" customFormat="1" ht="19.5" customHeight="1">
      <c r="A36" s="3451"/>
      <c r="B36" s="3451" t="s">
        <v>1448</v>
      </c>
      <c r="C36" s="1127" t="s">
        <v>1480</v>
      </c>
      <c r="D36" s="1128"/>
      <c r="E36" s="1150">
        <v>1</v>
      </c>
      <c r="F36" s="1129" t="s">
        <v>1481</v>
      </c>
      <c r="G36" s="1130"/>
      <c r="H36" s="1101"/>
      <c r="I36" s="1101"/>
    </row>
    <row r="37" spans="1:9" s="1583" customFormat="1" ht="19.5" customHeight="1">
      <c r="A37" s="3451"/>
      <c r="B37" s="3451"/>
      <c r="C37" s="1127" t="s">
        <v>1482</v>
      </c>
      <c r="D37" s="1128"/>
      <c r="E37" s="1150">
        <v>1.5</v>
      </c>
      <c r="F37" s="1129" t="s">
        <v>1483</v>
      </c>
      <c r="G37" s="1130"/>
      <c r="H37" s="1101"/>
      <c r="I37" s="1101"/>
    </row>
    <row r="38" spans="1:9" s="1583" customFormat="1" ht="19.5" customHeight="1">
      <c r="A38" s="3451"/>
      <c r="B38" s="3451"/>
      <c r="C38" s="1127" t="s">
        <v>1484</v>
      </c>
      <c r="D38" s="1128"/>
      <c r="E38" s="1150">
        <v>1</v>
      </c>
      <c r="F38" s="1129" t="s">
        <v>1485</v>
      </c>
      <c r="G38" s="1130"/>
      <c r="H38" s="1101"/>
      <c r="I38" s="1101"/>
    </row>
    <row r="39" spans="1:9" s="1583" customFormat="1" ht="19.5" customHeight="1">
      <c r="A39" s="3451"/>
      <c r="B39" s="3451"/>
      <c r="C39" s="1127" t="s">
        <v>1486</v>
      </c>
      <c r="D39" s="1128"/>
      <c r="E39" s="1150">
        <v>1</v>
      </c>
      <c r="F39" s="1129" t="s">
        <v>1487</v>
      </c>
      <c r="G39" s="1130"/>
      <c r="H39" s="1101"/>
      <c r="I39" s="1101"/>
    </row>
    <row r="40" spans="1:9" s="1583" customFormat="1" ht="19.5" customHeight="1">
      <c r="A40" s="1584" t="s">
        <v>1488</v>
      </c>
      <c r="B40" s="1584"/>
      <c r="C40" s="1584"/>
      <c r="D40" s="1584"/>
      <c r="E40" s="1584"/>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51" t="s">
        <v>1500</v>
      </c>
      <c r="C61" s="1064" t="s">
        <v>1501</v>
      </c>
      <c r="D61" s="1064" t="s">
        <v>1502</v>
      </c>
      <c r="E61" s="1135">
        <v>0.5</v>
      </c>
      <c r="F61" s="1150">
        <v>80</v>
      </c>
      <c r="H61" s="1101">
        <f>SUMIF(C59:C119,基准地价!C8,E59:E119)</f>
        <v>0</v>
      </c>
    </row>
    <row r="62" spans="1:8" s="1101" customFormat="1" ht="24">
      <c r="A62" s="1150">
        <v>2</v>
      </c>
      <c r="B62" s="3451"/>
      <c r="C62" s="1064" t="s">
        <v>1503</v>
      </c>
      <c r="D62" s="1064" t="s">
        <v>1504</v>
      </c>
      <c r="E62" s="1135">
        <v>0.5</v>
      </c>
      <c r="F62" s="1150">
        <v>80</v>
      </c>
    </row>
    <row r="63" spans="1:8" s="1101" customFormat="1" ht="36">
      <c r="A63" s="1150">
        <v>3</v>
      </c>
      <c r="B63" s="3451"/>
      <c r="C63" s="1064" t="s">
        <v>1505</v>
      </c>
      <c r="D63" s="1064" t="s">
        <v>1506</v>
      </c>
      <c r="E63" s="1135">
        <v>0.5</v>
      </c>
      <c r="F63" s="1150">
        <v>80</v>
      </c>
    </row>
    <row r="64" spans="1:8" s="1101" customFormat="1" ht="36">
      <c r="A64" s="1150">
        <v>4</v>
      </c>
      <c r="B64" s="3451"/>
      <c r="C64" s="1064" t="s">
        <v>1507</v>
      </c>
      <c r="D64" s="1064" t="s">
        <v>1508</v>
      </c>
      <c r="E64" s="1135">
        <v>0.4</v>
      </c>
      <c r="F64" s="1150">
        <v>60</v>
      </c>
    </row>
    <row r="65" spans="1:6" s="1101" customFormat="1" ht="36">
      <c r="A65" s="1150">
        <v>5</v>
      </c>
      <c r="B65" s="3451"/>
      <c r="C65" s="1064" t="s">
        <v>1509</v>
      </c>
      <c r="D65" s="1064" t="s">
        <v>1510</v>
      </c>
      <c r="E65" s="1135">
        <v>0.2</v>
      </c>
      <c r="F65" s="1150">
        <v>30</v>
      </c>
    </row>
    <row r="66" spans="1:6" s="1101" customFormat="1" ht="36">
      <c r="A66" s="1150">
        <v>6</v>
      </c>
      <c r="B66" s="3451"/>
      <c r="C66" s="1064" t="s">
        <v>1511</v>
      </c>
      <c r="D66" s="1064" t="s">
        <v>1512</v>
      </c>
      <c r="E66" s="1135">
        <v>0.3</v>
      </c>
      <c r="F66" s="1150">
        <v>50</v>
      </c>
    </row>
    <row r="67" spans="1:6" s="1101" customFormat="1" ht="36">
      <c r="A67" s="1150">
        <v>7</v>
      </c>
      <c r="B67" s="3451"/>
      <c r="C67" s="1064" t="s">
        <v>1513</v>
      </c>
      <c r="D67" s="1064" t="s">
        <v>1514</v>
      </c>
      <c r="E67" s="1135">
        <v>0.2</v>
      </c>
      <c r="F67" s="1150">
        <v>30</v>
      </c>
    </row>
    <row r="68" spans="1:6" s="1101" customFormat="1" ht="36">
      <c r="A68" s="1150">
        <v>8</v>
      </c>
      <c r="B68" s="3451"/>
      <c r="C68" s="1064" t="s">
        <v>1515</v>
      </c>
      <c r="D68" s="1064" t="s">
        <v>1516</v>
      </c>
      <c r="E68" s="1135">
        <v>0.2</v>
      </c>
      <c r="F68" s="1150">
        <v>30</v>
      </c>
    </row>
    <row r="69" spans="1:6" s="1101" customFormat="1" ht="36">
      <c r="A69" s="1150">
        <v>9</v>
      </c>
      <c r="B69" s="3451"/>
      <c r="C69" s="1064" t="s">
        <v>1517</v>
      </c>
      <c r="D69" s="1064" t="s">
        <v>1518</v>
      </c>
      <c r="E69" s="1135">
        <v>0.2</v>
      </c>
      <c r="F69" s="1150">
        <v>30</v>
      </c>
    </row>
    <row r="70" spans="1:6" s="1101" customFormat="1" ht="48">
      <c r="A70" s="1150">
        <v>10</v>
      </c>
      <c r="B70" s="3451"/>
      <c r="C70" s="1064" t="s">
        <v>1519</v>
      </c>
      <c r="D70" s="1064" t="s">
        <v>1520</v>
      </c>
      <c r="E70" s="1135">
        <v>0.2</v>
      </c>
      <c r="F70" s="1150">
        <v>30</v>
      </c>
    </row>
    <row r="71" spans="1:6" s="1101" customFormat="1" ht="48">
      <c r="A71" s="1150">
        <v>11</v>
      </c>
      <c r="B71" s="3451"/>
      <c r="C71" s="1064" t="s">
        <v>1521</v>
      </c>
      <c r="D71" s="1064" t="s">
        <v>1522</v>
      </c>
      <c r="E71" s="1135">
        <v>0.2</v>
      </c>
      <c r="F71" s="1150">
        <v>30</v>
      </c>
    </row>
    <row r="72" spans="1:6" s="1101" customFormat="1" ht="36">
      <c r="A72" s="1150">
        <v>12</v>
      </c>
      <c r="B72" s="3451"/>
      <c r="C72" s="1064" t="s">
        <v>1523</v>
      </c>
      <c r="D72" s="1064" t="s">
        <v>1524</v>
      </c>
      <c r="E72" s="1135">
        <v>0.5</v>
      </c>
      <c r="F72" s="1150">
        <v>80</v>
      </c>
    </row>
    <row r="73" spans="1:6" s="1101" customFormat="1" ht="24">
      <c r="A73" s="1150">
        <v>13</v>
      </c>
      <c r="B73" s="3451"/>
      <c r="C73" s="1064" t="s">
        <v>1525</v>
      </c>
      <c r="D73" s="1064" t="s">
        <v>1526</v>
      </c>
      <c r="E73" s="1135">
        <v>0.4</v>
      </c>
      <c r="F73" s="1150">
        <v>60</v>
      </c>
    </row>
    <row r="74" spans="1:6" s="1101" customFormat="1" ht="24">
      <c r="A74" s="1150">
        <v>14</v>
      </c>
      <c r="B74" s="3451"/>
      <c r="C74" s="1064" t="s">
        <v>1527</v>
      </c>
      <c r="D74" s="1064" t="s">
        <v>1528</v>
      </c>
      <c r="E74" s="1135">
        <v>0.2</v>
      </c>
      <c r="F74" s="1150">
        <v>30</v>
      </c>
    </row>
    <row r="75" spans="1:6" s="1101" customFormat="1" ht="24">
      <c r="A75" s="1150">
        <v>15</v>
      </c>
      <c r="B75" s="3451"/>
      <c r="C75" s="1064" t="s">
        <v>1529</v>
      </c>
      <c r="D75" s="1064" t="s">
        <v>1530</v>
      </c>
      <c r="E75" s="1135">
        <v>0.2</v>
      </c>
      <c r="F75" s="1150">
        <v>30</v>
      </c>
    </row>
    <row r="76" spans="1:6" s="1101" customFormat="1" ht="24">
      <c r="A76" s="1150">
        <v>16</v>
      </c>
      <c r="B76" s="3451" t="s">
        <v>1531</v>
      </c>
      <c r="C76" s="1064" t="s">
        <v>1532</v>
      </c>
      <c r="D76" s="1064" t="s">
        <v>1533</v>
      </c>
      <c r="E76" s="1135">
        <v>0.5</v>
      </c>
      <c r="F76" s="1150">
        <v>80</v>
      </c>
    </row>
    <row r="77" spans="1:6" s="1101" customFormat="1" ht="24">
      <c r="A77" s="1150">
        <v>17</v>
      </c>
      <c r="B77" s="3451"/>
      <c r="C77" s="1064" t="s">
        <v>1534</v>
      </c>
      <c r="D77" s="1064" t="s">
        <v>1535</v>
      </c>
      <c r="E77" s="1135">
        <v>0.5</v>
      </c>
      <c r="F77" s="1150">
        <v>80</v>
      </c>
    </row>
    <row r="78" spans="1:6" s="1101" customFormat="1" ht="24">
      <c r="A78" s="1150">
        <v>18</v>
      </c>
      <c r="B78" s="3451"/>
      <c r="C78" s="1064" t="s">
        <v>1536</v>
      </c>
      <c r="D78" s="1064" t="s">
        <v>1537</v>
      </c>
      <c r="E78" s="1135">
        <v>0.2</v>
      </c>
      <c r="F78" s="1150">
        <v>30</v>
      </c>
    </row>
    <row r="79" spans="1:6" s="1101" customFormat="1" ht="24">
      <c r="A79" s="1150">
        <v>19</v>
      </c>
      <c r="B79" s="3451"/>
      <c r="C79" s="1064" t="s">
        <v>1538</v>
      </c>
      <c r="D79" s="1064" t="s">
        <v>1539</v>
      </c>
      <c r="E79" s="1135">
        <v>0.5</v>
      </c>
      <c r="F79" s="1150">
        <v>80</v>
      </c>
    </row>
    <row r="80" spans="1:6" s="1101" customFormat="1" ht="36">
      <c r="A80" s="1150">
        <v>20</v>
      </c>
      <c r="B80" s="3451"/>
      <c r="C80" s="1064" t="s">
        <v>1540</v>
      </c>
      <c r="D80" s="1064" t="s">
        <v>1541</v>
      </c>
      <c r="E80" s="1135">
        <v>0.2</v>
      </c>
      <c r="F80" s="1150">
        <v>30</v>
      </c>
    </row>
    <row r="81" spans="1:6" s="1101" customFormat="1" ht="36">
      <c r="A81" s="1150">
        <v>21</v>
      </c>
      <c r="B81" s="3451"/>
      <c r="C81" s="1064" t="s">
        <v>1542</v>
      </c>
      <c r="D81" s="1064" t="s">
        <v>1543</v>
      </c>
      <c r="E81" s="1135">
        <v>0.2</v>
      </c>
      <c r="F81" s="1150">
        <v>30</v>
      </c>
    </row>
    <row r="82" spans="1:6" s="1101" customFormat="1" ht="48">
      <c r="A82" s="1150">
        <v>22</v>
      </c>
      <c r="B82" s="3451"/>
      <c r="C82" s="1064" t="s">
        <v>1544</v>
      </c>
      <c r="D82" s="1064" t="s">
        <v>1545</v>
      </c>
      <c r="E82" s="1135">
        <v>0.2</v>
      </c>
      <c r="F82" s="1150">
        <v>30</v>
      </c>
    </row>
    <row r="83" spans="1:6" s="1101" customFormat="1" ht="48">
      <c r="A83" s="1150">
        <v>23</v>
      </c>
      <c r="B83" s="3451"/>
      <c r="C83" s="1064" t="s">
        <v>1546</v>
      </c>
      <c r="D83" s="1064" t="s">
        <v>1547</v>
      </c>
      <c r="E83" s="1135">
        <v>0.2</v>
      </c>
      <c r="F83" s="1150">
        <v>30</v>
      </c>
    </row>
    <row r="84" spans="1:6" s="1101" customFormat="1" ht="36">
      <c r="A84" s="1150">
        <v>24</v>
      </c>
      <c r="B84" s="3451"/>
      <c r="C84" s="1064" t="s">
        <v>1548</v>
      </c>
      <c r="D84" s="1064" t="s">
        <v>1549</v>
      </c>
      <c r="E84" s="1135">
        <v>0.2</v>
      </c>
      <c r="F84" s="1150">
        <v>30</v>
      </c>
    </row>
    <row r="85" spans="1:6" s="1101" customFormat="1" ht="36">
      <c r="A85" s="1150">
        <v>25</v>
      </c>
      <c r="B85" s="3451"/>
      <c r="C85" s="1064" t="s">
        <v>1550</v>
      </c>
      <c r="D85" s="1064" t="s">
        <v>1551</v>
      </c>
      <c r="E85" s="1135">
        <v>0.5</v>
      </c>
      <c r="F85" s="1150">
        <v>80</v>
      </c>
    </row>
    <row r="86" spans="1:6" s="1101" customFormat="1" ht="36">
      <c r="A86" s="1150">
        <v>26</v>
      </c>
      <c r="B86" s="3451"/>
      <c r="C86" s="1064" t="s">
        <v>1552</v>
      </c>
      <c r="D86" s="1064" t="s">
        <v>1553</v>
      </c>
      <c r="E86" s="1135">
        <v>0.2</v>
      </c>
      <c r="F86" s="1150">
        <v>30</v>
      </c>
    </row>
    <row r="87" spans="1:6" s="1101" customFormat="1" ht="36">
      <c r="A87" s="1150">
        <v>27</v>
      </c>
      <c r="B87" s="3451"/>
      <c r="C87" s="1064" t="s">
        <v>1554</v>
      </c>
      <c r="D87" s="1064" t="s">
        <v>1555</v>
      </c>
      <c r="E87" s="1135">
        <v>0.2</v>
      </c>
      <c r="F87" s="1150">
        <v>30</v>
      </c>
    </row>
    <row r="88" spans="1:6" s="1101" customFormat="1" ht="36">
      <c r="A88" s="1150">
        <v>28</v>
      </c>
      <c r="B88" s="3451"/>
      <c r="C88" s="1064" t="s">
        <v>1556</v>
      </c>
      <c r="D88" s="1064" t="s">
        <v>1557</v>
      </c>
      <c r="E88" s="1135">
        <v>0.2</v>
      </c>
      <c r="F88" s="1150">
        <v>30</v>
      </c>
    </row>
    <row r="89" spans="1:6" s="1101" customFormat="1" ht="24">
      <c r="A89" s="1150">
        <v>29</v>
      </c>
      <c r="B89" s="3451"/>
      <c r="C89" s="1064" t="s">
        <v>1558</v>
      </c>
      <c r="D89" s="1064" t="s">
        <v>1559</v>
      </c>
      <c r="E89" s="1135">
        <v>0.2</v>
      </c>
      <c r="F89" s="1150">
        <v>30</v>
      </c>
    </row>
    <row r="90" spans="1:6" s="1101" customFormat="1" ht="24">
      <c r="A90" s="1150">
        <v>30</v>
      </c>
      <c r="B90" s="3451"/>
      <c r="C90" s="1064" t="s">
        <v>1560</v>
      </c>
      <c r="D90" s="1064" t="s">
        <v>1561</v>
      </c>
      <c r="E90" s="1135">
        <v>0.2</v>
      </c>
      <c r="F90" s="1150">
        <v>30</v>
      </c>
    </row>
    <row r="91" spans="1:6" s="1101" customFormat="1" ht="36">
      <c r="A91" s="1150">
        <v>31</v>
      </c>
      <c r="B91" s="3451"/>
      <c r="C91" s="1064" t="s">
        <v>1562</v>
      </c>
      <c r="D91" s="1064" t="s">
        <v>1563</v>
      </c>
      <c r="E91" s="1135">
        <v>0.2</v>
      </c>
      <c r="F91" s="1150">
        <v>30</v>
      </c>
    </row>
    <row r="92" spans="1:6" s="1101" customFormat="1" ht="24">
      <c r="A92" s="1150">
        <v>32</v>
      </c>
      <c r="B92" s="3451" t="s">
        <v>1564</v>
      </c>
      <c r="C92" s="1150" t="s">
        <v>1565</v>
      </c>
      <c r="D92" s="1064" t="s">
        <v>1566</v>
      </c>
      <c r="E92" s="1135">
        <v>0.2</v>
      </c>
      <c r="F92" s="1150">
        <v>30</v>
      </c>
    </row>
    <row r="93" spans="1:6" s="1101" customFormat="1" ht="36">
      <c r="A93" s="1150">
        <v>33</v>
      </c>
      <c r="B93" s="3451"/>
      <c r="C93" s="1150" t="s">
        <v>1567</v>
      </c>
      <c r="D93" s="1064" t="s">
        <v>1568</v>
      </c>
      <c r="E93" s="1135">
        <v>0.2</v>
      </c>
      <c r="F93" s="1150">
        <v>30</v>
      </c>
    </row>
    <row r="94" spans="1:6" s="1101" customFormat="1" ht="48">
      <c r="A94" s="1150">
        <v>34</v>
      </c>
      <c r="B94" s="3451"/>
      <c r="C94" s="1150" t="s">
        <v>1569</v>
      </c>
      <c r="D94" s="1064" t="s">
        <v>1570</v>
      </c>
      <c r="E94" s="1135">
        <v>0.2</v>
      </c>
      <c r="F94" s="1150">
        <v>30</v>
      </c>
    </row>
    <row r="95" spans="1:6" s="1101" customFormat="1" ht="36">
      <c r="A95" s="1150">
        <v>35</v>
      </c>
      <c r="B95" s="3451"/>
      <c r="C95" s="1150" t="s">
        <v>1571</v>
      </c>
      <c r="D95" s="1064" t="s">
        <v>1572</v>
      </c>
      <c r="E95" s="1135">
        <v>0.2</v>
      </c>
      <c r="F95" s="1150">
        <v>30</v>
      </c>
    </row>
    <row r="96" spans="1:6" s="1101" customFormat="1" ht="48">
      <c r="A96" s="1150">
        <v>36</v>
      </c>
      <c r="B96" s="3451"/>
      <c r="C96" s="1064" t="s">
        <v>1573</v>
      </c>
      <c r="D96" s="1064" t="s">
        <v>1574</v>
      </c>
      <c r="E96" s="1135">
        <v>0.2</v>
      </c>
      <c r="F96" s="1150">
        <v>30</v>
      </c>
    </row>
    <row r="97" spans="1:6" s="1101" customFormat="1" ht="36">
      <c r="A97" s="1150">
        <v>37</v>
      </c>
      <c r="B97" s="3451"/>
      <c r="C97" s="1150" t="s">
        <v>1575</v>
      </c>
      <c r="D97" s="1064" t="s">
        <v>1576</v>
      </c>
      <c r="E97" s="1135">
        <v>0.2</v>
      </c>
      <c r="F97" s="1150">
        <v>30</v>
      </c>
    </row>
    <row r="98" spans="1:6" s="1101" customFormat="1" ht="36">
      <c r="A98" s="1150">
        <v>38</v>
      </c>
      <c r="B98" s="3451"/>
      <c r="C98" s="1150" t="s">
        <v>1577</v>
      </c>
      <c r="D98" s="1064" t="s">
        <v>1578</v>
      </c>
      <c r="E98" s="1135">
        <v>0.2</v>
      </c>
      <c r="F98" s="1150">
        <v>30</v>
      </c>
    </row>
    <row r="99" spans="1:6" s="1101" customFormat="1" ht="36">
      <c r="A99" s="1150">
        <v>39</v>
      </c>
      <c r="B99" s="3451" t="s">
        <v>1579</v>
      </c>
      <c r="C99" s="1150" t="s">
        <v>1580</v>
      </c>
      <c r="D99" s="1064" t="s">
        <v>1581</v>
      </c>
      <c r="E99" s="1135">
        <v>0.3</v>
      </c>
      <c r="F99" s="1150">
        <v>50</v>
      </c>
    </row>
    <row r="100" spans="1:6" s="1101" customFormat="1" ht="24">
      <c r="A100" s="1150">
        <v>40</v>
      </c>
      <c r="B100" s="3451"/>
      <c r="C100" s="1150" t="s">
        <v>1582</v>
      </c>
      <c r="D100" s="1064" t="s">
        <v>1583</v>
      </c>
      <c r="E100" s="1135">
        <v>0.2</v>
      </c>
      <c r="F100" s="1150">
        <v>30</v>
      </c>
    </row>
    <row r="101" spans="1:6" s="1101" customFormat="1" ht="36">
      <c r="A101" s="1150">
        <v>41</v>
      </c>
      <c r="B101" s="3451"/>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51" t="s">
        <v>1594</v>
      </c>
      <c r="C105" s="1150" t="s">
        <v>1595</v>
      </c>
      <c r="D105" s="1064" t="s">
        <v>1596</v>
      </c>
      <c r="E105" s="1135">
        <v>0.2</v>
      </c>
      <c r="F105" s="1150">
        <v>30</v>
      </c>
    </row>
    <row r="106" spans="1:6" s="1101" customFormat="1" ht="36">
      <c r="A106" s="1150">
        <v>46</v>
      </c>
      <c r="B106" s="3451"/>
      <c r="C106" s="1150" t="s">
        <v>1597</v>
      </c>
      <c r="D106" s="1064" t="s">
        <v>1598</v>
      </c>
      <c r="E106" s="1135">
        <v>0.2</v>
      </c>
      <c r="F106" s="1150">
        <v>30</v>
      </c>
    </row>
    <row r="107" spans="1:6" s="1101" customFormat="1" ht="36">
      <c r="A107" s="1150">
        <v>47</v>
      </c>
      <c r="B107" s="3451" t="s">
        <v>1599</v>
      </c>
      <c r="C107" s="1150" t="s">
        <v>1600</v>
      </c>
      <c r="D107" s="1064" t="s">
        <v>1601</v>
      </c>
      <c r="E107" s="1135">
        <v>0.3</v>
      </c>
      <c r="F107" s="1150">
        <v>50</v>
      </c>
    </row>
    <row r="108" spans="1:6" s="1101" customFormat="1" ht="36">
      <c r="A108" s="1150">
        <v>48</v>
      </c>
      <c r="B108" s="3451"/>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51" t="s">
        <v>1610</v>
      </c>
      <c r="C111" s="1150" t="s">
        <v>1611</v>
      </c>
      <c r="D111" s="1064" t="s">
        <v>1612</v>
      </c>
      <c r="E111" s="1135">
        <v>0.2</v>
      </c>
      <c r="F111" s="1150">
        <v>30</v>
      </c>
    </row>
    <row r="112" spans="1:6" s="1101" customFormat="1" ht="24">
      <c r="A112" s="1150">
        <v>52</v>
      </c>
      <c r="B112" s="3451"/>
      <c r="C112" s="1150" t="s">
        <v>1613</v>
      </c>
      <c r="D112" s="1064" t="s">
        <v>1614</v>
      </c>
      <c r="E112" s="1135">
        <v>0.2</v>
      </c>
      <c r="F112" s="1150">
        <v>30</v>
      </c>
    </row>
    <row r="113" spans="1:14" s="1101" customFormat="1" ht="24">
      <c r="A113" s="1150">
        <v>53</v>
      </c>
      <c r="B113" s="3451"/>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51" t="s">
        <v>1623</v>
      </c>
      <c r="C116" s="1150" t="s">
        <v>1624</v>
      </c>
      <c r="D116" s="1064" t="s">
        <v>1625</v>
      </c>
      <c r="E116" s="1135">
        <v>0.2</v>
      </c>
      <c r="F116" s="1150">
        <v>30</v>
      </c>
    </row>
    <row r="117" spans="1:14" ht="36">
      <c r="A117" s="1150">
        <v>57</v>
      </c>
      <c r="B117" s="3451"/>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50" t="s">
        <v>1632</v>
      </c>
      <c r="B121" s="3450"/>
      <c r="C121" s="3450"/>
      <c r="D121" s="3450"/>
      <c r="E121" s="3450"/>
      <c r="F121" s="3450"/>
      <c r="G121" s="3450"/>
      <c r="H121" s="3450"/>
      <c r="I121" s="3450"/>
      <c r="J121" s="345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65" t="s">
        <v>1038</v>
      </c>
      <c r="B1" s="3465"/>
      <c r="C1" s="3465"/>
      <c r="D1" s="3465"/>
      <c r="E1" s="3465"/>
      <c r="F1" s="3465"/>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66" t="s">
        <v>1051</v>
      </c>
      <c r="B2" s="3466"/>
      <c r="C2" s="3466"/>
      <c r="D2" s="3466"/>
      <c r="E2" s="3466"/>
      <c r="F2" s="3466"/>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67"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68"/>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4" customWidth="1"/>
    <col min="2" max="2" width="10.25" style="1865" customWidth="1"/>
  </cols>
  <sheetData>
    <row r="1" spans="1:6">
      <c r="A1" s="3469" t="s">
        <v>2078</v>
      </c>
      <c r="B1" s="3469"/>
    </row>
    <row r="2" spans="1:6" ht="14.25" thickBot="1">
      <c r="A2" s="1835"/>
      <c r="B2" s="1835"/>
    </row>
    <row r="3" spans="1:6" ht="14.25" thickBot="1">
      <c r="A3" s="1835"/>
      <c r="B3" s="1835"/>
      <c r="C3" s="1836" t="s">
        <v>2079</v>
      </c>
      <c r="D3" s="1836" t="s">
        <v>2080</v>
      </c>
      <c r="E3" s="1836" t="s">
        <v>2081</v>
      </c>
      <c r="F3" s="1836" t="s">
        <v>2082</v>
      </c>
    </row>
    <row r="4" spans="1:6" ht="14.25" thickBot="1">
      <c r="A4" s="1837" t="s">
        <v>2083</v>
      </c>
      <c r="B4" s="1838" t="s">
        <v>2084</v>
      </c>
      <c r="C4" s="1836"/>
      <c r="D4" s="1836"/>
      <c r="E4" s="1836"/>
      <c r="F4" s="1836"/>
    </row>
    <row r="5" spans="1:6" ht="14.25" thickBot="1">
      <c r="A5" s="1839" t="s">
        <v>2085</v>
      </c>
      <c r="B5" s="1840" t="s">
        <v>2086</v>
      </c>
      <c r="C5" s="1841">
        <v>8.8999999999999996E-2</v>
      </c>
      <c r="D5" s="1841">
        <v>7.3999999999999996E-2</v>
      </c>
      <c r="E5" s="1841">
        <v>7.4999999999999997E-2</v>
      </c>
      <c r="F5" s="1842">
        <v>0.1</v>
      </c>
    </row>
    <row r="6" spans="1:6" ht="14.25" thickBot="1">
      <c r="A6" s="1839" t="s">
        <v>1095</v>
      </c>
      <c r="B6" s="1843" t="s">
        <v>2087</v>
      </c>
      <c r="C6" s="1844">
        <v>0.1</v>
      </c>
      <c r="D6" s="1844">
        <v>9.0999999999999998E-2</v>
      </c>
      <c r="E6" s="1844">
        <v>9.0999999999999998E-2</v>
      </c>
      <c r="F6" s="1845">
        <v>0.1</v>
      </c>
    </row>
    <row r="7" spans="1:6" ht="14.25" thickBot="1">
      <c r="A7" s="1839" t="s">
        <v>1095</v>
      </c>
      <c r="B7" s="1846" t="s">
        <v>1083</v>
      </c>
      <c r="C7" s="1844">
        <v>8.5999999999999993E-2</v>
      </c>
      <c r="D7" s="1844">
        <v>9.6000000000000002E-2</v>
      </c>
      <c r="E7" s="1844">
        <v>7.5999999999999998E-2</v>
      </c>
      <c r="F7" s="1845">
        <v>0.1</v>
      </c>
    </row>
    <row r="8" spans="1:6" ht="14.25" thickBot="1">
      <c r="A8" s="1839" t="s">
        <v>1095</v>
      </c>
      <c r="B8" s="1843" t="s">
        <v>1096</v>
      </c>
      <c r="C8" s="1844">
        <v>9.9000000000000005E-2</v>
      </c>
      <c r="D8" s="1844">
        <v>9.8000000000000004E-2</v>
      </c>
      <c r="E8" s="1844">
        <v>9.8000000000000004E-2</v>
      </c>
      <c r="F8" s="1845">
        <v>0.1</v>
      </c>
    </row>
    <row r="9" spans="1:6" ht="14.25" thickBot="1">
      <c r="A9" s="1847" t="s">
        <v>1095</v>
      </c>
      <c r="B9" s="1848" t="s">
        <v>1110</v>
      </c>
      <c r="C9" s="1849">
        <v>0.05</v>
      </c>
      <c r="D9" s="1850"/>
      <c r="E9" s="1850"/>
      <c r="F9" s="1851"/>
    </row>
    <row r="10" spans="1:6" ht="14.25" thickBot="1">
      <c r="A10" s="1839" t="s">
        <v>1154</v>
      </c>
      <c r="B10" s="1840" t="s">
        <v>2088</v>
      </c>
      <c r="C10" s="1841">
        <v>8.8999999999999996E-2</v>
      </c>
      <c r="D10" s="1841">
        <v>7.2999999999999995E-2</v>
      </c>
      <c r="E10" s="1841">
        <v>8.2000000000000003E-2</v>
      </c>
      <c r="F10" s="1842">
        <v>0.1</v>
      </c>
    </row>
    <row r="11" spans="1:6" ht="14.25" thickBot="1">
      <c r="A11" s="1839" t="s">
        <v>1154</v>
      </c>
      <c r="B11" s="1846" t="s">
        <v>1070</v>
      </c>
      <c r="C11" s="1844">
        <v>8.8999999999999996E-2</v>
      </c>
      <c r="D11" s="1844">
        <v>7.2999999999999995E-2</v>
      </c>
      <c r="E11" s="1844">
        <v>8.2000000000000003E-2</v>
      </c>
      <c r="F11" s="1845">
        <v>0.1</v>
      </c>
    </row>
    <row r="12" spans="1:6" ht="14.25" thickBot="1">
      <c r="A12" s="1839" t="s">
        <v>1154</v>
      </c>
      <c r="B12" s="1846" t="s">
        <v>1084</v>
      </c>
      <c r="C12" s="1844">
        <v>6.0999999999999999E-2</v>
      </c>
      <c r="D12" s="1844">
        <v>7.0999999999999994E-2</v>
      </c>
      <c r="E12" s="1844">
        <v>9.6000000000000002E-2</v>
      </c>
      <c r="F12" s="1845">
        <v>0.1</v>
      </c>
    </row>
    <row r="13" spans="1:6" ht="14.25" thickBot="1">
      <c r="A13" s="1839" t="s">
        <v>1154</v>
      </c>
      <c r="B13" s="1846" t="s">
        <v>1097</v>
      </c>
      <c r="C13" s="1844">
        <v>6.9000000000000006E-2</v>
      </c>
      <c r="D13" s="1844">
        <v>6.5000000000000002E-2</v>
      </c>
      <c r="E13" s="1844">
        <v>6.6000000000000003E-2</v>
      </c>
      <c r="F13" s="1845">
        <v>0.1</v>
      </c>
    </row>
    <row r="14" spans="1:6" ht="14.25" thickBot="1">
      <c r="A14" s="1839" t="s">
        <v>1154</v>
      </c>
      <c r="B14" s="1846" t="s">
        <v>1111</v>
      </c>
      <c r="C14" s="1844">
        <v>0.1</v>
      </c>
      <c r="D14" s="1844">
        <v>6.5000000000000002E-2</v>
      </c>
      <c r="E14" s="1844">
        <v>7.0000000000000007E-2</v>
      </c>
      <c r="F14" s="1845">
        <v>0.1</v>
      </c>
    </row>
    <row r="15" spans="1:6" ht="14.25" thickBot="1">
      <c r="A15" s="1839" t="s">
        <v>1154</v>
      </c>
      <c r="B15" s="1846" t="s">
        <v>1122</v>
      </c>
      <c r="C15" s="1844">
        <v>9.8000000000000004E-2</v>
      </c>
      <c r="D15" s="1844">
        <v>8.8999999999999996E-2</v>
      </c>
      <c r="E15" s="1844">
        <v>8.8999999999999996E-2</v>
      </c>
      <c r="F15" s="1845">
        <v>0.1</v>
      </c>
    </row>
    <row r="16" spans="1:6" ht="14.25" thickBot="1">
      <c r="A16" s="1839" t="s">
        <v>1154</v>
      </c>
      <c r="B16" s="1846" t="s">
        <v>1133</v>
      </c>
      <c r="C16" s="1844">
        <v>7.0000000000000007E-2</v>
      </c>
      <c r="D16" s="1844">
        <v>9.2999999999999999E-2</v>
      </c>
      <c r="E16" s="1844">
        <v>9.6000000000000002E-2</v>
      </c>
      <c r="F16" s="1845">
        <v>0.1</v>
      </c>
    </row>
    <row r="17" spans="1:6" ht="14.25" thickBot="1">
      <c r="A17" s="1839" t="s">
        <v>1154</v>
      </c>
      <c r="B17" s="1846" t="s">
        <v>1144</v>
      </c>
      <c r="C17" s="1844">
        <v>9.5000000000000001E-2</v>
      </c>
      <c r="D17" s="1844">
        <v>0.1</v>
      </c>
      <c r="E17" s="1844">
        <v>0.1</v>
      </c>
      <c r="F17" s="1852"/>
    </row>
    <row r="18" spans="1:6" ht="14.25" thickBot="1">
      <c r="A18" s="1839" t="s">
        <v>1154</v>
      </c>
      <c r="B18" s="1846" t="s">
        <v>1156</v>
      </c>
      <c r="C18" s="1844">
        <v>7.3999999999999996E-2</v>
      </c>
      <c r="D18" s="1844">
        <v>9.9000000000000005E-2</v>
      </c>
      <c r="E18" s="1844">
        <v>0.1</v>
      </c>
      <c r="F18" s="1852"/>
    </row>
    <row r="19" spans="1:6" ht="14.25" thickBot="1">
      <c r="A19" s="1839" t="s">
        <v>1154</v>
      </c>
      <c r="B19" s="1846" t="s">
        <v>1166</v>
      </c>
      <c r="C19" s="1844">
        <v>9.9000000000000005E-2</v>
      </c>
      <c r="D19" s="1844">
        <v>7.5999999999999998E-2</v>
      </c>
      <c r="E19" s="1844">
        <v>8.6999999999999994E-2</v>
      </c>
      <c r="F19" s="1852"/>
    </row>
    <row r="20" spans="1:6" ht="14.25" thickBot="1">
      <c r="A20" s="1839" t="s">
        <v>1154</v>
      </c>
      <c r="B20" s="1846" t="s">
        <v>1176</v>
      </c>
      <c r="C20" s="1844">
        <v>9.8000000000000004E-2</v>
      </c>
      <c r="D20" s="1844">
        <v>8.5000000000000006E-2</v>
      </c>
      <c r="E20" s="1844">
        <v>8.2000000000000003E-2</v>
      </c>
      <c r="F20" s="1852"/>
    </row>
    <row r="21" spans="1:6" ht="14.25" thickBot="1">
      <c r="A21" s="1839" t="s">
        <v>1154</v>
      </c>
      <c r="B21" s="1846" t="s">
        <v>1186</v>
      </c>
      <c r="C21" s="1844">
        <v>6.6000000000000003E-2</v>
      </c>
      <c r="D21" s="1844">
        <v>6.4000000000000001E-2</v>
      </c>
      <c r="E21" s="1844">
        <v>6.5000000000000002E-2</v>
      </c>
      <c r="F21" s="1852"/>
    </row>
    <row r="22" spans="1:6" ht="14.25" thickBot="1">
      <c r="A22" s="1839" t="s">
        <v>1154</v>
      </c>
      <c r="B22" s="1846" t="s">
        <v>2089</v>
      </c>
      <c r="C22" s="1844">
        <v>0.08</v>
      </c>
      <c r="D22" s="1844">
        <v>9.8000000000000004E-2</v>
      </c>
      <c r="E22" s="1844">
        <v>9.8000000000000004E-2</v>
      </c>
      <c r="F22" s="1852"/>
    </row>
    <row r="23" spans="1:6" ht="14.25" thickBot="1">
      <c r="A23" s="1839" t="s">
        <v>1154</v>
      </c>
      <c r="B23" s="1846" t="s">
        <v>1206</v>
      </c>
      <c r="C23" s="1844">
        <v>9.9000000000000005E-2</v>
      </c>
      <c r="D23" s="1844">
        <v>9.8000000000000004E-2</v>
      </c>
      <c r="E23" s="1844">
        <v>9.0999999999999998E-2</v>
      </c>
      <c r="F23" s="1852"/>
    </row>
    <row r="24" spans="1:6" ht="14.25" thickBot="1">
      <c r="A24" s="1839" t="s">
        <v>1154</v>
      </c>
      <c r="B24" s="1846" t="s">
        <v>1216</v>
      </c>
      <c r="C24" s="1844">
        <v>8.8999999999999996E-2</v>
      </c>
      <c r="D24" s="1844">
        <v>9.7000000000000003E-2</v>
      </c>
      <c r="E24" s="1844">
        <v>7.0000000000000007E-2</v>
      </c>
      <c r="F24" s="1852"/>
    </row>
    <row r="25" spans="1:6" ht="14.25" thickBot="1">
      <c r="A25" s="1839" t="s">
        <v>1154</v>
      </c>
      <c r="B25" s="1846" t="s">
        <v>1226</v>
      </c>
      <c r="C25" s="1844">
        <v>8.8999999999999996E-2</v>
      </c>
      <c r="D25" s="1844">
        <v>0.1</v>
      </c>
      <c r="E25" s="1844">
        <v>8.1000000000000003E-2</v>
      </c>
      <c r="F25" s="1852"/>
    </row>
    <row r="26" spans="1:6" ht="14.25" thickBot="1">
      <c r="A26" s="1839" t="s">
        <v>1154</v>
      </c>
      <c r="B26" s="1846" t="s">
        <v>1236</v>
      </c>
      <c r="C26" s="1853"/>
      <c r="D26" s="1844">
        <v>9.6000000000000002E-2</v>
      </c>
      <c r="E26" s="1844">
        <v>9.2999999999999999E-2</v>
      </c>
      <c r="F26" s="1852"/>
    </row>
    <row r="27" spans="1:6" ht="14.25" thickBot="1">
      <c r="A27" s="1839" t="s">
        <v>1154</v>
      </c>
      <c r="B27" s="1846" t="s">
        <v>1246</v>
      </c>
      <c r="C27" s="1853"/>
      <c r="D27" s="1844">
        <v>7.5999999999999998E-2</v>
      </c>
      <c r="E27" s="1844">
        <v>9.1999999999999998E-2</v>
      </c>
      <c r="F27" s="1852"/>
    </row>
    <row r="28" spans="1:6" ht="14.25" thickBot="1">
      <c r="A28" s="1847" t="s">
        <v>1154</v>
      </c>
      <c r="B28" s="1848" t="s">
        <v>1256</v>
      </c>
      <c r="C28" s="1850"/>
      <c r="D28" s="1849">
        <v>7.5999999999999998E-2</v>
      </c>
      <c r="E28" s="1849">
        <v>9.1999999999999998E-2</v>
      </c>
      <c r="F28" s="1851"/>
    </row>
    <row r="29" spans="1:6" ht="14.25" thickBot="1">
      <c r="A29" s="1839" t="s">
        <v>1325</v>
      </c>
      <c r="B29" s="1840" t="s">
        <v>2090</v>
      </c>
      <c r="C29" s="1841">
        <v>6.4000000000000001E-2</v>
      </c>
      <c r="D29" s="1841">
        <v>6.5000000000000002E-2</v>
      </c>
      <c r="E29" s="1841">
        <v>6.9000000000000006E-2</v>
      </c>
      <c r="F29" s="1842">
        <v>0.1</v>
      </c>
    </row>
    <row r="30" spans="1:6" ht="14.25" thickBot="1">
      <c r="A30" s="1839" t="s">
        <v>1325</v>
      </c>
      <c r="B30" s="1846" t="s">
        <v>1071</v>
      </c>
      <c r="C30" s="1844">
        <v>6.4000000000000001E-2</v>
      </c>
      <c r="D30" s="1844">
        <v>9.9000000000000005E-2</v>
      </c>
      <c r="E30" s="1844">
        <v>0.1</v>
      </c>
      <c r="F30" s="1845">
        <v>0.1</v>
      </c>
    </row>
    <row r="31" spans="1:6" ht="14.25" thickBot="1">
      <c r="A31" s="1839" t="s">
        <v>1325</v>
      </c>
      <c r="B31" s="1846" t="s">
        <v>1085</v>
      </c>
      <c r="C31" s="1844">
        <v>0.1</v>
      </c>
      <c r="D31" s="1844">
        <v>9.5000000000000001E-2</v>
      </c>
      <c r="E31" s="1844">
        <v>8.8999999999999996E-2</v>
      </c>
      <c r="F31" s="1845">
        <v>0.1</v>
      </c>
    </row>
    <row r="32" spans="1:6" ht="14.25" thickBot="1">
      <c r="A32" s="1839" t="s">
        <v>1325</v>
      </c>
      <c r="B32" s="1846" t="s">
        <v>1098</v>
      </c>
      <c r="C32" s="1844">
        <v>0.05</v>
      </c>
      <c r="D32" s="1844">
        <v>0.05</v>
      </c>
      <c r="E32" s="1844">
        <v>8.7999999999999995E-2</v>
      </c>
      <c r="F32" s="1845">
        <v>0.1</v>
      </c>
    </row>
    <row r="33" spans="1:6" ht="14.25" thickBot="1">
      <c r="A33" s="1839" t="s">
        <v>1325</v>
      </c>
      <c r="B33" s="1846" t="s">
        <v>1112</v>
      </c>
      <c r="C33" s="1844">
        <v>7.4999999999999997E-2</v>
      </c>
      <c r="D33" s="1844">
        <v>9.4E-2</v>
      </c>
      <c r="E33" s="1844">
        <v>9.7000000000000003E-2</v>
      </c>
      <c r="F33" s="1845">
        <v>0.1</v>
      </c>
    </row>
    <row r="34" spans="1:6" ht="14.25" thickBot="1">
      <c r="A34" s="1839" t="s">
        <v>1325</v>
      </c>
      <c r="B34" s="1846" t="s">
        <v>1123</v>
      </c>
      <c r="C34" s="1844">
        <v>9.8000000000000004E-2</v>
      </c>
      <c r="D34" s="1844">
        <v>8.5999999999999993E-2</v>
      </c>
      <c r="E34" s="1844">
        <v>9.7000000000000003E-2</v>
      </c>
      <c r="F34" s="1845">
        <v>0.1</v>
      </c>
    </row>
    <row r="35" spans="1:6" ht="14.25" thickBot="1">
      <c r="A35" s="1839" t="s">
        <v>1325</v>
      </c>
      <c r="B35" s="1846" t="s">
        <v>1134</v>
      </c>
      <c r="C35" s="1844">
        <v>5.8999999999999997E-2</v>
      </c>
      <c r="D35" s="1844">
        <v>6.5000000000000002E-2</v>
      </c>
      <c r="E35" s="1844">
        <v>7.0000000000000007E-2</v>
      </c>
      <c r="F35" s="1845">
        <v>0.1</v>
      </c>
    </row>
    <row r="36" spans="1:6" ht="14.25" thickBot="1">
      <c r="A36" s="1839" t="s">
        <v>1325</v>
      </c>
      <c r="B36" s="1846" t="s">
        <v>1145</v>
      </c>
      <c r="C36" s="1844">
        <v>6.3E-2</v>
      </c>
      <c r="D36" s="1844">
        <v>0.1</v>
      </c>
      <c r="E36" s="1844">
        <v>0.1</v>
      </c>
      <c r="F36" s="1845">
        <v>0.1</v>
      </c>
    </row>
    <row r="37" spans="1:6" ht="14.25" thickBot="1">
      <c r="A37" s="1839" t="s">
        <v>1325</v>
      </c>
      <c r="B37" s="1846" t="s">
        <v>1157</v>
      </c>
      <c r="C37" s="1844">
        <v>7.3999999999999996E-2</v>
      </c>
      <c r="D37" s="1844">
        <v>0.1</v>
      </c>
      <c r="E37" s="1844">
        <v>0.1</v>
      </c>
      <c r="F37" s="1845">
        <v>0.1</v>
      </c>
    </row>
    <row r="38" spans="1:6" ht="14.25" thickBot="1">
      <c r="A38" s="1839" t="s">
        <v>1325</v>
      </c>
      <c r="B38" s="1846" t="s">
        <v>1167</v>
      </c>
      <c r="C38" s="1844">
        <v>0.1</v>
      </c>
      <c r="D38" s="1844">
        <v>9.6000000000000002E-2</v>
      </c>
      <c r="E38" s="1844">
        <v>9.6000000000000002E-2</v>
      </c>
      <c r="F38" s="1852"/>
    </row>
    <row r="39" spans="1:6" ht="14.25" thickBot="1">
      <c r="A39" s="1839" t="s">
        <v>1325</v>
      </c>
      <c r="B39" s="1846" t="s">
        <v>1177</v>
      </c>
      <c r="C39" s="1844">
        <v>0.1</v>
      </c>
      <c r="D39" s="1844">
        <v>9.6000000000000002E-2</v>
      </c>
      <c r="E39" s="1844">
        <v>9.6000000000000002E-2</v>
      </c>
      <c r="F39" s="1852"/>
    </row>
    <row r="40" spans="1:6" ht="14.25" thickBot="1">
      <c r="A40" s="1839" t="s">
        <v>1325</v>
      </c>
      <c r="B40" s="1846" t="s">
        <v>1187</v>
      </c>
      <c r="C40" s="1844">
        <v>9.6000000000000002E-2</v>
      </c>
      <c r="D40" s="1844">
        <v>0.1</v>
      </c>
      <c r="E40" s="1844">
        <v>9.9000000000000005E-2</v>
      </c>
      <c r="F40" s="1852"/>
    </row>
    <row r="41" spans="1:6" ht="14.25" thickBot="1">
      <c r="A41" s="1839" t="s">
        <v>1325</v>
      </c>
      <c r="B41" s="1846" t="s">
        <v>1197</v>
      </c>
      <c r="C41" s="1844">
        <v>9.6000000000000002E-2</v>
      </c>
      <c r="D41" s="1844">
        <v>9.8000000000000004E-2</v>
      </c>
      <c r="E41" s="1844">
        <v>9.8000000000000004E-2</v>
      </c>
      <c r="F41" s="1852"/>
    </row>
    <row r="42" spans="1:6" ht="14.25" thickBot="1">
      <c r="A42" s="1839" t="s">
        <v>1325</v>
      </c>
      <c r="B42" s="1846" t="s">
        <v>1207</v>
      </c>
      <c r="C42" s="1844">
        <v>0.1</v>
      </c>
      <c r="D42" s="1844">
        <v>8.7999999999999995E-2</v>
      </c>
      <c r="E42" s="1844">
        <v>0.1</v>
      </c>
      <c r="F42" s="1852"/>
    </row>
    <row r="43" spans="1:6" ht="14.25" thickBot="1">
      <c r="A43" s="1839" t="s">
        <v>1325</v>
      </c>
      <c r="B43" s="1846" t="s">
        <v>1217</v>
      </c>
      <c r="C43" s="1844">
        <v>9.8000000000000004E-2</v>
      </c>
      <c r="D43" s="1844">
        <v>9.7000000000000003E-2</v>
      </c>
      <c r="E43" s="1844">
        <v>9.6000000000000002E-2</v>
      </c>
      <c r="F43" s="1852"/>
    </row>
    <row r="44" spans="1:6" ht="14.25" thickBot="1">
      <c r="A44" s="1839" t="s">
        <v>1325</v>
      </c>
      <c r="B44" s="1846" t="s">
        <v>1227</v>
      </c>
      <c r="C44" s="1844">
        <v>8.5999999999999993E-2</v>
      </c>
      <c r="D44" s="1844">
        <v>7.9000000000000001E-2</v>
      </c>
      <c r="E44" s="1844">
        <v>7.0999999999999994E-2</v>
      </c>
      <c r="F44" s="1852"/>
    </row>
    <row r="45" spans="1:6" ht="14.25" thickBot="1">
      <c r="A45" s="1839" t="s">
        <v>1325</v>
      </c>
      <c r="B45" s="1846" t="s">
        <v>1237</v>
      </c>
      <c r="C45" s="1844">
        <v>9.8000000000000004E-2</v>
      </c>
      <c r="D45" s="1844">
        <v>9.6000000000000002E-2</v>
      </c>
      <c r="E45" s="1844">
        <v>9.6000000000000002E-2</v>
      </c>
      <c r="F45" s="1852"/>
    </row>
    <row r="46" spans="1:6" ht="14.25" thickBot="1">
      <c r="A46" s="1839" t="s">
        <v>1325</v>
      </c>
      <c r="B46" s="1846" t="s">
        <v>1247</v>
      </c>
      <c r="C46" s="1844">
        <v>8.5999999999999993E-2</v>
      </c>
      <c r="D46" s="1844">
        <v>9.8000000000000004E-2</v>
      </c>
      <c r="E46" s="1844">
        <v>8.7999999999999995E-2</v>
      </c>
      <c r="F46" s="1852"/>
    </row>
    <row r="47" spans="1:6" ht="14.25" thickBot="1">
      <c r="A47" s="1839" t="s">
        <v>1325</v>
      </c>
      <c r="B47" s="1846" t="s">
        <v>1257</v>
      </c>
      <c r="C47" s="1844">
        <v>9.6000000000000002E-2</v>
      </c>
      <c r="D47" s="1853"/>
      <c r="E47" s="1844">
        <v>6.9000000000000006E-2</v>
      </c>
      <c r="F47" s="1852"/>
    </row>
    <row r="48" spans="1:6" ht="14.25" thickBot="1">
      <c r="A48" s="1847" t="s">
        <v>1325</v>
      </c>
      <c r="B48" s="1848" t="s">
        <v>1266</v>
      </c>
      <c r="C48" s="1849">
        <v>9.8000000000000004E-2</v>
      </c>
      <c r="D48" s="1850"/>
      <c r="E48" s="1849">
        <v>9.5000000000000001E-2</v>
      </c>
      <c r="F48" s="1851"/>
    </row>
    <row r="49" spans="1:6" ht="14.25" thickBot="1">
      <c r="A49" s="1839" t="s">
        <v>924</v>
      </c>
      <c r="B49" s="1840" t="s">
        <v>2091</v>
      </c>
      <c r="C49" s="1841">
        <v>9.7000000000000003E-2</v>
      </c>
      <c r="D49" s="1841">
        <v>9.5000000000000001E-2</v>
      </c>
      <c r="E49" s="1841">
        <v>9.7000000000000003E-2</v>
      </c>
      <c r="F49" s="1842">
        <v>0.1</v>
      </c>
    </row>
    <row r="50" spans="1:6" ht="14.25" thickBot="1">
      <c r="A50" s="1839" t="s">
        <v>924</v>
      </c>
      <c r="B50" s="1843" t="s">
        <v>1072</v>
      </c>
      <c r="C50" s="1844">
        <v>7.4999999999999997E-2</v>
      </c>
      <c r="D50" s="1844">
        <v>9.5000000000000001E-2</v>
      </c>
      <c r="E50" s="1844">
        <v>0.1</v>
      </c>
      <c r="F50" s="1845">
        <v>0.1</v>
      </c>
    </row>
    <row r="51" spans="1:6" ht="14.25" thickBot="1">
      <c r="A51" s="1839" t="s">
        <v>924</v>
      </c>
      <c r="B51" s="1843" t="s">
        <v>1086</v>
      </c>
      <c r="C51" s="1844">
        <v>9.8000000000000004E-2</v>
      </c>
      <c r="D51" s="1844">
        <v>8.8999999999999996E-2</v>
      </c>
      <c r="E51" s="1844">
        <v>0.1</v>
      </c>
      <c r="F51" s="1845">
        <v>0.1</v>
      </c>
    </row>
    <row r="52" spans="1:6" ht="14.25" thickBot="1">
      <c r="A52" s="1839" t="s">
        <v>924</v>
      </c>
      <c r="B52" s="1843" t="s">
        <v>1099</v>
      </c>
      <c r="C52" s="1844">
        <v>9.8000000000000004E-2</v>
      </c>
      <c r="D52" s="1844">
        <v>9.7000000000000003E-2</v>
      </c>
      <c r="E52" s="1844">
        <v>8.1000000000000003E-2</v>
      </c>
      <c r="F52" s="1845">
        <v>0.1</v>
      </c>
    </row>
    <row r="53" spans="1:6" ht="14.25" thickBot="1">
      <c r="A53" s="1839" t="s">
        <v>924</v>
      </c>
      <c r="B53" s="1843" t="s">
        <v>1113</v>
      </c>
      <c r="C53" s="1844">
        <v>9.7000000000000003E-2</v>
      </c>
      <c r="D53" s="1844">
        <v>7.5999999999999998E-2</v>
      </c>
      <c r="E53" s="1844">
        <v>7.0999999999999994E-2</v>
      </c>
      <c r="F53" s="1845">
        <v>0.1</v>
      </c>
    </row>
    <row r="54" spans="1:6" ht="14.25" thickBot="1">
      <c r="A54" s="1839" t="s">
        <v>924</v>
      </c>
      <c r="B54" s="1843" t="s">
        <v>1124</v>
      </c>
      <c r="C54" s="1844">
        <v>7.5999999999999998E-2</v>
      </c>
      <c r="D54" s="1844">
        <v>0.1</v>
      </c>
      <c r="E54" s="1844">
        <v>9.9000000000000005E-2</v>
      </c>
      <c r="F54" s="1845">
        <v>0.1</v>
      </c>
    </row>
    <row r="55" spans="1:6" ht="14.25" thickBot="1">
      <c r="A55" s="1839" t="s">
        <v>924</v>
      </c>
      <c r="B55" s="1843" t="s">
        <v>1135</v>
      </c>
      <c r="C55" s="1844">
        <v>0.1</v>
      </c>
      <c r="D55" s="1844">
        <v>0.1</v>
      </c>
      <c r="E55" s="1844">
        <v>9.6000000000000002E-2</v>
      </c>
      <c r="F55" s="1845">
        <v>0.1</v>
      </c>
    </row>
    <row r="56" spans="1:6" ht="14.25" thickBot="1">
      <c r="A56" s="1839" t="s">
        <v>924</v>
      </c>
      <c r="B56" s="1843" t="s">
        <v>1146</v>
      </c>
      <c r="C56" s="1844">
        <v>0.1</v>
      </c>
      <c r="D56" s="1844">
        <v>9.6000000000000002E-2</v>
      </c>
      <c r="E56" s="1844">
        <v>5.1999999999999998E-2</v>
      </c>
      <c r="F56" s="1845">
        <v>0.1</v>
      </c>
    </row>
    <row r="57" spans="1:6" ht="14.25" thickBot="1">
      <c r="A57" s="1839" t="s">
        <v>924</v>
      </c>
      <c r="B57" s="1843" t="s">
        <v>1158</v>
      </c>
      <c r="C57" s="1844">
        <v>9.7000000000000003E-2</v>
      </c>
      <c r="D57" s="1844">
        <v>9.6000000000000002E-2</v>
      </c>
      <c r="E57" s="1844">
        <v>9.6000000000000002E-2</v>
      </c>
      <c r="F57" s="1845">
        <v>0.1</v>
      </c>
    </row>
    <row r="58" spans="1:6" ht="14.25" thickBot="1">
      <c r="A58" s="1839" t="s">
        <v>924</v>
      </c>
      <c r="B58" s="1843" t="s">
        <v>1168</v>
      </c>
      <c r="C58" s="1844">
        <v>9.6000000000000002E-2</v>
      </c>
      <c r="D58" s="1844">
        <v>9.9000000000000005E-2</v>
      </c>
      <c r="E58" s="1844">
        <v>9.6000000000000002E-2</v>
      </c>
      <c r="F58" s="1845">
        <v>0.1</v>
      </c>
    </row>
    <row r="59" spans="1:6" ht="14.25" thickBot="1">
      <c r="A59" s="1839" t="s">
        <v>924</v>
      </c>
      <c r="B59" s="1843" t="s">
        <v>1178</v>
      </c>
      <c r="C59" s="1844">
        <v>7.1999999999999995E-2</v>
      </c>
      <c r="D59" s="1844">
        <v>9.6000000000000002E-2</v>
      </c>
      <c r="E59" s="1844">
        <v>7.0999999999999994E-2</v>
      </c>
      <c r="F59" s="1845">
        <v>0.1</v>
      </c>
    </row>
    <row r="60" spans="1:6" ht="14.25" thickBot="1">
      <c r="A60" s="1839" t="s">
        <v>924</v>
      </c>
      <c r="B60" s="1843" t="s">
        <v>1188</v>
      </c>
      <c r="C60" s="1844">
        <v>9.6000000000000002E-2</v>
      </c>
      <c r="D60" s="1844">
        <v>8.8999999999999996E-2</v>
      </c>
      <c r="E60" s="1844">
        <v>9.6000000000000002E-2</v>
      </c>
      <c r="F60" s="1845">
        <v>0.1</v>
      </c>
    </row>
    <row r="61" spans="1:6" ht="14.25" thickBot="1">
      <c r="A61" s="1839" t="s">
        <v>924</v>
      </c>
      <c r="B61" s="1843" t="s">
        <v>1198</v>
      </c>
      <c r="C61" s="1844">
        <v>8.8999999999999996E-2</v>
      </c>
      <c r="D61" s="1844">
        <v>9.8000000000000004E-2</v>
      </c>
      <c r="E61" s="1844">
        <v>8.7999999999999995E-2</v>
      </c>
      <c r="F61" s="1852"/>
    </row>
    <row r="62" spans="1:6" ht="14.25" thickBot="1">
      <c r="A62" s="1839" t="s">
        <v>924</v>
      </c>
      <c r="B62" s="1843" t="s">
        <v>1208</v>
      </c>
      <c r="C62" s="1844">
        <v>9.8000000000000004E-2</v>
      </c>
      <c r="D62" s="1844">
        <v>9.2999999999999999E-2</v>
      </c>
      <c r="E62" s="1844">
        <v>9.7000000000000003E-2</v>
      </c>
      <c r="F62" s="1852"/>
    </row>
    <row r="63" spans="1:6" ht="14.25" thickBot="1">
      <c r="A63" s="1839" t="s">
        <v>924</v>
      </c>
      <c r="B63" s="1843" t="s">
        <v>1218</v>
      </c>
      <c r="C63" s="1844">
        <v>9.6000000000000002E-2</v>
      </c>
      <c r="D63" s="1844">
        <v>9.8000000000000004E-2</v>
      </c>
      <c r="E63" s="1844">
        <v>0.09</v>
      </c>
      <c r="F63" s="1852"/>
    </row>
    <row r="64" spans="1:6" ht="14.25" thickBot="1">
      <c r="A64" s="1839" t="s">
        <v>924</v>
      </c>
      <c r="B64" s="1843" t="s">
        <v>1228</v>
      </c>
      <c r="C64" s="1844">
        <v>9.9000000000000005E-2</v>
      </c>
      <c r="D64" s="1844">
        <v>9.7000000000000003E-2</v>
      </c>
      <c r="E64" s="1844">
        <v>9.9000000000000005E-2</v>
      </c>
      <c r="F64" s="1852"/>
    </row>
    <row r="65" spans="1:6" ht="14.25" thickBot="1">
      <c r="A65" s="1839" t="s">
        <v>924</v>
      </c>
      <c r="B65" s="1843" t="s">
        <v>1238</v>
      </c>
      <c r="C65" s="1844">
        <v>9.8000000000000004E-2</v>
      </c>
      <c r="D65" s="1844">
        <v>9.6000000000000002E-2</v>
      </c>
      <c r="E65" s="1844">
        <v>9.6000000000000002E-2</v>
      </c>
      <c r="F65" s="1852"/>
    </row>
    <row r="66" spans="1:6" ht="14.25" thickBot="1">
      <c r="A66" s="1839" t="s">
        <v>924</v>
      </c>
      <c r="B66" s="1843" t="s">
        <v>1248</v>
      </c>
      <c r="C66" s="1844">
        <v>9.6000000000000002E-2</v>
      </c>
      <c r="D66" s="1844">
        <v>9.1999999999999998E-2</v>
      </c>
      <c r="E66" s="1844">
        <v>9.6000000000000002E-2</v>
      </c>
      <c r="F66" s="1852"/>
    </row>
    <row r="67" spans="1:6" ht="14.25" thickBot="1">
      <c r="A67" s="1839" t="s">
        <v>924</v>
      </c>
      <c r="B67" s="1843" t="s">
        <v>1258</v>
      </c>
      <c r="C67" s="1844">
        <v>9.4E-2</v>
      </c>
      <c r="D67" s="1844">
        <v>0.1</v>
      </c>
      <c r="E67" s="1844">
        <v>8.7999999999999995E-2</v>
      </c>
      <c r="F67" s="1852"/>
    </row>
    <row r="68" spans="1:6" ht="14.25" thickBot="1">
      <c r="A68" s="1839" t="s">
        <v>924</v>
      </c>
      <c r="B68" s="1843" t="s">
        <v>1267</v>
      </c>
      <c r="C68" s="1844">
        <v>0.1</v>
      </c>
      <c r="D68" s="1844">
        <v>8.7999999999999995E-2</v>
      </c>
      <c r="E68" s="1844">
        <v>9.7000000000000003E-2</v>
      </c>
      <c r="F68" s="1852"/>
    </row>
    <row r="69" spans="1:6" ht="14.25" thickBot="1">
      <c r="A69" s="1839" t="s">
        <v>924</v>
      </c>
      <c r="B69" s="1843" t="s">
        <v>1276</v>
      </c>
      <c r="C69" s="1844">
        <v>6.4000000000000001E-2</v>
      </c>
      <c r="D69" s="1844">
        <v>0.1</v>
      </c>
      <c r="E69" s="1844">
        <v>0.1</v>
      </c>
      <c r="F69" s="1852"/>
    </row>
    <row r="70" spans="1:6" ht="14.25" thickBot="1">
      <c r="A70" s="1839" t="s">
        <v>924</v>
      </c>
      <c r="B70" s="1843" t="s">
        <v>1284</v>
      </c>
      <c r="C70" s="1844">
        <v>9.0999999999999998E-2</v>
      </c>
      <c r="D70" s="1853"/>
      <c r="E70" s="1853"/>
      <c r="F70" s="1852"/>
    </row>
    <row r="71" spans="1:6" ht="14.25" thickBot="1">
      <c r="A71" s="1839" t="s">
        <v>924</v>
      </c>
      <c r="B71" s="1843" t="s">
        <v>1291</v>
      </c>
      <c r="C71" s="1844">
        <v>0.1</v>
      </c>
      <c r="D71" s="1853"/>
      <c r="E71" s="1853"/>
      <c r="F71" s="1852"/>
    </row>
    <row r="72" spans="1:6" ht="14.25" thickBot="1">
      <c r="A72" s="1839" t="s">
        <v>924</v>
      </c>
      <c r="B72" s="1843" t="s">
        <v>2092</v>
      </c>
      <c r="C72" s="1853"/>
      <c r="D72" s="1853"/>
      <c r="E72" s="1853"/>
      <c r="F72" s="1845">
        <v>0.05</v>
      </c>
    </row>
    <row r="73" spans="1:6" ht="14.25" thickBot="1">
      <c r="A73" s="1839" t="s">
        <v>924</v>
      </c>
      <c r="B73" s="1843" t="s">
        <v>2093</v>
      </c>
      <c r="C73" s="1853"/>
      <c r="D73" s="1853"/>
      <c r="E73" s="1853"/>
      <c r="F73" s="1845">
        <v>0.05</v>
      </c>
    </row>
    <row r="74" spans="1:6" ht="14.25" thickBot="1">
      <c r="A74" s="1839" t="s">
        <v>924</v>
      </c>
      <c r="B74" s="1843" t="s">
        <v>2094</v>
      </c>
      <c r="C74" s="1853"/>
      <c r="D74" s="1853"/>
      <c r="E74" s="1853"/>
      <c r="F74" s="1845">
        <v>0.05</v>
      </c>
    </row>
    <row r="75" spans="1:6" ht="14.25" thickBot="1">
      <c r="A75" s="1847" t="s">
        <v>924</v>
      </c>
      <c r="B75" s="1854" t="s">
        <v>2095</v>
      </c>
      <c r="C75" s="1850"/>
      <c r="D75" s="1850"/>
      <c r="E75" s="1850"/>
      <c r="F75" s="1855">
        <v>0.05</v>
      </c>
    </row>
    <row r="76" spans="1:6" ht="14.25" thickBot="1">
      <c r="A76" s="1839" t="s">
        <v>1406</v>
      </c>
      <c r="B76" s="1840" t="s">
        <v>2096</v>
      </c>
      <c r="C76" s="1841">
        <v>0.1</v>
      </c>
      <c r="D76" s="1841">
        <v>0.1</v>
      </c>
      <c r="E76" s="1841">
        <v>0.1</v>
      </c>
      <c r="F76" s="1842">
        <v>0.1</v>
      </c>
    </row>
    <row r="77" spans="1:6" ht="14.25" thickBot="1">
      <c r="A77" s="1839" t="s">
        <v>1406</v>
      </c>
      <c r="B77" s="1843" t="s">
        <v>1073</v>
      </c>
      <c r="C77" s="1844">
        <v>8.7999999999999995E-2</v>
      </c>
      <c r="D77" s="1844">
        <v>8.6999999999999994E-2</v>
      </c>
      <c r="E77" s="1844">
        <v>7.9000000000000001E-2</v>
      </c>
      <c r="F77" s="1845">
        <v>0.1</v>
      </c>
    </row>
    <row r="78" spans="1:6" ht="14.25" thickBot="1">
      <c r="A78" s="1839" t="s">
        <v>1406</v>
      </c>
      <c r="B78" s="1843" t="s">
        <v>1087</v>
      </c>
      <c r="C78" s="1844">
        <v>8.6999999999999994E-2</v>
      </c>
      <c r="D78" s="1844">
        <v>8.4000000000000005E-2</v>
      </c>
      <c r="E78" s="1844">
        <v>9.6000000000000002E-2</v>
      </c>
      <c r="F78" s="1845">
        <v>0.1</v>
      </c>
    </row>
    <row r="79" spans="1:6" ht="14.25" thickBot="1">
      <c r="A79" s="1839" t="s">
        <v>1406</v>
      </c>
      <c r="B79" s="1843" t="s">
        <v>1100</v>
      </c>
      <c r="C79" s="1844">
        <v>9.8000000000000004E-2</v>
      </c>
      <c r="D79" s="1844">
        <v>9.8000000000000004E-2</v>
      </c>
      <c r="E79" s="1844">
        <v>9.0999999999999998E-2</v>
      </c>
      <c r="F79" s="1845">
        <v>0.1</v>
      </c>
    </row>
    <row r="80" spans="1:6" ht="14.25" thickBot="1">
      <c r="A80" s="1839" t="s">
        <v>1406</v>
      </c>
      <c r="B80" s="1843" t="s">
        <v>1114</v>
      </c>
      <c r="C80" s="1844">
        <v>9.6000000000000002E-2</v>
      </c>
      <c r="D80" s="1844">
        <v>9.6000000000000002E-2</v>
      </c>
      <c r="E80" s="1844">
        <v>0.1</v>
      </c>
      <c r="F80" s="1845">
        <v>0.1</v>
      </c>
    </row>
    <row r="81" spans="1:6" ht="14.25" thickBot="1">
      <c r="A81" s="1839" t="s">
        <v>1406</v>
      </c>
      <c r="B81" s="1843" t="s">
        <v>1125</v>
      </c>
      <c r="C81" s="1844">
        <v>9.9000000000000005E-2</v>
      </c>
      <c r="D81" s="1844">
        <v>9.9000000000000005E-2</v>
      </c>
      <c r="E81" s="1844">
        <v>9.8000000000000004E-2</v>
      </c>
      <c r="F81" s="1845">
        <v>0.1</v>
      </c>
    </row>
    <row r="82" spans="1:6" ht="14.25" thickBot="1">
      <c r="A82" s="1839" t="s">
        <v>1406</v>
      </c>
      <c r="B82" s="1843" t="s">
        <v>1136</v>
      </c>
      <c r="C82" s="1844">
        <v>9.9000000000000005E-2</v>
      </c>
      <c r="D82" s="1844">
        <v>9.9000000000000005E-2</v>
      </c>
      <c r="E82" s="1844">
        <v>9.7000000000000003E-2</v>
      </c>
      <c r="F82" s="1845">
        <v>0.1</v>
      </c>
    </row>
    <row r="83" spans="1:6" ht="14.25" thickBot="1">
      <c r="A83" s="1839" t="s">
        <v>1406</v>
      </c>
      <c r="B83" s="1843" t="s">
        <v>1147</v>
      </c>
      <c r="C83" s="1844">
        <v>9.8000000000000004E-2</v>
      </c>
      <c r="D83" s="1844">
        <v>9.8000000000000004E-2</v>
      </c>
      <c r="E83" s="1844">
        <v>9.8000000000000004E-2</v>
      </c>
      <c r="F83" s="1845">
        <v>0.1</v>
      </c>
    </row>
    <row r="84" spans="1:6" ht="14.25" thickBot="1">
      <c r="A84" s="1839" t="s">
        <v>1406</v>
      </c>
      <c r="B84" s="1843" t="s">
        <v>1159</v>
      </c>
      <c r="C84" s="1844">
        <v>9.9000000000000005E-2</v>
      </c>
      <c r="D84" s="1844">
        <v>9.9000000000000005E-2</v>
      </c>
      <c r="E84" s="1844">
        <v>9.9000000000000005E-2</v>
      </c>
      <c r="F84" s="1845">
        <v>0.1</v>
      </c>
    </row>
    <row r="85" spans="1:6" ht="14.25" thickBot="1">
      <c r="A85" s="1839" t="s">
        <v>1406</v>
      </c>
      <c r="B85" s="1843" t="s">
        <v>1169</v>
      </c>
      <c r="C85" s="1844">
        <v>9.9000000000000005E-2</v>
      </c>
      <c r="D85" s="1844">
        <v>9.9000000000000005E-2</v>
      </c>
      <c r="E85" s="1844">
        <v>9.9000000000000005E-2</v>
      </c>
      <c r="F85" s="1845">
        <v>0.1</v>
      </c>
    </row>
    <row r="86" spans="1:6" ht="14.25" thickBot="1">
      <c r="A86" s="1839" t="s">
        <v>1406</v>
      </c>
      <c r="B86" s="1843" t="s">
        <v>1179</v>
      </c>
      <c r="C86" s="1844">
        <v>0.1</v>
      </c>
      <c r="D86" s="1844">
        <v>0.1</v>
      </c>
      <c r="E86" s="1844">
        <v>7.6999999999999999E-2</v>
      </c>
      <c r="F86" s="1845">
        <v>0.1</v>
      </c>
    </row>
    <row r="87" spans="1:6" ht="14.25" thickBot="1">
      <c r="A87" s="1839" t="s">
        <v>1406</v>
      </c>
      <c r="B87" s="1843" t="s">
        <v>1189</v>
      </c>
      <c r="C87" s="1844">
        <v>0.1</v>
      </c>
      <c r="D87" s="1844">
        <v>0.1</v>
      </c>
      <c r="E87" s="1844">
        <v>9.8000000000000004E-2</v>
      </c>
      <c r="F87" s="1852"/>
    </row>
    <row r="88" spans="1:6" ht="14.25" thickBot="1">
      <c r="A88" s="1839" t="s">
        <v>1406</v>
      </c>
      <c r="B88" s="1843" t="s">
        <v>1199</v>
      </c>
      <c r="C88" s="1844">
        <v>9.1999999999999998E-2</v>
      </c>
      <c r="D88" s="1844">
        <v>8.5000000000000006E-2</v>
      </c>
      <c r="E88" s="1844">
        <v>9.6000000000000002E-2</v>
      </c>
      <c r="F88" s="1852"/>
    </row>
    <row r="89" spans="1:6" ht="14.25" thickBot="1">
      <c r="A89" s="1839" t="s">
        <v>1406</v>
      </c>
      <c r="B89" s="1843" t="s">
        <v>1209</v>
      </c>
      <c r="C89" s="1844">
        <v>0.1</v>
      </c>
      <c r="D89" s="1844">
        <v>0.1</v>
      </c>
      <c r="E89" s="1844">
        <v>9.7000000000000003E-2</v>
      </c>
      <c r="F89" s="1852"/>
    </row>
    <row r="90" spans="1:6" ht="14.25" thickBot="1">
      <c r="A90" s="1839" t="s">
        <v>1406</v>
      </c>
      <c r="B90" s="1843" t="s">
        <v>1219</v>
      </c>
      <c r="C90" s="1844">
        <v>9.8000000000000004E-2</v>
      </c>
      <c r="D90" s="1844">
        <v>9.8000000000000004E-2</v>
      </c>
      <c r="E90" s="1844">
        <v>8.7999999999999995E-2</v>
      </c>
      <c r="F90" s="1852"/>
    </row>
    <row r="91" spans="1:6" ht="14.25" thickBot="1">
      <c r="A91" s="1839" t="s">
        <v>1406</v>
      </c>
      <c r="B91" s="1843" t="s">
        <v>1229</v>
      </c>
      <c r="C91" s="1844">
        <v>9.9000000000000005E-2</v>
      </c>
      <c r="D91" s="1844">
        <v>9.9000000000000005E-2</v>
      </c>
      <c r="E91" s="1844">
        <v>9.0999999999999998E-2</v>
      </c>
      <c r="F91" s="1852"/>
    </row>
    <row r="92" spans="1:6" ht="14.25" thickBot="1">
      <c r="A92" s="1839" t="s">
        <v>1406</v>
      </c>
      <c r="B92" s="1843" t="s">
        <v>1239</v>
      </c>
      <c r="C92" s="1844">
        <v>9.6000000000000002E-2</v>
      </c>
      <c r="D92" s="1844">
        <v>9.6000000000000002E-2</v>
      </c>
      <c r="E92" s="1844">
        <v>7.2999999999999995E-2</v>
      </c>
      <c r="F92" s="1852"/>
    </row>
    <row r="93" spans="1:6" ht="14.25" thickBot="1">
      <c r="A93" s="1839" t="s">
        <v>1406</v>
      </c>
      <c r="B93" s="1843" t="s">
        <v>1249</v>
      </c>
      <c r="C93" s="1844">
        <v>9.6000000000000002E-2</v>
      </c>
      <c r="D93" s="1844">
        <v>9.6000000000000002E-2</v>
      </c>
      <c r="E93" s="1844">
        <v>9.9000000000000005E-2</v>
      </c>
      <c r="F93" s="1852"/>
    </row>
    <row r="94" spans="1:6" ht="14.25" thickBot="1">
      <c r="A94" s="1839" t="s">
        <v>1406</v>
      </c>
      <c r="B94" s="1843" t="s">
        <v>1259</v>
      </c>
      <c r="C94" s="1844">
        <v>7.5999999999999998E-2</v>
      </c>
      <c r="D94" s="1844">
        <v>7.3999999999999996E-2</v>
      </c>
      <c r="E94" s="1844">
        <v>9.7000000000000003E-2</v>
      </c>
      <c r="F94" s="1852"/>
    </row>
    <row r="95" spans="1:6" ht="14.25" thickBot="1">
      <c r="A95" s="1839" t="s">
        <v>1406</v>
      </c>
      <c r="B95" s="1843" t="s">
        <v>1268</v>
      </c>
      <c r="C95" s="1844">
        <v>9.9000000000000005E-2</v>
      </c>
      <c r="D95" s="1844">
        <v>9.4E-2</v>
      </c>
      <c r="E95" s="1844">
        <v>9.6000000000000002E-2</v>
      </c>
      <c r="F95" s="1852"/>
    </row>
    <row r="96" spans="1:6" ht="14.25" thickBot="1">
      <c r="A96" s="1839" t="s">
        <v>1406</v>
      </c>
      <c r="B96" s="1843" t="s">
        <v>1277</v>
      </c>
      <c r="C96" s="1844">
        <v>9.9000000000000005E-2</v>
      </c>
      <c r="D96" s="1844">
        <v>9.9000000000000005E-2</v>
      </c>
      <c r="E96" s="1844">
        <v>9.9000000000000005E-2</v>
      </c>
      <c r="F96" s="1852"/>
    </row>
    <row r="97" spans="1:6" ht="14.25" thickBot="1">
      <c r="A97" s="1839" t="s">
        <v>1406</v>
      </c>
      <c r="B97" s="1843" t="s">
        <v>1285</v>
      </c>
      <c r="C97" s="1844">
        <v>9.8000000000000004E-2</v>
      </c>
      <c r="D97" s="1844">
        <v>9.8000000000000004E-2</v>
      </c>
      <c r="E97" s="1844">
        <v>9.7000000000000003E-2</v>
      </c>
      <c r="F97" s="1852"/>
    </row>
    <row r="98" spans="1:6" ht="14.25" thickBot="1">
      <c r="A98" s="1839" t="s">
        <v>1406</v>
      </c>
      <c r="B98" s="1843" t="s">
        <v>1292</v>
      </c>
      <c r="C98" s="1844">
        <v>0.1</v>
      </c>
      <c r="D98" s="1844">
        <v>0.1</v>
      </c>
      <c r="E98" s="1844">
        <v>9.7000000000000003E-2</v>
      </c>
      <c r="F98" s="1852"/>
    </row>
    <row r="99" spans="1:6" ht="14.25" thickBot="1">
      <c r="A99" s="1839" t="s">
        <v>1406</v>
      </c>
      <c r="B99" s="1843" t="s">
        <v>1299</v>
      </c>
      <c r="C99" s="1844">
        <v>0.1</v>
      </c>
      <c r="D99" s="1844">
        <v>0.1</v>
      </c>
      <c r="E99" s="1853"/>
      <c r="F99" s="1852"/>
    </row>
    <row r="100" spans="1:6" ht="14.25" thickBot="1">
      <c r="A100" s="1839" t="s">
        <v>1406</v>
      </c>
      <c r="B100" s="1843" t="s">
        <v>1306</v>
      </c>
      <c r="C100" s="1844">
        <v>0.09</v>
      </c>
      <c r="D100" s="1844">
        <v>8.8999999999999996E-2</v>
      </c>
      <c r="E100" s="1853"/>
      <c r="F100" s="1852"/>
    </row>
    <row r="101" spans="1:6" ht="14.25" thickBot="1">
      <c r="A101" s="1839" t="s">
        <v>1406</v>
      </c>
      <c r="B101" s="1843" t="s">
        <v>1313</v>
      </c>
      <c r="C101" s="1844">
        <v>9.8000000000000004E-2</v>
      </c>
      <c r="D101" s="1844">
        <v>9.7000000000000003E-2</v>
      </c>
      <c r="E101" s="1853"/>
      <c r="F101" s="1852"/>
    </row>
    <row r="102" spans="1:6" ht="14.25" thickBot="1">
      <c r="A102" s="1839" t="s">
        <v>1406</v>
      </c>
      <c r="B102" s="1843" t="s">
        <v>2097</v>
      </c>
      <c r="C102" s="1853"/>
      <c r="D102" s="1853"/>
      <c r="E102" s="1853"/>
      <c r="F102" s="1845">
        <v>0.05</v>
      </c>
    </row>
    <row r="103" spans="1:6" ht="24.75" thickBot="1">
      <c r="A103" s="1839" t="s">
        <v>1406</v>
      </c>
      <c r="B103" s="1843" t="s">
        <v>2098</v>
      </c>
      <c r="C103" s="1853"/>
      <c r="D103" s="1853"/>
      <c r="E103" s="1853"/>
      <c r="F103" s="1845">
        <v>0.05</v>
      </c>
    </row>
    <row r="104" spans="1:6" ht="14.25" thickBot="1">
      <c r="A104" s="1839" t="s">
        <v>1406</v>
      </c>
      <c r="B104" s="1843" t="s">
        <v>2099</v>
      </c>
      <c r="C104" s="1853"/>
      <c r="D104" s="1853"/>
      <c r="E104" s="1853"/>
      <c r="F104" s="1845">
        <v>0.05</v>
      </c>
    </row>
    <row r="105" spans="1:6" ht="14.25" thickBot="1">
      <c r="A105" s="1839" t="s">
        <v>1406</v>
      </c>
      <c r="B105" s="1843" t="s">
        <v>2100</v>
      </c>
      <c r="C105" s="1853"/>
      <c r="D105" s="1853"/>
      <c r="E105" s="1853"/>
      <c r="F105" s="1845">
        <v>0.05</v>
      </c>
    </row>
    <row r="106" spans="1:6" ht="14.25" thickBot="1">
      <c r="A106" s="1839" t="s">
        <v>1406</v>
      </c>
      <c r="B106" s="1843" t="s">
        <v>2101</v>
      </c>
      <c r="C106" s="1853"/>
      <c r="D106" s="1853"/>
      <c r="E106" s="1853"/>
      <c r="F106" s="1845">
        <v>0.05</v>
      </c>
    </row>
    <row r="107" spans="1:6" ht="24.75" thickBot="1">
      <c r="A107" s="1839" t="s">
        <v>1406</v>
      </c>
      <c r="B107" s="1843" t="s">
        <v>2102</v>
      </c>
      <c r="C107" s="1853"/>
      <c r="D107" s="1853"/>
      <c r="E107" s="1853"/>
      <c r="F107" s="1845">
        <v>0.05</v>
      </c>
    </row>
    <row r="108" spans="1:6" ht="24.75" thickBot="1">
      <c r="A108" s="1839" t="s">
        <v>1406</v>
      </c>
      <c r="B108" s="1843" t="s">
        <v>2103</v>
      </c>
      <c r="C108" s="1853"/>
      <c r="D108" s="1853"/>
      <c r="E108" s="1853"/>
      <c r="F108" s="1845">
        <v>0.05</v>
      </c>
    </row>
    <row r="109" spans="1:6" ht="24.75" thickBot="1">
      <c r="A109" s="1847" t="s">
        <v>1406</v>
      </c>
      <c r="B109" s="1854" t="s">
        <v>2104</v>
      </c>
      <c r="C109" s="1850"/>
      <c r="D109" s="1850"/>
      <c r="E109" s="1850"/>
      <c r="F109" s="1855">
        <v>0.05</v>
      </c>
    </row>
    <row r="110" spans="1:6" ht="14.25" thickBot="1">
      <c r="A110" s="1839" t="s">
        <v>1408</v>
      </c>
      <c r="B110" s="1840" t="s">
        <v>2105</v>
      </c>
      <c r="C110" s="1841">
        <v>0.129</v>
      </c>
      <c r="D110" s="1841">
        <v>0.129</v>
      </c>
      <c r="E110" s="1841">
        <v>0.126</v>
      </c>
      <c r="F110" s="1842">
        <v>0.13</v>
      </c>
    </row>
    <row r="111" spans="1:6" ht="14.25" thickBot="1">
      <c r="A111" s="1839" t="s">
        <v>1408</v>
      </c>
      <c r="B111" s="1843" t="s">
        <v>1074</v>
      </c>
      <c r="C111" s="1844">
        <v>0.11</v>
      </c>
      <c r="D111" s="1844">
        <v>0.11</v>
      </c>
      <c r="E111" s="1844">
        <v>9.9000000000000005E-2</v>
      </c>
      <c r="F111" s="1845">
        <v>0.128</v>
      </c>
    </row>
    <row r="112" spans="1:6" ht="14.25" thickBot="1">
      <c r="A112" s="1839" t="s">
        <v>1408</v>
      </c>
      <c r="B112" s="1843" t="s">
        <v>1088</v>
      </c>
      <c r="C112" s="1844">
        <v>0.125</v>
      </c>
      <c r="D112" s="1844">
        <v>0.125</v>
      </c>
      <c r="E112" s="1844">
        <v>0.12</v>
      </c>
      <c r="F112" s="1845">
        <v>0.125</v>
      </c>
    </row>
    <row r="113" spans="1:6" ht="14.25" thickBot="1">
      <c r="A113" s="1839" t="s">
        <v>1408</v>
      </c>
      <c r="B113" s="1843" t="s">
        <v>1101</v>
      </c>
      <c r="C113" s="1844">
        <v>0.13</v>
      </c>
      <c r="D113" s="1844">
        <v>0.13</v>
      </c>
      <c r="E113" s="1844">
        <v>0.13</v>
      </c>
      <c r="F113" s="1845">
        <v>0.13</v>
      </c>
    </row>
    <row r="114" spans="1:6" ht="14.25" thickBot="1">
      <c r="A114" s="1839" t="s">
        <v>1408</v>
      </c>
      <c r="B114" s="1843" t="s">
        <v>1115</v>
      </c>
      <c r="C114" s="1844">
        <v>0.123</v>
      </c>
      <c r="D114" s="1844">
        <v>0.123</v>
      </c>
      <c r="E114" s="1844">
        <v>0.12</v>
      </c>
      <c r="F114" s="1845">
        <v>0.13</v>
      </c>
    </row>
    <row r="115" spans="1:6" ht="14.25" thickBot="1">
      <c r="A115" s="1839" t="s">
        <v>1408</v>
      </c>
      <c r="B115" s="1843" t="s">
        <v>1126</v>
      </c>
      <c r="C115" s="1844">
        <v>0.125</v>
      </c>
      <c r="D115" s="1844">
        <v>0.125</v>
      </c>
      <c r="E115" s="1844">
        <v>0.11700000000000001</v>
      </c>
      <c r="F115" s="1845">
        <v>0.13</v>
      </c>
    </row>
    <row r="116" spans="1:6" ht="14.25" thickBot="1">
      <c r="A116" s="1839" t="s">
        <v>1408</v>
      </c>
      <c r="B116" s="1843" t="s">
        <v>1137</v>
      </c>
      <c r="C116" s="1844">
        <v>0.11700000000000001</v>
      </c>
      <c r="D116" s="1844">
        <v>0.11700000000000001</v>
      </c>
      <c r="E116" s="1844">
        <v>8.7999999999999995E-2</v>
      </c>
      <c r="F116" s="1845">
        <v>0.13</v>
      </c>
    </row>
    <row r="117" spans="1:6" ht="14.25" thickBot="1">
      <c r="A117" s="1839" t="s">
        <v>1408</v>
      </c>
      <c r="B117" s="1843" t="s">
        <v>1148</v>
      </c>
      <c r="C117" s="1844">
        <v>0.13</v>
      </c>
      <c r="D117" s="1844">
        <v>0.13</v>
      </c>
      <c r="E117" s="1844">
        <v>0.129</v>
      </c>
      <c r="F117" s="1845">
        <v>0.13</v>
      </c>
    </row>
    <row r="118" spans="1:6" ht="14.25" thickBot="1">
      <c r="A118" s="1839" t="s">
        <v>1408</v>
      </c>
      <c r="B118" s="1843" t="s">
        <v>1160</v>
      </c>
      <c r="C118" s="1844">
        <v>0.123</v>
      </c>
      <c r="D118" s="1844">
        <v>0.123</v>
      </c>
      <c r="E118" s="1844">
        <v>0.11600000000000001</v>
      </c>
      <c r="F118" s="1845">
        <v>0.13</v>
      </c>
    </row>
    <row r="119" spans="1:6" ht="14.25" thickBot="1">
      <c r="A119" s="1839" t="s">
        <v>1408</v>
      </c>
      <c r="B119" s="1843" t="s">
        <v>1170</v>
      </c>
      <c r="C119" s="1844">
        <v>0.127</v>
      </c>
      <c r="D119" s="1844">
        <v>0.127</v>
      </c>
      <c r="E119" s="1844">
        <v>0.124</v>
      </c>
      <c r="F119" s="1845">
        <v>0.13</v>
      </c>
    </row>
    <row r="120" spans="1:6" ht="14.25" thickBot="1">
      <c r="A120" s="1839" t="s">
        <v>1408</v>
      </c>
      <c r="B120" s="1843" t="s">
        <v>1180</v>
      </c>
      <c r="C120" s="1844">
        <v>0.125</v>
      </c>
      <c r="D120" s="1844">
        <v>0.125</v>
      </c>
      <c r="E120" s="1844">
        <v>0.122</v>
      </c>
      <c r="F120" s="1845">
        <v>0.13</v>
      </c>
    </row>
    <row r="121" spans="1:6" ht="14.25" thickBot="1">
      <c r="A121" s="1839" t="s">
        <v>1408</v>
      </c>
      <c r="B121" s="1843" t="s">
        <v>1190</v>
      </c>
      <c r="C121" s="1844">
        <v>0.13</v>
      </c>
      <c r="D121" s="1844">
        <v>0.13</v>
      </c>
      <c r="E121" s="1844">
        <v>0.13</v>
      </c>
      <c r="F121" s="1845">
        <v>0.13</v>
      </c>
    </row>
    <row r="122" spans="1:6" ht="14.25" thickBot="1">
      <c r="A122" s="1839" t="s">
        <v>1408</v>
      </c>
      <c r="B122" s="1843" t="s">
        <v>1200</v>
      </c>
      <c r="C122" s="1844">
        <v>0.13</v>
      </c>
      <c r="D122" s="1844">
        <v>0.13</v>
      </c>
      <c r="E122" s="1844">
        <v>0.125</v>
      </c>
      <c r="F122" s="1845">
        <v>0.13</v>
      </c>
    </row>
    <row r="123" spans="1:6" ht="14.25" thickBot="1">
      <c r="A123" s="1839" t="s">
        <v>1408</v>
      </c>
      <c r="B123" s="1843" t="s">
        <v>1210</v>
      </c>
      <c r="C123" s="1844">
        <v>0.129</v>
      </c>
      <c r="D123" s="1844">
        <v>0.129</v>
      </c>
      <c r="E123" s="1844">
        <v>0.123</v>
      </c>
      <c r="F123" s="1845">
        <v>0.13</v>
      </c>
    </row>
    <row r="124" spans="1:6" ht="14.25" thickBot="1">
      <c r="A124" s="1839" t="s">
        <v>1408</v>
      </c>
      <c r="B124" s="1843" t="s">
        <v>1220</v>
      </c>
      <c r="C124" s="1844">
        <v>0.10199999999999999</v>
      </c>
      <c r="D124" s="1844">
        <v>0.10100000000000001</v>
      </c>
      <c r="E124" s="1844">
        <v>0.08</v>
      </c>
      <c r="F124" s="1852"/>
    </row>
    <row r="125" spans="1:6" ht="14.25" thickBot="1">
      <c r="A125" s="1839" t="s">
        <v>1408</v>
      </c>
      <c r="B125" s="1843" t="s">
        <v>1230</v>
      </c>
      <c r="C125" s="1844">
        <v>0.13</v>
      </c>
      <c r="D125" s="1844">
        <v>0.13</v>
      </c>
      <c r="E125" s="1844">
        <v>0.129</v>
      </c>
      <c r="F125" s="1852"/>
    </row>
    <row r="126" spans="1:6" ht="14.25" thickBot="1">
      <c r="A126" s="1839" t="s">
        <v>1408</v>
      </c>
      <c r="B126" s="1843" t="s">
        <v>1240</v>
      </c>
      <c r="C126" s="1844">
        <v>0.13</v>
      </c>
      <c r="D126" s="1844">
        <v>0.13</v>
      </c>
      <c r="E126" s="1844">
        <v>0.126</v>
      </c>
      <c r="F126" s="1852"/>
    </row>
    <row r="127" spans="1:6" ht="14.25" thickBot="1">
      <c r="A127" s="1839" t="s">
        <v>1408</v>
      </c>
      <c r="B127" s="1843" t="s">
        <v>1250</v>
      </c>
      <c r="C127" s="1844">
        <v>0.125</v>
      </c>
      <c r="D127" s="1844">
        <v>0.125</v>
      </c>
      <c r="E127" s="1844">
        <v>0.121</v>
      </c>
      <c r="F127" s="1852"/>
    </row>
    <row r="128" spans="1:6" ht="14.25" thickBot="1">
      <c r="A128" s="1839" t="s">
        <v>1408</v>
      </c>
      <c r="B128" s="1843" t="s">
        <v>1260</v>
      </c>
      <c r="C128" s="1844">
        <v>0.12</v>
      </c>
      <c r="D128" s="1844">
        <v>0.12</v>
      </c>
      <c r="E128" s="1844">
        <v>0.105</v>
      </c>
      <c r="F128" s="1852"/>
    </row>
    <row r="129" spans="1:6" ht="14.25" thickBot="1">
      <c r="A129" s="1839" t="s">
        <v>1408</v>
      </c>
      <c r="B129" s="1843" t="s">
        <v>1269</v>
      </c>
      <c r="C129" s="1844">
        <v>0.13</v>
      </c>
      <c r="D129" s="1844">
        <v>0.13</v>
      </c>
      <c r="E129" s="1844">
        <v>0.126</v>
      </c>
      <c r="F129" s="1852"/>
    </row>
    <row r="130" spans="1:6" ht="14.25" thickBot="1">
      <c r="A130" s="1839" t="s">
        <v>1408</v>
      </c>
      <c r="B130" s="1843" t="s">
        <v>1278</v>
      </c>
      <c r="C130" s="1844">
        <v>0.125</v>
      </c>
      <c r="D130" s="1844">
        <v>0.125</v>
      </c>
      <c r="E130" s="1844">
        <v>0.122</v>
      </c>
      <c r="F130" s="1852"/>
    </row>
    <row r="131" spans="1:6" ht="14.25" thickBot="1">
      <c r="A131" s="1839" t="s">
        <v>1408</v>
      </c>
      <c r="B131" s="1843" t="s">
        <v>1286</v>
      </c>
      <c r="C131" s="1844">
        <v>0.127</v>
      </c>
      <c r="D131" s="1844">
        <v>0.126</v>
      </c>
      <c r="E131" s="1844">
        <v>0.123</v>
      </c>
      <c r="F131" s="1852"/>
    </row>
    <row r="132" spans="1:6" ht="14.25" thickBot="1">
      <c r="A132" s="1839" t="s">
        <v>1408</v>
      </c>
      <c r="B132" s="1843" t="s">
        <v>1293</v>
      </c>
      <c r="C132" s="1844">
        <v>9.0999999999999998E-2</v>
      </c>
      <c r="D132" s="1844">
        <v>0.121</v>
      </c>
      <c r="E132" s="1844">
        <v>9.9000000000000005E-2</v>
      </c>
      <c r="F132" s="1852"/>
    </row>
    <row r="133" spans="1:6" ht="14.25" thickBot="1">
      <c r="A133" s="1839" t="s">
        <v>1408</v>
      </c>
      <c r="B133" s="1843" t="s">
        <v>1300</v>
      </c>
      <c r="C133" s="1844">
        <v>0.13</v>
      </c>
      <c r="D133" s="1844">
        <v>0.13</v>
      </c>
      <c r="E133" s="1844">
        <v>0.129</v>
      </c>
      <c r="F133" s="1852"/>
    </row>
    <row r="134" spans="1:6" ht="14.25" thickBot="1">
      <c r="A134" s="1839" t="s">
        <v>1408</v>
      </c>
      <c r="B134" s="1843" t="s">
        <v>2106</v>
      </c>
      <c r="C134" s="1844">
        <v>6.8000000000000005E-2</v>
      </c>
      <c r="D134" s="1844">
        <v>6.5000000000000002E-2</v>
      </c>
      <c r="E134" s="1844">
        <v>6.5000000000000002E-2</v>
      </c>
      <c r="F134" s="1845">
        <v>0.13</v>
      </c>
    </row>
    <row r="135" spans="1:6" ht="14.25" thickBot="1">
      <c r="A135" s="1839" t="s">
        <v>1408</v>
      </c>
      <c r="B135" s="1843" t="s">
        <v>1314</v>
      </c>
      <c r="C135" s="1844">
        <v>0.123</v>
      </c>
      <c r="D135" s="1844">
        <v>0.123</v>
      </c>
      <c r="E135" s="1844">
        <v>0.11</v>
      </c>
      <c r="F135" s="1852"/>
    </row>
    <row r="136" spans="1:6" ht="14.25" thickBot="1">
      <c r="A136" s="1839" t="s">
        <v>1408</v>
      </c>
      <c r="B136" s="1843" t="s">
        <v>1321</v>
      </c>
      <c r="C136" s="1844">
        <v>0.13</v>
      </c>
      <c r="D136" s="1844">
        <v>0.13</v>
      </c>
      <c r="E136" s="1844">
        <v>0.125</v>
      </c>
      <c r="F136" s="1852"/>
    </row>
    <row r="137" spans="1:6" ht="14.25" thickBot="1">
      <c r="A137" s="1839" t="s">
        <v>1408</v>
      </c>
      <c r="B137" s="1843" t="s">
        <v>1328</v>
      </c>
      <c r="C137" s="1844">
        <v>0.121</v>
      </c>
      <c r="D137" s="1844">
        <v>0.122</v>
      </c>
      <c r="E137" s="1844">
        <v>0.115</v>
      </c>
      <c r="F137" s="1852"/>
    </row>
    <row r="138" spans="1:6" ht="14.25" thickBot="1">
      <c r="A138" s="1839" t="s">
        <v>1408</v>
      </c>
      <c r="B138" s="1843" t="s">
        <v>2107</v>
      </c>
      <c r="C138" s="1844">
        <v>0.105</v>
      </c>
      <c r="D138" s="1844">
        <v>0.125</v>
      </c>
      <c r="E138" s="1844">
        <v>0.112</v>
      </c>
      <c r="F138" s="1852"/>
    </row>
    <row r="139" spans="1:6" ht="14.25" thickBot="1">
      <c r="A139" s="1839" t="s">
        <v>1408</v>
      </c>
      <c r="B139" s="1843" t="s">
        <v>2108</v>
      </c>
      <c r="C139" s="1844">
        <v>0.127</v>
      </c>
      <c r="D139" s="1844">
        <v>0.127</v>
      </c>
      <c r="E139" s="1844">
        <v>0.122</v>
      </c>
      <c r="F139" s="1845">
        <v>0.13</v>
      </c>
    </row>
    <row r="140" spans="1:6" ht="14.25" thickBot="1">
      <c r="A140" s="1839" t="s">
        <v>1408</v>
      </c>
      <c r="B140" s="1843" t="s">
        <v>2109</v>
      </c>
      <c r="C140" s="1844">
        <v>0.125</v>
      </c>
      <c r="D140" s="1844">
        <v>0.125</v>
      </c>
      <c r="E140" s="1844">
        <v>0.11899999999999999</v>
      </c>
      <c r="F140" s="1845">
        <v>0.13</v>
      </c>
    </row>
    <row r="141" spans="1:6" ht="14.25" thickBot="1">
      <c r="A141" s="1839" t="s">
        <v>1408</v>
      </c>
      <c r="B141" s="1843" t="s">
        <v>1347</v>
      </c>
      <c r="C141" s="1844">
        <v>0.125</v>
      </c>
      <c r="D141" s="1844">
        <v>0.125</v>
      </c>
      <c r="E141" s="1844">
        <v>0.11700000000000001</v>
      </c>
      <c r="F141" s="1852"/>
    </row>
    <row r="142" spans="1:6" ht="14.25" thickBot="1">
      <c r="A142" s="1839" t="s">
        <v>1408</v>
      </c>
      <c r="B142" s="1843" t="s">
        <v>1352</v>
      </c>
      <c r="C142" s="1844">
        <v>0.125</v>
      </c>
      <c r="D142" s="1844">
        <v>0.125</v>
      </c>
      <c r="E142" s="1844">
        <v>0.115</v>
      </c>
      <c r="F142" s="1852"/>
    </row>
    <row r="143" spans="1:6" ht="14.25" thickBot="1">
      <c r="A143" s="1839" t="s">
        <v>1408</v>
      </c>
      <c r="B143" s="1843" t="s">
        <v>1357</v>
      </c>
      <c r="C143" s="1844">
        <v>0.121</v>
      </c>
      <c r="D143" s="1844">
        <v>0.121</v>
      </c>
      <c r="E143" s="1844">
        <v>0.108</v>
      </c>
      <c r="F143" s="1852"/>
    </row>
    <row r="144" spans="1:6" ht="14.25" thickBot="1">
      <c r="A144" s="1839" t="s">
        <v>1408</v>
      </c>
      <c r="B144" s="1856" t="s">
        <v>2110</v>
      </c>
      <c r="C144" s="1857">
        <v>0.126</v>
      </c>
      <c r="D144" s="1857">
        <v>0.126</v>
      </c>
      <c r="E144" s="1857">
        <v>0.121</v>
      </c>
      <c r="F144" s="1852"/>
    </row>
    <row r="145" spans="1:6" ht="14.25" thickBot="1">
      <c r="A145" s="1847" t="s">
        <v>1408</v>
      </c>
      <c r="B145" s="1858" t="s">
        <v>2111</v>
      </c>
      <c r="C145" s="1859"/>
      <c r="D145" s="1859"/>
      <c r="E145" s="1859"/>
      <c r="F145" s="1860">
        <v>0.05</v>
      </c>
    </row>
    <row r="146" spans="1:6" ht="24.75" thickBot="1">
      <c r="A146" s="1861" t="s">
        <v>1408</v>
      </c>
      <c r="B146" s="1846" t="s">
        <v>2112</v>
      </c>
      <c r="C146" s="1853"/>
      <c r="D146" s="1853"/>
      <c r="E146" s="1853"/>
      <c r="F146" s="1862">
        <v>0.05</v>
      </c>
    </row>
    <row r="147" spans="1:6" ht="24.75" thickBot="1">
      <c r="A147" s="1839" t="s">
        <v>1408</v>
      </c>
      <c r="B147" s="1843" t="s">
        <v>2113</v>
      </c>
      <c r="C147" s="1853"/>
      <c r="D147" s="1853"/>
      <c r="E147" s="1853"/>
      <c r="F147" s="1845">
        <v>0.05</v>
      </c>
    </row>
    <row r="148" spans="1:6" ht="24.75" thickBot="1">
      <c r="A148" s="1839" t="s">
        <v>1408</v>
      </c>
      <c r="B148" s="1843" t="s">
        <v>2114</v>
      </c>
      <c r="C148" s="1853"/>
      <c r="D148" s="1853"/>
      <c r="E148" s="1853"/>
      <c r="F148" s="1845">
        <v>0.05</v>
      </c>
    </row>
    <row r="149" spans="1:6" ht="24.75" thickBot="1">
      <c r="A149" s="1839" t="s">
        <v>1408</v>
      </c>
      <c r="B149" s="1843" t="s">
        <v>2115</v>
      </c>
      <c r="C149" s="1853"/>
      <c r="D149" s="1853"/>
      <c r="E149" s="1853"/>
      <c r="F149" s="1845">
        <v>0.05</v>
      </c>
    </row>
    <row r="150" spans="1:6" ht="24.75" thickBot="1">
      <c r="A150" s="1839" t="s">
        <v>1408</v>
      </c>
      <c r="B150" s="1843" t="s">
        <v>2116</v>
      </c>
      <c r="C150" s="1853"/>
      <c r="D150" s="1853"/>
      <c r="E150" s="1853"/>
      <c r="F150" s="1845">
        <v>0.05</v>
      </c>
    </row>
    <row r="151" spans="1:6" ht="24.75" thickBot="1">
      <c r="A151" s="1839" t="s">
        <v>1408</v>
      </c>
      <c r="B151" s="1843" t="s">
        <v>2117</v>
      </c>
      <c r="C151" s="1853"/>
      <c r="D151" s="1853"/>
      <c r="E151" s="1853"/>
      <c r="F151" s="1845">
        <v>0.05</v>
      </c>
    </row>
    <row r="152" spans="1:6" ht="24.75" thickBot="1">
      <c r="A152" s="1839" t="s">
        <v>1408</v>
      </c>
      <c r="B152" s="1843" t="s">
        <v>1390</v>
      </c>
      <c r="C152" s="1853"/>
      <c r="D152" s="1853"/>
      <c r="E152" s="1853"/>
      <c r="F152" s="1845">
        <v>0.05</v>
      </c>
    </row>
    <row r="153" spans="1:6" ht="14.25" thickBot="1">
      <c r="A153" s="1839" t="s">
        <v>1408</v>
      </c>
      <c r="B153" s="1843" t="s">
        <v>2118</v>
      </c>
      <c r="C153" s="1853"/>
      <c r="D153" s="1853"/>
      <c r="E153" s="1853"/>
      <c r="F153" s="1845">
        <v>0.05</v>
      </c>
    </row>
    <row r="154" spans="1:6" ht="14.25" thickBot="1">
      <c r="A154" s="1839" t="s">
        <v>1408</v>
      </c>
      <c r="B154" s="1843" t="s">
        <v>2119</v>
      </c>
      <c r="C154" s="1853"/>
      <c r="D154" s="1853"/>
      <c r="E154" s="1853"/>
      <c r="F154" s="1845">
        <v>0.05</v>
      </c>
    </row>
    <row r="155" spans="1:6" ht="24.75" thickBot="1">
      <c r="A155" s="1839" t="s">
        <v>1408</v>
      </c>
      <c r="B155" s="1843" t="s">
        <v>2120</v>
      </c>
      <c r="C155" s="1853"/>
      <c r="D155" s="1853"/>
      <c r="E155" s="1853"/>
      <c r="F155" s="1845">
        <v>0.05</v>
      </c>
    </row>
    <row r="156" spans="1:6" ht="24.75" thickBot="1">
      <c r="A156" s="1839" t="s">
        <v>1408</v>
      </c>
      <c r="B156" s="1843" t="s">
        <v>2121</v>
      </c>
      <c r="C156" s="1853"/>
      <c r="D156" s="1853"/>
      <c r="E156" s="1853"/>
      <c r="F156" s="1845">
        <v>0.05</v>
      </c>
    </row>
    <row r="157" spans="1:6" ht="14.25" thickBot="1">
      <c r="A157" s="1847" t="s">
        <v>1408</v>
      </c>
      <c r="B157" s="1854" t="s">
        <v>2122</v>
      </c>
      <c r="C157" s="1850"/>
      <c r="D157" s="1850"/>
      <c r="E157" s="1850"/>
      <c r="F157" s="1855">
        <v>0.05</v>
      </c>
    </row>
    <row r="158" spans="1:6" ht="14.25" thickBot="1">
      <c r="A158" s="1839" t="s">
        <v>1410</v>
      </c>
      <c r="B158" s="1840" t="s">
        <v>2123</v>
      </c>
      <c r="C158" s="1841">
        <v>0.13</v>
      </c>
      <c r="D158" s="1841">
        <v>0.13</v>
      </c>
      <c r="E158" s="1841">
        <v>0.13</v>
      </c>
      <c r="F158" s="1842">
        <v>0.13</v>
      </c>
    </row>
    <row r="159" spans="1:6" ht="14.25" thickBot="1">
      <c r="A159" s="1839" t="s">
        <v>1410</v>
      </c>
      <c r="B159" s="1843" t="s">
        <v>1075</v>
      </c>
      <c r="C159" s="1844">
        <v>0.13</v>
      </c>
      <c r="D159" s="1844">
        <v>0.13</v>
      </c>
      <c r="E159" s="1844">
        <v>0.13</v>
      </c>
      <c r="F159" s="1845">
        <v>0.13</v>
      </c>
    </row>
    <row r="160" spans="1:6" ht="14.25" thickBot="1">
      <c r="A160" s="1839" t="s">
        <v>1410</v>
      </c>
      <c r="B160" s="1843" t="s">
        <v>1089</v>
      </c>
      <c r="C160" s="1844">
        <v>0.13</v>
      </c>
      <c r="D160" s="1844">
        <v>0.13</v>
      </c>
      <c r="E160" s="1844">
        <v>0.129</v>
      </c>
      <c r="F160" s="1845">
        <v>0.13</v>
      </c>
    </row>
    <row r="161" spans="1:6" ht="14.25" thickBot="1">
      <c r="A161" s="1839" t="s">
        <v>1410</v>
      </c>
      <c r="B161" s="1843" t="s">
        <v>1102</v>
      </c>
      <c r="C161" s="1844">
        <v>0.128</v>
      </c>
      <c r="D161" s="1844">
        <v>0.128</v>
      </c>
      <c r="E161" s="1844">
        <v>0.125</v>
      </c>
      <c r="F161" s="1845">
        <v>0.13</v>
      </c>
    </row>
    <row r="162" spans="1:6" ht="14.25" thickBot="1">
      <c r="A162" s="1839" t="s">
        <v>1410</v>
      </c>
      <c r="B162" s="1843" t="s">
        <v>1116</v>
      </c>
      <c r="C162" s="1844">
        <v>0.122</v>
      </c>
      <c r="D162" s="1844">
        <v>0.122</v>
      </c>
      <c r="E162" s="1844">
        <v>0.126</v>
      </c>
      <c r="F162" s="1845">
        <v>0.122</v>
      </c>
    </row>
    <row r="163" spans="1:6" ht="14.25" thickBot="1">
      <c r="A163" s="1839" t="s">
        <v>1410</v>
      </c>
      <c r="B163" s="1843" t="s">
        <v>1127</v>
      </c>
      <c r="C163" s="1844">
        <v>0.13</v>
      </c>
      <c r="D163" s="1844">
        <v>0.13</v>
      </c>
      <c r="E163" s="1844">
        <v>0.125</v>
      </c>
      <c r="F163" s="1845">
        <v>0.13</v>
      </c>
    </row>
    <row r="164" spans="1:6" ht="14.25" thickBot="1">
      <c r="A164" s="1839" t="s">
        <v>1410</v>
      </c>
      <c r="B164" s="1843" t="s">
        <v>1138</v>
      </c>
      <c r="C164" s="1844">
        <v>0.13</v>
      </c>
      <c r="D164" s="1844">
        <v>0.13</v>
      </c>
      <c r="E164" s="1844">
        <v>0.13</v>
      </c>
      <c r="F164" s="1845">
        <v>0.13</v>
      </c>
    </row>
    <row r="165" spans="1:6" ht="14.25" thickBot="1">
      <c r="A165" s="1839" t="s">
        <v>1410</v>
      </c>
      <c r="B165" s="1843" t="s">
        <v>1149</v>
      </c>
      <c r="C165" s="1844">
        <v>0.13</v>
      </c>
      <c r="D165" s="1844">
        <v>0.13</v>
      </c>
      <c r="E165" s="1844">
        <v>0.124</v>
      </c>
      <c r="F165" s="1845">
        <v>0.13</v>
      </c>
    </row>
    <row r="166" spans="1:6" ht="14.25" thickBot="1">
      <c r="A166" s="1839" t="s">
        <v>1410</v>
      </c>
      <c r="B166" s="1843" t="s">
        <v>1161</v>
      </c>
      <c r="C166" s="1844">
        <v>0.13</v>
      </c>
      <c r="D166" s="1844">
        <v>0.13</v>
      </c>
      <c r="E166" s="1844">
        <v>0.13</v>
      </c>
      <c r="F166" s="1845">
        <v>0.13</v>
      </c>
    </row>
    <row r="167" spans="1:6" ht="14.25" thickBot="1">
      <c r="A167" s="1839" t="s">
        <v>1410</v>
      </c>
      <c r="B167" s="1843" t="s">
        <v>1171</v>
      </c>
      <c r="C167" s="1844">
        <v>0.125</v>
      </c>
      <c r="D167" s="1844">
        <v>0.125</v>
      </c>
      <c r="E167" s="1844">
        <v>0.121</v>
      </c>
      <c r="F167" s="1852"/>
    </row>
    <row r="168" spans="1:6" ht="14.25" thickBot="1">
      <c r="A168" s="1839" t="s">
        <v>1410</v>
      </c>
      <c r="B168" s="1843" t="s">
        <v>1181</v>
      </c>
      <c r="C168" s="1844">
        <v>0.13</v>
      </c>
      <c r="D168" s="1844">
        <v>0.13</v>
      </c>
      <c r="E168" s="1844">
        <v>0.126</v>
      </c>
      <c r="F168" s="1852"/>
    </row>
    <row r="169" spans="1:6" ht="14.25" thickBot="1">
      <c r="A169" s="1839" t="s">
        <v>1410</v>
      </c>
      <c r="B169" s="1843" t="s">
        <v>1191</v>
      </c>
      <c r="C169" s="1844">
        <v>0.128</v>
      </c>
      <c r="D169" s="1844">
        <v>0.129</v>
      </c>
      <c r="E169" s="1844">
        <v>0.13</v>
      </c>
      <c r="F169" s="1852"/>
    </row>
    <row r="170" spans="1:6" ht="14.25" thickBot="1">
      <c r="A170" s="1839" t="s">
        <v>1410</v>
      </c>
      <c r="B170" s="1843" t="s">
        <v>1201</v>
      </c>
      <c r="C170" s="1844">
        <v>0.14099999999999999</v>
      </c>
      <c r="D170" s="1844">
        <v>0.13</v>
      </c>
      <c r="E170" s="1844">
        <v>0.125</v>
      </c>
      <c r="F170" s="1852"/>
    </row>
    <row r="171" spans="1:6" ht="14.25" thickBot="1">
      <c r="A171" s="1839" t="s">
        <v>1410</v>
      </c>
      <c r="B171" s="1843" t="s">
        <v>2124</v>
      </c>
      <c r="C171" s="1844">
        <v>0.127</v>
      </c>
      <c r="D171" s="1844">
        <v>0.126</v>
      </c>
      <c r="E171" s="1844">
        <v>0.126</v>
      </c>
      <c r="F171" s="1845">
        <v>0.11799999999999999</v>
      </c>
    </row>
    <row r="172" spans="1:6" ht="14.25" thickBot="1">
      <c r="A172" s="1839" t="s">
        <v>1410</v>
      </c>
      <c r="B172" s="1843" t="s">
        <v>2125</v>
      </c>
      <c r="C172" s="1844">
        <v>0.13</v>
      </c>
      <c r="D172" s="1844">
        <v>0.13</v>
      </c>
      <c r="E172" s="1844">
        <v>0.13</v>
      </c>
      <c r="F172" s="1852"/>
    </row>
    <row r="173" spans="1:6" ht="14.25" thickBot="1">
      <c r="A173" s="1839" t="s">
        <v>1410</v>
      </c>
      <c r="B173" s="1843" t="s">
        <v>1231</v>
      </c>
      <c r="C173" s="1844">
        <v>0.13</v>
      </c>
      <c r="D173" s="1844">
        <v>0.13</v>
      </c>
      <c r="E173" s="1844">
        <v>0.13</v>
      </c>
      <c r="F173" s="1852"/>
    </row>
    <row r="174" spans="1:6" ht="14.25" thickBot="1">
      <c r="A174" s="1839" t="s">
        <v>1410</v>
      </c>
      <c r="B174" s="1843" t="s">
        <v>2126</v>
      </c>
      <c r="C174" s="1844">
        <v>0.13</v>
      </c>
      <c r="D174" s="1844">
        <v>0.13</v>
      </c>
      <c r="E174" s="1844">
        <v>0.13</v>
      </c>
      <c r="F174" s="1845">
        <v>0.13</v>
      </c>
    </row>
    <row r="175" spans="1:6" ht="14.25" thickBot="1">
      <c r="A175" s="1839" t="s">
        <v>1410</v>
      </c>
      <c r="B175" s="1843" t="s">
        <v>2127</v>
      </c>
      <c r="C175" s="1844">
        <v>0.13</v>
      </c>
      <c r="D175" s="1844">
        <v>0.13</v>
      </c>
      <c r="E175" s="1844">
        <v>0.13</v>
      </c>
      <c r="F175" s="1845">
        <v>0.13</v>
      </c>
    </row>
    <row r="176" spans="1:6" ht="14.25" thickBot="1">
      <c r="A176" s="1839" t="s">
        <v>1410</v>
      </c>
      <c r="B176" s="1843" t="s">
        <v>1261</v>
      </c>
      <c r="C176" s="1844">
        <v>0.13</v>
      </c>
      <c r="D176" s="1844">
        <v>0.13</v>
      </c>
      <c r="E176" s="1844">
        <v>0.13</v>
      </c>
      <c r="F176" s="1845">
        <v>0.13</v>
      </c>
    </row>
    <row r="177" spans="1:6" ht="14.25" thickBot="1">
      <c r="A177" s="1839" t="s">
        <v>1410</v>
      </c>
      <c r="B177" s="1843" t="s">
        <v>2128</v>
      </c>
      <c r="C177" s="1844">
        <v>0.13</v>
      </c>
      <c r="D177" s="1844">
        <v>0.13</v>
      </c>
      <c r="E177" s="1844">
        <v>0.13</v>
      </c>
      <c r="F177" s="1845">
        <v>0.13</v>
      </c>
    </row>
    <row r="178" spans="1:6" ht="14.25" thickBot="1">
      <c r="A178" s="1839" t="s">
        <v>1410</v>
      </c>
      <c r="B178" s="1843" t="s">
        <v>1279</v>
      </c>
      <c r="C178" s="1844">
        <v>0.13</v>
      </c>
      <c r="D178" s="1844">
        <v>0.13</v>
      </c>
      <c r="E178" s="1844">
        <v>0.13</v>
      </c>
      <c r="F178" s="1845">
        <v>0.127</v>
      </c>
    </row>
    <row r="179" spans="1:6" ht="14.25" thickBot="1">
      <c r="A179" s="1839" t="s">
        <v>1410</v>
      </c>
      <c r="B179" s="1843" t="s">
        <v>1287</v>
      </c>
      <c r="C179" s="1844">
        <v>0.13</v>
      </c>
      <c r="D179" s="1844">
        <v>0.13</v>
      </c>
      <c r="E179" s="1844">
        <v>0.13</v>
      </c>
      <c r="F179" s="1852"/>
    </row>
    <row r="180" spans="1:6" ht="14.25" thickBot="1">
      <c r="A180" s="1839" t="s">
        <v>1410</v>
      </c>
      <c r="B180" s="1843" t="s">
        <v>2129</v>
      </c>
      <c r="C180" s="1844">
        <v>0.13</v>
      </c>
      <c r="D180" s="1844">
        <v>0.13</v>
      </c>
      <c r="E180" s="1844">
        <v>0.125</v>
      </c>
      <c r="F180" s="1845">
        <v>0.13</v>
      </c>
    </row>
    <row r="181" spans="1:6" ht="14.25" thickBot="1">
      <c r="A181" s="1839" t="s">
        <v>1410</v>
      </c>
      <c r="B181" s="1843" t="s">
        <v>1301</v>
      </c>
      <c r="C181" s="1844">
        <v>0.122</v>
      </c>
      <c r="D181" s="1844">
        <v>0.123</v>
      </c>
      <c r="E181" s="1844">
        <v>0.126</v>
      </c>
      <c r="F181" s="1845">
        <v>0.121</v>
      </c>
    </row>
    <row r="182" spans="1:6" ht="14.25" thickBot="1">
      <c r="A182" s="1839" t="s">
        <v>1410</v>
      </c>
      <c r="B182" s="1843" t="s">
        <v>1308</v>
      </c>
      <c r="C182" s="1844">
        <v>0.125</v>
      </c>
      <c r="D182" s="1844">
        <v>0.125</v>
      </c>
      <c r="E182" s="1844">
        <v>0.11700000000000001</v>
      </c>
      <c r="F182" s="1845">
        <v>0.13</v>
      </c>
    </row>
    <row r="183" spans="1:6" ht="14.25" thickBot="1">
      <c r="A183" s="1839" t="s">
        <v>1410</v>
      </c>
      <c r="B183" s="1843" t="s">
        <v>1315</v>
      </c>
      <c r="C183" s="1844">
        <v>0.127</v>
      </c>
      <c r="D183" s="1844">
        <v>0.127</v>
      </c>
      <c r="E183" s="1844">
        <v>0.128</v>
      </c>
      <c r="F183" s="1852"/>
    </row>
    <row r="184" spans="1:6" ht="14.25" thickBot="1">
      <c r="A184" s="1839" t="s">
        <v>1410</v>
      </c>
      <c r="B184" s="1843" t="s">
        <v>1322</v>
      </c>
      <c r="C184" s="1844">
        <v>0.125</v>
      </c>
      <c r="D184" s="1844">
        <v>0.125</v>
      </c>
      <c r="E184" s="1844">
        <v>0.127</v>
      </c>
      <c r="F184" s="1852"/>
    </row>
    <row r="185" spans="1:6" ht="14.25" thickBot="1">
      <c r="A185" s="1839" t="s">
        <v>1410</v>
      </c>
      <c r="B185" s="1843" t="s">
        <v>2130</v>
      </c>
      <c r="C185" s="1844">
        <v>0.127</v>
      </c>
      <c r="D185" s="1844">
        <v>0.127</v>
      </c>
      <c r="E185" s="1844">
        <v>0.128</v>
      </c>
      <c r="F185" s="1845">
        <v>0.13</v>
      </c>
    </row>
    <row r="186" spans="1:6" ht="24.75" thickBot="1">
      <c r="A186" s="1839" t="s">
        <v>1410</v>
      </c>
      <c r="B186" s="1843" t="s">
        <v>2131</v>
      </c>
      <c r="C186" s="1853"/>
      <c r="D186" s="1853"/>
      <c r="E186" s="1853"/>
      <c r="F186" s="1845">
        <v>0.05</v>
      </c>
    </row>
    <row r="187" spans="1:6" ht="14.25" thickBot="1">
      <c r="A187" s="1839" t="s">
        <v>1410</v>
      </c>
      <c r="B187" s="1843" t="s">
        <v>2132</v>
      </c>
      <c r="C187" s="1853"/>
      <c r="D187" s="1853"/>
      <c r="E187" s="1853"/>
      <c r="F187" s="1845">
        <v>0.05</v>
      </c>
    </row>
    <row r="188" spans="1:6" ht="14.25" thickBot="1">
      <c r="A188" s="1839" t="s">
        <v>1410</v>
      </c>
      <c r="B188" s="1843" t="s">
        <v>2133</v>
      </c>
      <c r="C188" s="1853"/>
      <c r="D188" s="1853"/>
      <c r="E188" s="1853"/>
      <c r="F188" s="1845">
        <v>0.05</v>
      </c>
    </row>
    <row r="189" spans="1:6" ht="24.75" thickBot="1">
      <c r="A189" s="1839" t="s">
        <v>1410</v>
      </c>
      <c r="B189" s="1843" t="s">
        <v>2134</v>
      </c>
      <c r="C189" s="1853"/>
      <c r="D189" s="1853"/>
      <c r="E189" s="1853"/>
      <c r="F189" s="1845">
        <v>0.05</v>
      </c>
    </row>
    <row r="190" spans="1:6" ht="24.75" thickBot="1">
      <c r="A190" s="1839" t="s">
        <v>1410</v>
      </c>
      <c r="B190" s="1843" t="s">
        <v>2135</v>
      </c>
      <c r="C190" s="1853"/>
      <c r="D190" s="1853"/>
      <c r="E190" s="1853"/>
      <c r="F190" s="1845">
        <v>0.05</v>
      </c>
    </row>
    <row r="191" spans="1:6" ht="24.75" thickBot="1">
      <c r="A191" s="1839" t="s">
        <v>1410</v>
      </c>
      <c r="B191" s="1843" t="s">
        <v>2136</v>
      </c>
      <c r="C191" s="1853"/>
      <c r="D191" s="1853"/>
      <c r="E191" s="1853"/>
      <c r="F191" s="1845">
        <v>0.05</v>
      </c>
    </row>
    <row r="192" spans="1:6" ht="24.75" thickBot="1">
      <c r="A192" s="1839" t="s">
        <v>1410</v>
      </c>
      <c r="B192" s="1843" t="s">
        <v>2137</v>
      </c>
      <c r="C192" s="1853"/>
      <c r="D192" s="1853"/>
      <c r="E192" s="1853"/>
      <c r="F192" s="1845">
        <v>0.05</v>
      </c>
    </row>
    <row r="193" spans="1:6" ht="24.75" thickBot="1">
      <c r="A193" s="1839" t="s">
        <v>1410</v>
      </c>
      <c r="B193" s="1843" t="s">
        <v>2138</v>
      </c>
      <c r="C193" s="1853"/>
      <c r="D193" s="1853"/>
      <c r="E193" s="1853"/>
      <c r="F193" s="1845">
        <v>0.05</v>
      </c>
    </row>
    <row r="194" spans="1:6" ht="24.75" thickBot="1">
      <c r="A194" s="1839" t="s">
        <v>1410</v>
      </c>
      <c r="B194" s="1843" t="s">
        <v>2139</v>
      </c>
      <c r="C194" s="1853"/>
      <c r="D194" s="1853"/>
      <c r="E194" s="1853"/>
      <c r="F194" s="1845">
        <v>0.05</v>
      </c>
    </row>
    <row r="195" spans="1:6" ht="14.25" thickBot="1">
      <c r="A195" s="1839" t="s">
        <v>1410</v>
      </c>
      <c r="B195" s="1843" t="s">
        <v>2140</v>
      </c>
      <c r="C195" s="1853"/>
      <c r="D195" s="1853"/>
      <c r="E195" s="1853"/>
      <c r="F195" s="1845">
        <v>0.05</v>
      </c>
    </row>
    <row r="196" spans="1:6" ht="24.75" thickBot="1">
      <c r="A196" s="1839" t="s">
        <v>1410</v>
      </c>
      <c r="B196" s="1843" t="s">
        <v>2141</v>
      </c>
      <c r="C196" s="1853"/>
      <c r="D196" s="1853"/>
      <c r="E196" s="1853"/>
      <c r="F196" s="1845">
        <v>0.05</v>
      </c>
    </row>
    <row r="197" spans="1:6" ht="24.75" thickBot="1">
      <c r="A197" s="1839" t="s">
        <v>1410</v>
      </c>
      <c r="B197" s="1843" t="s">
        <v>2142</v>
      </c>
      <c r="C197" s="1853"/>
      <c r="D197" s="1853"/>
      <c r="E197" s="1853"/>
      <c r="F197" s="1845">
        <v>0.05</v>
      </c>
    </row>
    <row r="198" spans="1:6" ht="24.75" thickBot="1">
      <c r="A198" s="1839" t="s">
        <v>1410</v>
      </c>
      <c r="B198" s="1843" t="s">
        <v>2143</v>
      </c>
      <c r="C198" s="1853"/>
      <c r="D198" s="1853"/>
      <c r="E198" s="1853"/>
      <c r="F198" s="1845">
        <v>0.05</v>
      </c>
    </row>
    <row r="199" spans="1:6" ht="24.75" thickBot="1">
      <c r="A199" s="1839" t="s">
        <v>1410</v>
      </c>
      <c r="B199" s="1843" t="s">
        <v>2144</v>
      </c>
      <c r="C199" s="1853"/>
      <c r="D199" s="1853"/>
      <c r="E199" s="1853"/>
      <c r="F199" s="1845">
        <v>0.05</v>
      </c>
    </row>
    <row r="200" spans="1:6" ht="24.75" thickBot="1">
      <c r="A200" s="1839" t="s">
        <v>1410</v>
      </c>
      <c r="B200" s="1843" t="s">
        <v>2145</v>
      </c>
      <c r="C200" s="1853"/>
      <c r="D200" s="1853"/>
      <c r="E200" s="1853"/>
      <c r="F200" s="1845">
        <v>0.05</v>
      </c>
    </row>
    <row r="201" spans="1:6" ht="24.75" thickBot="1">
      <c r="A201" s="1839" t="s">
        <v>1410</v>
      </c>
      <c r="B201" s="1843" t="s">
        <v>2146</v>
      </c>
      <c r="C201" s="1853"/>
      <c r="D201" s="1853"/>
      <c r="E201" s="1853"/>
      <c r="F201" s="1845">
        <v>0.05</v>
      </c>
    </row>
    <row r="202" spans="1:6" ht="24.75" thickBot="1">
      <c r="A202" s="1839" t="s">
        <v>1410</v>
      </c>
      <c r="B202" s="1843" t="s">
        <v>2147</v>
      </c>
      <c r="C202" s="1853"/>
      <c r="D202" s="1853"/>
      <c r="E202" s="1853"/>
      <c r="F202" s="1845">
        <v>0.05</v>
      </c>
    </row>
    <row r="203" spans="1:6" ht="24.75" thickBot="1">
      <c r="A203" s="1839" t="s">
        <v>1410</v>
      </c>
      <c r="B203" s="1843" t="s">
        <v>2148</v>
      </c>
      <c r="C203" s="1853"/>
      <c r="D203" s="1853"/>
      <c r="E203" s="1853"/>
      <c r="F203" s="1845">
        <v>0.05</v>
      </c>
    </row>
    <row r="204" spans="1:6" ht="14.25" thickBot="1">
      <c r="A204" s="1839" t="s">
        <v>1410</v>
      </c>
      <c r="B204" s="1843" t="s">
        <v>2149</v>
      </c>
      <c r="C204" s="1853"/>
      <c r="D204" s="1853"/>
      <c r="E204" s="1853"/>
      <c r="F204" s="1845">
        <v>0.05</v>
      </c>
    </row>
    <row r="205" spans="1:6" ht="14.25" thickBot="1">
      <c r="A205" s="1847" t="s">
        <v>1410</v>
      </c>
      <c r="B205" s="1854" t="s">
        <v>2150</v>
      </c>
      <c r="C205" s="1850"/>
      <c r="D205" s="1850"/>
      <c r="E205" s="1850"/>
      <c r="F205" s="1855">
        <v>0.05</v>
      </c>
    </row>
    <row r="206" spans="1:6" ht="14.25" thickBot="1">
      <c r="A206" s="1839" t="s">
        <v>1412</v>
      </c>
      <c r="B206" s="1840" t="s">
        <v>2151</v>
      </c>
      <c r="C206" s="1841">
        <v>0.15</v>
      </c>
      <c r="D206" s="1841">
        <v>0.15</v>
      </c>
      <c r="E206" s="1841">
        <v>0.15</v>
      </c>
      <c r="F206" s="1842">
        <v>0.15</v>
      </c>
    </row>
    <row r="207" spans="1:6" ht="14.25" thickBot="1">
      <c r="A207" s="1839" t="s">
        <v>1412</v>
      </c>
      <c r="B207" s="1843" t="s">
        <v>1076</v>
      </c>
      <c r="C207" s="1844">
        <v>0.15</v>
      </c>
      <c r="D207" s="1844">
        <v>0.15</v>
      </c>
      <c r="E207" s="1844">
        <v>0.15</v>
      </c>
      <c r="F207" s="1845">
        <v>0.14399999999999999</v>
      </c>
    </row>
    <row r="208" spans="1:6" ht="14.25" thickBot="1">
      <c r="A208" s="1839" t="s">
        <v>1412</v>
      </c>
      <c r="B208" s="1843" t="s">
        <v>1090</v>
      </c>
      <c r="C208" s="1844">
        <v>0.15</v>
      </c>
      <c r="D208" s="1844">
        <v>0.15</v>
      </c>
      <c r="E208" s="1844">
        <v>0.15</v>
      </c>
      <c r="F208" s="1845">
        <v>0.15</v>
      </c>
    </row>
    <row r="209" spans="1:6" ht="14.25" thickBot="1">
      <c r="A209" s="1839" t="s">
        <v>1412</v>
      </c>
      <c r="B209" s="1843" t="s">
        <v>1103</v>
      </c>
      <c r="C209" s="1844">
        <v>0.13700000000000001</v>
      </c>
      <c r="D209" s="1844">
        <v>0.13700000000000001</v>
      </c>
      <c r="E209" s="1844">
        <v>0.14000000000000001</v>
      </c>
      <c r="F209" s="1845">
        <v>0.11700000000000001</v>
      </c>
    </row>
    <row r="210" spans="1:6" ht="14.25" thickBot="1">
      <c r="A210" s="1839" t="s">
        <v>1412</v>
      </c>
      <c r="B210" s="1843" t="s">
        <v>2152</v>
      </c>
      <c r="C210" s="1844">
        <v>0.15</v>
      </c>
      <c r="D210" s="1844">
        <v>0.15</v>
      </c>
      <c r="E210" s="1844">
        <v>0.15</v>
      </c>
      <c r="F210" s="1845">
        <v>0.13800000000000001</v>
      </c>
    </row>
    <row r="211" spans="1:6" ht="14.25" thickBot="1">
      <c r="A211" s="1839" t="s">
        <v>1412</v>
      </c>
      <c r="B211" s="1843" t="s">
        <v>2153</v>
      </c>
      <c r="C211" s="1844">
        <v>0.13700000000000001</v>
      </c>
      <c r="D211" s="1844">
        <v>0.13500000000000001</v>
      </c>
      <c r="E211" s="1844">
        <v>0.13600000000000001</v>
      </c>
      <c r="F211" s="1845">
        <v>0.1</v>
      </c>
    </row>
    <row r="212" spans="1:6" ht="14.25" thickBot="1">
      <c r="A212" s="1839" t="s">
        <v>1412</v>
      </c>
      <c r="B212" s="1843" t="s">
        <v>2154</v>
      </c>
      <c r="C212" s="1844">
        <v>0.15</v>
      </c>
      <c r="D212" s="1844">
        <v>0.15</v>
      </c>
      <c r="E212" s="1844">
        <v>0.14799999999999999</v>
      </c>
      <c r="F212" s="1845">
        <v>0.13600000000000001</v>
      </c>
    </row>
    <row r="213" spans="1:6" ht="14.25" thickBot="1">
      <c r="A213" s="1839" t="s">
        <v>1412</v>
      </c>
      <c r="B213" s="1843" t="s">
        <v>1150</v>
      </c>
      <c r="C213" s="1844">
        <v>0.15</v>
      </c>
      <c r="D213" s="1844">
        <v>0.15</v>
      </c>
      <c r="E213" s="1844">
        <v>0.15</v>
      </c>
      <c r="F213" s="1845">
        <v>0.13800000000000001</v>
      </c>
    </row>
    <row r="214" spans="1:6" ht="14.25" thickBot="1">
      <c r="A214" s="1839" t="s">
        <v>1412</v>
      </c>
      <c r="B214" s="1843" t="s">
        <v>1162</v>
      </c>
      <c r="C214" s="1844">
        <v>9.0999999999999998E-2</v>
      </c>
      <c r="D214" s="1844">
        <v>0.09</v>
      </c>
      <c r="E214" s="1844">
        <v>9.1999999999999998E-2</v>
      </c>
      <c r="F214" s="1852"/>
    </row>
    <row r="215" spans="1:6" ht="14.25" thickBot="1">
      <c r="A215" s="1839" t="s">
        <v>1412</v>
      </c>
      <c r="B215" s="1843" t="s">
        <v>2155</v>
      </c>
      <c r="C215" s="1844">
        <v>0.15</v>
      </c>
      <c r="D215" s="1844">
        <v>0.15</v>
      </c>
      <c r="E215" s="1844">
        <v>0.15</v>
      </c>
      <c r="F215" s="1845">
        <v>0.15</v>
      </c>
    </row>
    <row r="216" spans="1:6" ht="14.25" thickBot="1">
      <c r="A216" s="1839" t="s">
        <v>1412</v>
      </c>
      <c r="B216" s="1843" t="s">
        <v>1182</v>
      </c>
      <c r="C216" s="1844">
        <v>0.14699999999999999</v>
      </c>
      <c r="D216" s="1844">
        <v>0.14699999999999999</v>
      </c>
      <c r="E216" s="1844">
        <v>0.15</v>
      </c>
      <c r="F216" s="1845">
        <v>0.14000000000000001</v>
      </c>
    </row>
    <row r="217" spans="1:6" ht="14.25" thickBot="1">
      <c r="A217" s="1839" t="s">
        <v>1412</v>
      </c>
      <c r="B217" s="1843" t="s">
        <v>1192</v>
      </c>
      <c r="C217" s="1844">
        <v>0.15</v>
      </c>
      <c r="D217" s="1844">
        <v>0.15</v>
      </c>
      <c r="E217" s="1844">
        <v>0.15</v>
      </c>
      <c r="F217" s="1845">
        <v>0.15</v>
      </c>
    </row>
    <row r="218" spans="1:6" ht="14.25" thickBot="1">
      <c r="A218" s="1839" t="s">
        <v>1412</v>
      </c>
      <c r="B218" s="1843" t="s">
        <v>2156</v>
      </c>
      <c r="C218" s="1844">
        <v>0.15</v>
      </c>
      <c r="D218" s="1844">
        <v>0.15</v>
      </c>
      <c r="E218" s="1844">
        <v>0.15</v>
      </c>
      <c r="F218" s="1845">
        <v>0.15</v>
      </c>
    </row>
    <row r="219" spans="1:6" ht="14.25" thickBot="1">
      <c r="A219" s="1839" t="s">
        <v>1412</v>
      </c>
      <c r="B219" s="1843" t="s">
        <v>1212</v>
      </c>
      <c r="C219" s="1844">
        <v>0.15</v>
      </c>
      <c r="D219" s="1844">
        <v>0.15</v>
      </c>
      <c r="E219" s="1844">
        <v>0.15</v>
      </c>
      <c r="F219" s="1845">
        <v>0.14799999999999999</v>
      </c>
    </row>
    <row r="220" spans="1:6" ht="14.25" thickBot="1">
      <c r="A220" s="1839" t="s">
        <v>1412</v>
      </c>
      <c r="B220" s="1843" t="s">
        <v>2157</v>
      </c>
      <c r="C220" s="1844">
        <v>0.15</v>
      </c>
      <c r="D220" s="1844">
        <v>0.15</v>
      </c>
      <c r="E220" s="1844">
        <v>0.15</v>
      </c>
      <c r="F220" s="1845">
        <v>0.15</v>
      </c>
    </row>
    <row r="221" spans="1:6" ht="14.25" thickBot="1">
      <c r="A221" s="1839" t="s">
        <v>1412</v>
      </c>
      <c r="B221" s="1843" t="s">
        <v>1232</v>
      </c>
      <c r="C221" s="1844"/>
      <c r="D221" s="1853"/>
      <c r="E221" s="1853"/>
      <c r="F221" s="1845">
        <v>0.14799999999999999</v>
      </c>
    </row>
    <row r="222" spans="1:6" ht="14.25" thickBot="1">
      <c r="A222" s="1839" t="s">
        <v>1412</v>
      </c>
      <c r="B222" s="1843" t="s">
        <v>1242</v>
      </c>
      <c r="C222" s="1844"/>
      <c r="D222" s="1853"/>
      <c r="E222" s="1853"/>
      <c r="F222" s="1845">
        <v>0.1</v>
      </c>
    </row>
    <row r="223" spans="1:6" ht="14.25" thickBot="1">
      <c r="A223" s="1839" t="s">
        <v>1412</v>
      </c>
      <c r="B223" s="1843" t="s">
        <v>1252</v>
      </c>
      <c r="C223" s="1844"/>
      <c r="D223" s="1853"/>
      <c r="E223" s="1853"/>
      <c r="F223" s="1845">
        <v>0.15</v>
      </c>
    </row>
    <row r="224" spans="1:6" ht="14.25" thickBot="1">
      <c r="A224" s="1839" t="s">
        <v>1412</v>
      </c>
      <c r="B224" s="1843" t="s">
        <v>1262</v>
      </c>
      <c r="C224" s="1844"/>
      <c r="D224" s="1853"/>
      <c r="E224" s="1853"/>
      <c r="F224" s="1845">
        <v>0.15</v>
      </c>
    </row>
    <row r="225" spans="1:6" ht="14.25" thickBot="1">
      <c r="A225" s="1839" t="s">
        <v>1412</v>
      </c>
      <c r="B225" s="1843" t="s">
        <v>2158</v>
      </c>
      <c r="C225" s="1844">
        <v>0.15</v>
      </c>
      <c r="D225" s="1844">
        <v>0.15</v>
      </c>
      <c r="E225" s="1844">
        <v>0.15</v>
      </c>
      <c r="F225" s="1845">
        <v>0.15</v>
      </c>
    </row>
    <row r="226" spans="1:6" ht="14.25" thickBot="1">
      <c r="A226" s="1839" t="s">
        <v>1412</v>
      </c>
      <c r="B226" s="1843" t="s">
        <v>1280</v>
      </c>
      <c r="C226" s="1844">
        <v>0.15</v>
      </c>
      <c r="D226" s="1844">
        <v>0.15</v>
      </c>
      <c r="E226" s="1844">
        <v>0.15</v>
      </c>
      <c r="F226" s="1845">
        <v>0.14799999999999999</v>
      </c>
    </row>
    <row r="227" spans="1:6" ht="14.25" thickBot="1">
      <c r="A227" s="1839" t="s">
        <v>1412</v>
      </c>
      <c r="B227" s="1843" t="s">
        <v>2159</v>
      </c>
      <c r="C227" s="1844">
        <v>0.15</v>
      </c>
      <c r="D227" s="1844">
        <v>0.15</v>
      </c>
      <c r="E227" s="1844">
        <v>0.15</v>
      </c>
      <c r="F227" s="1845">
        <v>0.15</v>
      </c>
    </row>
    <row r="228" spans="1:6" ht="14.25" thickBot="1">
      <c r="A228" s="1839" t="s">
        <v>1412</v>
      </c>
      <c r="B228" s="1843" t="s">
        <v>1295</v>
      </c>
      <c r="C228" s="1844">
        <v>0.15</v>
      </c>
      <c r="D228" s="1844">
        <v>0.15</v>
      </c>
      <c r="E228" s="1844">
        <v>0.15</v>
      </c>
      <c r="F228" s="1845">
        <v>0.15</v>
      </c>
    </row>
    <row r="229" spans="1:6" ht="14.25" thickBot="1">
      <c r="A229" s="1839" t="s">
        <v>1412</v>
      </c>
      <c r="B229" s="1843" t="s">
        <v>1302</v>
      </c>
      <c r="C229" s="1844">
        <v>0.15</v>
      </c>
      <c r="D229" s="1844">
        <v>0.15</v>
      </c>
      <c r="E229" s="1844">
        <v>0.15</v>
      </c>
      <c r="F229" s="1852"/>
    </row>
    <row r="230" spans="1:6" ht="14.25" thickBot="1">
      <c r="A230" s="1839" t="s">
        <v>1412</v>
      </c>
      <c r="B230" s="1843" t="s">
        <v>1309</v>
      </c>
      <c r="C230" s="1844">
        <v>0.14499999999999999</v>
      </c>
      <c r="D230" s="1844">
        <v>0.14499999999999999</v>
      </c>
      <c r="E230" s="1844">
        <v>0.14399999999999999</v>
      </c>
      <c r="F230" s="1852"/>
    </row>
    <row r="231" spans="1:6" ht="14.25" thickBot="1">
      <c r="A231" s="1839" t="s">
        <v>1412</v>
      </c>
      <c r="B231" s="1843" t="s">
        <v>2160</v>
      </c>
      <c r="C231" s="1844">
        <v>0.128</v>
      </c>
      <c r="D231" s="1844">
        <v>0.125</v>
      </c>
      <c r="E231" s="1844">
        <v>0.13200000000000001</v>
      </c>
      <c r="F231" s="1852"/>
    </row>
    <row r="232" spans="1:6" ht="14.25" thickBot="1">
      <c r="A232" s="1839" t="s">
        <v>1412</v>
      </c>
      <c r="B232" s="1843" t="s">
        <v>2161</v>
      </c>
      <c r="C232" s="1844">
        <v>0.14499999999999999</v>
      </c>
      <c r="D232" s="1844">
        <v>0.14399999999999999</v>
      </c>
      <c r="E232" s="1844">
        <v>0.14599999999999999</v>
      </c>
      <c r="F232" s="1845">
        <v>0.13800000000000001</v>
      </c>
    </row>
    <row r="233" spans="1:6" ht="14.25" thickBot="1">
      <c r="A233" s="1839" t="s">
        <v>1412</v>
      </c>
      <c r="B233" s="1843" t="s">
        <v>2162</v>
      </c>
      <c r="C233" s="1844">
        <v>0.14499999999999999</v>
      </c>
      <c r="D233" s="1844">
        <v>0.14299999999999999</v>
      </c>
      <c r="E233" s="1844">
        <v>0.14199999999999999</v>
      </c>
      <c r="F233" s="1852"/>
    </row>
    <row r="234" spans="1:6" ht="14.25" thickBot="1">
      <c r="A234" s="1839" t="s">
        <v>1412</v>
      </c>
      <c r="B234" s="1843" t="s">
        <v>2163</v>
      </c>
      <c r="C234" s="1844">
        <v>0.14000000000000001</v>
      </c>
      <c r="D234" s="1844">
        <v>0.14000000000000001</v>
      </c>
      <c r="E234" s="1844">
        <v>0.14399999999999999</v>
      </c>
      <c r="F234" s="1852"/>
    </row>
    <row r="235" spans="1:6" ht="14.25" thickBot="1">
      <c r="A235" s="1839" t="s">
        <v>1412</v>
      </c>
      <c r="B235" s="1843" t="s">
        <v>2164</v>
      </c>
      <c r="C235" s="1844">
        <v>0.14099999999999999</v>
      </c>
      <c r="D235" s="1844">
        <v>0.14199999999999999</v>
      </c>
      <c r="E235" s="1844">
        <v>0.14499999999999999</v>
      </c>
      <c r="F235" s="1845">
        <v>0.15</v>
      </c>
    </row>
    <row r="236" spans="1:6" ht="14.25" thickBot="1">
      <c r="A236" s="1839" t="s">
        <v>1412</v>
      </c>
      <c r="B236" s="1843" t="s">
        <v>1344</v>
      </c>
      <c r="C236" s="1853"/>
      <c r="D236" s="1853"/>
      <c r="E236" s="1853"/>
      <c r="F236" s="1845">
        <v>0.14299999999999999</v>
      </c>
    </row>
    <row r="237" spans="1:6" ht="24.75" thickBot="1">
      <c r="A237" s="1839" t="s">
        <v>1412</v>
      </c>
      <c r="B237" s="1843" t="s">
        <v>2165</v>
      </c>
      <c r="C237" s="1853"/>
      <c r="D237" s="1853"/>
      <c r="E237" s="1853"/>
      <c r="F237" s="1845">
        <v>0.05</v>
      </c>
    </row>
    <row r="238" spans="1:6" ht="24.75" thickBot="1">
      <c r="A238" s="1839" t="s">
        <v>1412</v>
      </c>
      <c r="B238" s="1843" t="s">
        <v>2166</v>
      </c>
      <c r="C238" s="1853"/>
      <c r="D238" s="1853"/>
      <c r="E238" s="1853"/>
      <c r="F238" s="1845">
        <v>0.05</v>
      </c>
    </row>
    <row r="239" spans="1:6" ht="24.75" thickBot="1">
      <c r="A239" s="1839" t="s">
        <v>1412</v>
      </c>
      <c r="B239" s="1843" t="s">
        <v>2167</v>
      </c>
      <c r="C239" s="1853"/>
      <c r="D239" s="1853"/>
      <c r="E239" s="1853"/>
      <c r="F239" s="1845">
        <v>0.05</v>
      </c>
    </row>
    <row r="240" spans="1:6" ht="24.75" thickBot="1">
      <c r="A240" s="1839" t="s">
        <v>1412</v>
      </c>
      <c r="B240" s="1843" t="s">
        <v>2168</v>
      </c>
      <c r="C240" s="1853"/>
      <c r="D240" s="1853"/>
      <c r="E240" s="1853"/>
      <c r="F240" s="1845">
        <v>0.05</v>
      </c>
    </row>
    <row r="241" spans="1:6" ht="24.75" thickBot="1">
      <c r="A241" s="1839" t="s">
        <v>1412</v>
      </c>
      <c r="B241" s="1843" t="s">
        <v>2169</v>
      </c>
      <c r="C241" s="1853"/>
      <c r="D241" s="1853"/>
      <c r="E241" s="1853"/>
      <c r="F241" s="1845">
        <v>0.05</v>
      </c>
    </row>
    <row r="242" spans="1:6" ht="24.75" thickBot="1">
      <c r="A242" s="1839" t="s">
        <v>1412</v>
      </c>
      <c r="B242" s="1843" t="s">
        <v>2170</v>
      </c>
      <c r="C242" s="1853"/>
      <c r="D242" s="1853"/>
      <c r="E242" s="1853"/>
      <c r="F242" s="1845">
        <v>0.05</v>
      </c>
    </row>
    <row r="243" spans="1:6" ht="24.75" thickBot="1">
      <c r="A243" s="1839" t="s">
        <v>1412</v>
      </c>
      <c r="B243" s="1843" t="s">
        <v>2171</v>
      </c>
      <c r="C243" s="1853"/>
      <c r="D243" s="1853"/>
      <c r="E243" s="1853"/>
      <c r="F243" s="1845">
        <v>0.05</v>
      </c>
    </row>
    <row r="244" spans="1:6" ht="24.75" thickBot="1">
      <c r="A244" s="1847" t="s">
        <v>1412</v>
      </c>
      <c r="B244" s="1854" t="s">
        <v>2172</v>
      </c>
      <c r="C244" s="1850"/>
      <c r="D244" s="1850"/>
      <c r="E244" s="1850"/>
      <c r="F244" s="1855">
        <v>0.05</v>
      </c>
    </row>
    <row r="245" spans="1:6" ht="14.25" thickBot="1">
      <c r="A245" s="1839" t="s">
        <v>1414</v>
      </c>
      <c r="B245" s="1840" t="s">
        <v>2173</v>
      </c>
      <c r="C245" s="1841">
        <v>0.15</v>
      </c>
      <c r="D245" s="1841">
        <v>0.15</v>
      </c>
      <c r="E245" s="1841">
        <v>0.15</v>
      </c>
      <c r="F245" s="1842">
        <v>0.14299999999999999</v>
      </c>
    </row>
    <row r="246" spans="1:6" ht="14.25" thickBot="1">
      <c r="A246" s="1839" t="s">
        <v>1414</v>
      </c>
      <c r="B246" s="1843" t="s">
        <v>1077</v>
      </c>
      <c r="C246" s="1844">
        <v>0.15</v>
      </c>
      <c r="D246" s="1844">
        <v>0.15</v>
      </c>
      <c r="E246" s="1844">
        <v>0.15</v>
      </c>
      <c r="F246" s="1845">
        <v>0.114</v>
      </c>
    </row>
    <row r="247" spans="1:6" ht="14.25" thickBot="1">
      <c r="A247" s="1839" t="s">
        <v>1414</v>
      </c>
      <c r="B247" s="1843" t="s">
        <v>2174</v>
      </c>
      <c r="C247" s="1844">
        <v>0.15</v>
      </c>
      <c r="D247" s="1844">
        <v>0.15</v>
      </c>
      <c r="E247" s="1844">
        <v>0.15</v>
      </c>
      <c r="F247" s="1845">
        <v>0.15</v>
      </c>
    </row>
    <row r="248" spans="1:6" ht="14.25" thickBot="1">
      <c r="A248" s="1839" t="s">
        <v>1414</v>
      </c>
      <c r="B248" s="1843" t="s">
        <v>2175</v>
      </c>
      <c r="C248" s="1844">
        <v>0.15</v>
      </c>
      <c r="D248" s="1844">
        <v>0.15</v>
      </c>
      <c r="E248" s="1844">
        <v>0.15</v>
      </c>
      <c r="F248" s="1845">
        <v>0.14000000000000001</v>
      </c>
    </row>
    <row r="249" spans="1:6" ht="14.25" thickBot="1">
      <c r="A249" s="1839" t="s">
        <v>1414</v>
      </c>
      <c r="B249" s="1843" t="s">
        <v>2176</v>
      </c>
      <c r="C249" s="1844">
        <v>0.15</v>
      </c>
      <c r="D249" s="1844">
        <v>0.14899999999999999</v>
      </c>
      <c r="E249" s="1844">
        <v>0.15</v>
      </c>
      <c r="F249" s="1845">
        <v>0.1</v>
      </c>
    </row>
    <row r="250" spans="1:6" ht="14.25" thickBot="1">
      <c r="A250" s="1839" t="s">
        <v>1414</v>
      </c>
      <c r="B250" s="1843" t="s">
        <v>2177</v>
      </c>
      <c r="C250" s="1844">
        <v>0.15</v>
      </c>
      <c r="D250" s="1844">
        <v>0.15</v>
      </c>
      <c r="E250" s="1844">
        <v>0.15</v>
      </c>
      <c r="F250" s="1845">
        <v>0.14399999999999999</v>
      </c>
    </row>
    <row r="251" spans="1:6" ht="14.25" thickBot="1">
      <c r="A251" s="1839" t="s">
        <v>1414</v>
      </c>
      <c r="B251" s="1843" t="s">
        <v>1140</v>
      </c>
      <c r="C251" s="1844">
        <v>0.15</v>
      </c>
      <c r="D251" s="1844">
        <v>0.15</v>
      </c>
      <c r="E251" s="1844">
        <v>0.15</v>
      </c>
      <c r="F251" s="1845">
        <v>0.14299999999999999</v>
      </c>
    </row>
    <row r="252" spans="1:6" ht="14.25" thickBot="1">
      <c r="A252" s="1839" t="s">
        <v>1414</v>
      </c>
      <c r="B252" s="1843" t="s">
        <v>1151</v>
      </c>
      <c r="C252" s="1844">
        <v>0.15</v>
      </c>
      <c r="D252" s="1844">
        <v>0.15</v>
      </c>
      <c r="E252" s="1844">
        <v>0.15</v>
      </c>
      <c r="F252" s="1845">
        <v>0.1</v>
      </c>
    </row>
    <row r="253" spans="1:6" ht="14.25" thickBot="1">
      <c r="A253" s="1839" t="s">
        <v>1414</v>
      </c>
      <c r="B253" s="1843" t="s">
        <v>1163</v>
      </c>
      <c r="C253" s="1844">
        <v>0.15</v>
      </c>
      <c r="D253" s="1844">
        <v>0.15</v>
      </c>
      <c r="E253" s="1844">
        <v>0.15</v>
      </c>
      <c r="F253" s="1845">
        <v>0.1</v>
      </c>
    </row>
    <row r="254" spans="1:6" ht="14.25" thickBot="1">
      <c r="A254" s="1839" t="s">
        <v>1414</v>
      </c>
      <c r="B254" s="1843" t="s">
        <v>1173</v>
      </c>
      <c r="C254" s="1853"/>
      <c r="D254" s="1853"/>
      <c r="E254" s="1853"/>
      <c r="F254" s="1845">
        <v>0.15</v>
      </c>
    </row>
    <row r="255" spans="1:6" ht="14.25" thickBot="1">
      <c r="A255" s="1839" t="s">
        <v>1414</v>
      </c>
      <c r="B255" s="1843" t="s">
        <v>1183</v>
      </c>
      <c r="C255" s="1853"/>
      <c r="D255" s="1853"/>
      <c r="E255" s="1853"/>
      <c r="F255" s="1845">
        <v>0.14299999999999999</v>
      </c>
    </row>
    <row r="256" spans="1:6" ht="14.25" thickBot="1">
      <c r="A256" s="1839" t="s">
        <v>1414</v>
      </c>
      <c r="B256" s="1843" t="s">
        <v>2178</v>
      </c>
      <c r="C256" s="1844">
        <v>0.14599999999999999</v>
      </c>
      <c r="D256" s="1844">
        <v>0.14699999999999999</v>
      </c>
      <c r="E256" s="1844">
        <v>0.15</v>
      </c>
      <c r="F256" s="1845">
        <v>0.13200000000000001</v>
      </c>
    </row>
    <row r="257" spans="1:6" ht="14.25" thickBot="1">
      <c r="A257" s="1839" t="s">
        <v>1414</v>
      </c>
      <c r="B257" s="1843" t="s">
        <v>1203</v>
      </c>
      <c r="C257" s="1844">
        <v>0.15</v>
      </c>
      <c r="D257" s="1844">
        <v>0.15</v>
      </c>
      <c r="E257" s="1844">
        <v>0.15</v>
      </c>
      <c r="F257" s="1845">
        <v>0.13900000000000001</v>
      </c>
    </row>
    <row r="258" spans="1:6" ht="14.25" thickBot="1">
      <c r="A258" s="1839" t="s">
        <v>1414</v>
      </c>
      <c r="B258" s="1843" t="s">
        <v>1213</v>
      </c>
      <c r="C258" s="1844">
        <v>0.15</v>
      </c>
      <c r="D258" s="1844">
        <v>0.15</v>
      </c>
      <c r="E258" s="1844">
        <v>0.15</v>
      </c>
      <c r="F258" s="1845">
        <v>0.13</v>
      </c>
    </row>
    <row r="259" spans="1:6" ht="14.25" thickBot="1">
      <c r="A259" s="1839" t="s">
        <v>1414</v>
      </c>
      <c r="B259" s="1843" t="s">
        <v>2179</v>
      </c>
      <c r="C259" s="1844">
        <v>0.14799999999999999</v>
      </c>
      <c r="D259" s="1844">
        <v>0.14899999999999999</v>
      </c>
      <c r="E259" s="1844">
        <v>0.15</v>
      </c>
      <c r="F259" s="1845">
        <v>0.13700000000000001</v>
      </c>
    </row>
    <row r="260" spans="1:6" ht="14.25" thickBot="1">
      <c r="A260" s="1839" t="s">
        <v>1414</v>
      </c>
      <c r="B260" s="1843" t="s">
        <v>1233</v>
      </c>
      <c r="C260" s="1844">
        <v>0.15</v>
      </c>
      <c r="D260" s="1844">
        <v>0.15</v>
      </c>
      <c r="E260" s="1844">
        <v>0.15</v>
      </c>
      <c r="F260" s="1845">
        <v>0.14199999999999999</v>
      </c>
    </row>
    <row r="261" spans="1:6" ht="14.25" thickBot="1">
      <c r="A261" s="1839" t="s">
        <v>1414</v>
      </c>
      <c r="B261" s="1843" t="s">
        <v>1243</v>
      </c>
      <c r="C261" s="1844">
        <v>0.15</v>
      </c>
      <c r="D261" s="1844">
        <v>0.15</v>
      </c>
      <c r="E261" s="1844">
        <v>0.14899999999999999</v>
      </c>
      <c r="F261" s="1845">
        <v>0.14799999999999999</v>
      </c>
    </row>
    <row r="262" spans="1:6" ht="14.25" thickBot="1">
      <c r="A262" s="1839" t="s">
        <v>1414</v>
      </c>
      <c r="B262" s="1843" t="s">
        <v>1253</v>
      </c>
      <c r="C262" s="1844">
        <v>0.15</v>
      </c>
      <c r="D262" s="1844">
        <v>0.15</v>
      </c>
      <c r="E262" s="1844">
        <v>0.15</v>
      </c>
      <c r="F262" s="1852"/>
    </row>
    <row r="263" spans="1:6" ht="14.25" thickBot="1">
      <c r="A263" s="1839" t="s">
        <v>1414</v>
      </c>
      <c r="B263" s="1843" t="s">
        <v>2180</v>
      </c>
      <c r="C263" s="1844">
        <v>0.14899999999999999</v>
      </c>
      <c r="D263" s="1844">
        <v>0.14899999999999999</v>
      </c>
      <c r="E263" s="1844">
        <v>0.15</v>
      </c>
      <c r="F263" s="1845">
        <v>0.13</v>
      </c>
    </row>
    <row r="264" spans="1:6" ht="14.25" thickBot="1">
      <c r="A264" s="1839" t="s">
        <v>1414</v>
      </c>
      <c r="B264" s="1843" t="s">
        <v>1272</v>
      </c>
      <c r="C264" s="1844">
        <v>0.14799999999999999</v>
      </c>
      <c r="D264" s="1844">
        <v>0.14699999999999999</v>
      </c>
      <c r="E264" s="1844">
        <v>0.15</v>
      </c>
      <c r="F264" s="1845">
        <v>7.8E-2</v>
      </c>
    </row>
    <row r="265" spans="1:6" ht="14.25" thickBot="1">
      <c r="A265" s="1839" t="s">
        <v>1414</v>
      </c>
      <c r="B265" s="1843" t="s">
        <v>1281</v>
      </c>
      <c r="C265" s="1844">
        <v>0.15</v>
      </c>
      <c r="D265" s="1844">
        <v>0.15</v>
      </c>
      <c r="E265" s="1844">
        <v>0.15</v>
      </c>
      <c r="F265" s="1845">
        <v>7.3999999999999996E-2</v>
      </c>
    </row>
    <row r="266" spans="1:6" ht="14.25" thickBot="1">
      <c r="A266" s="1839" t="s">
        <v>1414</v>
      </c>
      <c r="B266" s="1843" t="s">
        <v>1289</v>
      </c>
      <c r="C266" s="1844">
        <v>0.14699999999999999</v>
      </c>
      <c r="D266" s="1844">
        <v>0.14699999999999999</v>
      </c>
      <c r="E266" s="1844">
        <v>0.15</v>
      </c>
      <c r="F266" s="1845">
        <v>0.14299999999999999</v>
      </c>
    </row>
    <row r="267" spans="1:6" ht="14.25" thickBot="1">
      <c r="A267" s="1839" t="s">
        <v>1414</v>
      </c>
      <c r="B267" s="1843" t="s">
        <v>1296</v>
      </c>
      <c r="C267" s="1844">
        <v>0.14199999999999999</v>
      </c>
      <c r="D267" s="1844">
        <v>0.14299999999999999</v>
      </c>
      <c r="E267" s="1844">
        <v>0.15</v>
      </c>
      <c r="F267" s="1852"/>
    </row>
    <row r="268" spans="1:6" ht="14.25" thickBot="1">
      <c r="A268" s="1839" t="s">
        <v>1414</v>
      </c>
      <c r="B268" s="1843" t="s">
        <v>2181</v>
      </c>
      <c r="C268" s="1844">
        <v>0.15</v>
      </c>
      <c r="D268" s="1844">
        <v>0.15</v>
      </c>
      <c r="E268" s="1844">
        <v>0.15</v>
      </c>
      <c r="F268" s="1845">
        <v>0.13</v>
      </c>
    </row>
    <row r="269" spans="1:6" ht="14.25" thickBot="1">
      <c r="A269" s="1839" t="s">
        <v>1414</v>
      </c>
      <c r="B269" s="1843" t="s">
        <v>1310</v>
      </c>
      <c r="C269" s="1844">
        <v>0.15</v>
      </c>
      <c r="D269" s="1844">
        <v>0.15</v>
      </c>
      <c r="E269" s="1844">
        <v>0.15</v>
      </c>
      <c r="F269" s="1845">
        <v>0.14299999999999999</v>
      </c>
    </row>
    <row r="270" spans="1:6" ht="14.25" thickBot="1">
      <c r="A270" s="1839" t="s">
        <v>1414</v>
      </c>
      <c r="B270" s="1843" t="s">
        <v>1317</v>
      </c>
      <c r="C270" s="1844">
        <v>0.14499999999999999</v>
      </c>
      <c r="D270" s="1844">
        <v>0.14499999999999999</v>
      </c>
      <c r="E270" s="1844">
        <v>0.15</v>
      </c>
      <c r="F270" s="1845">
        <v>0.14699999999999999</v>
      </c>
    </row>
    <row r="271" spans="1:6" ht="14.25" thickBot="1">
      <c r="A271" s="1839" t="s">
        <v>1414</v>
      </c>
      <c r="B271" s="1843" t="s">
        <v>1324</v>
      </c>
      <c r="C271" s="1844">
        <v>0.15</v>
      </c>
      <c r="D271" s="1844">
        <v>0.15</v>
      </c>
      <c r="E271" s="1844">
        <v>0.15</v>
      </c>
      <c r="F271" s="1845">
        <v>0.13800000000000001</v>
      </c>
    </row>
    <row r="272" spans="1:6" ht="14.25" thickBot="1">
      <c r="A272" s="1839" t="s">
        <v>1414</v>
      </c>
      <c r="B272" s="1843" t="s">
        <v>1331</v>
      </c>
      <c r="C272" s="1853"/>
      <c r="D272" s="1853"/>
      <c r="E272" s="1853"/>
      <c r="F272" s="1845">
        <v>0.14000000000000001</v>
      </c>
    </row>
    <row r="273" spans="1:6" ht="14.25" thickBot="1">
      <c r="A273" s="1839" t="s">
        <v>1414</v>
      </c>
      <c r="B273" s="1843" t="s">
        <v>2182</v>
      </c>
      <c r="C273" s="1844">
        <v>0.14199999999999999</v>
      </c>
      <c r="D273" s="1844">
        <v>0.14299999999999999</v>
      </c>
      <c r="E273" s="1844">
        <v>0.15</v>
      </c>
      <c r="F273" s="1845">
        <v>0.1</v>
      </c>
    </row>
    <row r="274" spans="1:6" ht="14.25" thickBot="1">
      <c r="A274" s="1839" t="s">
        <v>1414</v>
      </c>
      <c r="B274" s="1843" t="s">
        <v>2183</v>
      </c>
      <c r="C274" s="1844">
        <v>0.14799999999999999</v>
      </c>
      <c r="D274" s="1844">
        <v>0.14799999999999999</v>
      </c>
      <c r="E274" s="1844">
        <v>0.15</v>
      </c>
      <c r="F274" s="1845">
        <v>6.7000000000000004E-2</v>
      </c>
    </row>
    <row r="275" spans="1:6" ht="14.25" thickBot="1">
      <c r="A275" s="1839" t="s">
        <v>1414</v>
      </c>
      <c r="B275" s="1843" t="s">
        <v>2184</v>
      </c>
      <c r="C275" s="1844">
        <v>0.15</v>
      </c>
      <c r="D275" s="1844">
        <v>0.15</v>
      </c>
      <c r="E275" s="1844">
        <v>0.15</v>
      </c>
      <c r="F275" s="1845">
        <v>0.15</v>
      </c>
    </row>
    <row r="276" spans="1:6" ht="14.25" thickBot="1">
      <c r="A276" s="1839" t="s">
        <v>1414</v>
      </c>
      <c r="B276" s="1843" t="s">
        <v>2185</v>
      </c>
      <c r="C276" s="1844">
        <v>0.14499999999999999</v>
      </c>
      <c r="D276" s="1844">
        <v>0.14299999999999999</v>
      </c>
      <c r="E276" s="1844">
        <v>0.15</v>
      </c>
      <c r="F276" s="1845">
        <v>5.8999999999999997E-2</v>
      </c>
    </row>
    <row r="277" spans="1:6" ht="14.25" thickBot="1">
      <c r="A277" s="1839" t="s">
        <v>1414</v>
      </c>
      <c r="B277" s="1843" t="s">
        <v>2186</v>
      </c>
      <c r="C277" s="1844">
        <v>0.15</v>
      </c>
      <c r="D277" s="1844">
        <v>0.15</v>
      </c>
      <c r="E277" s="1844">
        <v>0.15</v>
      </c>
      <c r="F277" s="1845">
        <v>0.121</v>
      </c>
    </row>
    <row r="278" spans="1:6" ht="14.25" thickBot="1">
      <c r="A278" s="1839" t="s">
        <v>1414</v>
      </c>
      <c r="B278" s="1843" t="s">
        <v>2187</v>
      </c>
      <c r="C278" s="1844">
        <v>0.15</v>
      </c>
      <c r="D278" s="1844">
        <v>0.15</v>
      </c>
      <c r="E278" s="1844">
        <v>0.15</v>
      </c>
      <c r="F278" s="1845">
        <v>0.13800000000000001</v>
      </c>
    </row>
    <row r="279" spans="1:6" ht="24.75" thickBot="1">
      <c r="A279" s="1839" t="s">
        <v>1414</v>
      </c>
      <c r="B279" s="1843" t="s">
        <v>2188</v>
      </c>
      <c r="C279" s="1853"/>
      <c r="D279" s="1853"/>
      <c r="E279" s="1853"/>
      <c r="F279" s="1845">
        <v>0.05</v>
      </c>
    </row>
    <row r="280" spans="1:6" ht="24.75" thickBot="1">
      <c r="A280" s="1839" t="s">
        <v>1414</v>
      </c>
      <c r="B280" s="1843" t="s">
        <v>2189</v>
      </c>
      <c r="C280" s="1853"/>
      <c r="D280" s="1853"/>
      <c r="E280" s="1853"/>
      <c r="F280" s="1845">
        <v>0.05</v>
      </c>
    </row>
    <row r="281" spans="1:6" ht="24.75" thickBot="1">
      <c r="A281" s="1839" t="s">
        <v>1414</v>
      </c>
      <c r="B281" s="1843" t="s">
        <v>2190</v>
      </c>
      <c r="C281" s="1853"/>
      <c r="D281" s="1853"/>
      <c r="E281" s="1853"/>
      <c r="F281" s="1845">
        <v>0.05</v>
      </c>
    </row>
    <row r="282" spans="1:6" ht="24.75" thickBot="1">
      <c r="A282" s="1839" t="s">
        <v>1414</v>
      </c>
      <c r="B282" s="1843" t="s">
        <v>2191</v>
      </c>
      <c r="C282" s="1853"/>
      <c r="D282" s="1853"/>
      <c r="E282" s="1853"/>
      <c r="F282" s="1845">
        <v>0.05</v>
      </c>
    </row>
    <row r="283" spans="1:6" ht="24.75" thickBot="1">
      <c r="A283" s="1839" t="s">
        <v>1414</v>
      </c>
      <c r="B283" s="1843" t="s">
        <v>2192</v>
      </c>
      <c r="C283" s="1853"/>
      <c r="D283" s="1853"/>
      <c r="E283" s="1853"/>
      <c r="F283" s="1845">
        <v>0.05</v>
      </c>
    </row>
    <row r="284" spans="1:6" ht="24.75" thickBot="1">
      <c r="A284" s="1839" t="s">
        <v>1414</v>
      </c>
      <c r="B284" s="1843" t="s">
        <v>2193</v>
      </c>
      <c r="C284" s="1853"/>
      <c r="D284" s="1853"/>
      <c r="E284" s="1853"/>
      <c r="F284" s="1845">
        <v>0.05</v>
      </c>
    </row>
    <row r="285" spans="1:6" ht="24.75" thickBot="1">
      <c r="A285" s="1839" t="s">
        <v>1414</v>
      </c>
      <c r="B285" s="1843" t="s">
        <v>2194</v>
      </c>
      <c r="C285" s="1853"/>
      <c r="D285" s="1853"/>
      <c r="E285" s="1853"/>
      <c r="F285" s="1845">
        <v>0.05</v>
      </c>
    </row>
    <row r="286" spans="1:6" ht="24.75" thickBot="1">
      <c r="A286" s="1839" t="s">
        <v>1414</v>
      </c>
      <c r="B286" s="1843" t="s">
        <v>2195</v>
      </c>
      <c r="C286" s="1853"/>
      <c r="D286" s="1853"/>
      <c r="E286" s="1853"/>
      <c r="F286" s="1845">
        <v>0.05</v>
      </c>
    </row>
    <row r="287" spans="1:6" ht="24.75" thickBot="1">
      <c r="A287" s="1839" t="s">
        <v>1414</v>
      </c>
      <c r="B287" s="1843" t="s">
        <v>2196</v>
      </c>
      <c r="C287" s="1853"/>
      <c r="D287" s="1853"/>
      <c r="E287" s="1853"/>
      <c r="F287" s="1845">
        <v>0.05</v>
      </c>
    </row>
    <row r="288" spans="1:6" ht="24.75" thickBot="1">
      <c r="A288" s="1839" t="s">
        <v>1414</v>
      </c>
      <c r="B288" s="1843" t="s">
        <v>2197</v>
      </c>
      <c r="C288" s="1853"/>
      <c r="D288" s="1853"/>
      <c r="E288" s="1853"/>
      <c r="F288" s="1845">
        <v>0.05</v>
      </c>
    </row>
    <row r="289" spans="1:6" ht="24.75" thickBot="1">
      <c r="A289" s="1847" t="s">
        <v>1414</v>
      </c>
      <c r="B289" s="1854" t="s">
        <v>2198</v>
      </c>
      <c r="C289" s="1850"/>
      <c r="D289" s="1850"/>
      <c r="E289" s="1850"/>
      <c r="F289" s="1855">
        <v>0.05</v>
      </c>
    </row>
    <row r="290" spans="1:6" ht="14.25" thickBot="1">
      <c r="A290" s="1839" t="s">
        <v>1418</v>
      </c>
      <c r="B290" s="1840" t="s">
        <v>2199</v>
      </c>
      <c r="C290" s="1841">
        <v>0.15</v>
      </c>
      <c r="D290" s="1841">
        <v>0.15</v>
      </c>
      <c r="E290" s="1841">
        <v>0.15</v>
      </c>
      <c r="F290" s="1863"/>
    </row>
    <row r="291" spans="1:6" ht="14.25" thickBot="1">
      <c r="A291" s="1839" t="s">
        <v>1418</v>
      </c>
      <c r="B291" s="1843" t="s">
        <v>1078</v>
      </c>
      <c r="C291" s="1844">
        <v>0.15</v>
      </c>
      <c r="D291" s="1844">
        <v>0.15</v>
      </c>
      <c r="E291" s="1844">
        <v>0.15</v>
      </c>
      <c r="F291" s="1852"/>
    </row>
    <row r="292" spans="1:6" ht="14.25" thickBot="1">
      <c r="A292" s="1839" t="s">
        <v>1418</v>
      </c>
      <c r="B292" s="1843" t="s">
        <v>2200</v>
      </c>
      <c r="C292" s="1844">
        <v>0.15</v>
      </c>
      <c r="D292" s="1844">
        <v>0.15</v>
      </c>
      <c r="E292" s="1844">
        <v>0.15</v>
      </c>
      <c r="F292" s="1845">
        <v>0.14699999999999999</v>
      </c>
    </row>
    <row r="293" spans="1:6" ht="14.25" thickBot="1">
      <c r="A293" s="1839" t="s">
        <v>1418</v>
      </c>
      <c r="B293" s="1843" t="s">
        <v>2201</v>
      </c>
      <c r="C293" s="1853"/>
      <c r="D293" s="1853"/>
      <c r="E293" s="1853"/>
      <c r="F293" s="1845">
        <v>0.1</v>
      </c>
    </row>
    <row r="294" spans="1:6" ht="14.25" thickBot="1">
      <c r="A294" s="1839" t="s">
        <v>1418</v>
      </c>
      <c r="B294" s="1843" t="s">
        <v>2202</v>
      </c>
      <c r="C294" s="1844">
        <v>0.15</v>
      </c>
      <c r="D294" s="1844">
        <v>0.15</v>
      </c>
      <c r="E294" s="1844">
        <v>0.15</v>
      </c>
      <c r="F294" s="1845">
        <v>0.15</v>
      </c>
    </row>
    <row r="295" spans="1:6" ht="14.25" thickBot="1">
      <c r="A295" s="1839" t="s">
        <v>1418</v>
      </c>
      <c r="B295" s="1843" t="s">
        <v>1119</v>
      </c>
      <c r="C295" s="1844">
        <v>0.15</v>
      </c>
      <c r="D295" s="1844">
        <v>0.15</v>
      </c>
      <c r="E295" s="1844">
        <v>0.15</v>
      </c>
      <c r="F295" s="1845">
        <v>0.15</v>
      </c>
    </row>
    <row r="296" spans="1:6" ht="14.25" thickBot="1">
      <c r="A296" s="1839" t="s">
        <v>1418</v>
      </c>
      <c r="B296" s="1843" t="s">
        <v>2203</v>
      </c>
      <c r="C296" s="1844">
        <v>0.15</v>
      </c>
      <c r="D296" s="1844">
        <v>0.15</v>
      </c>
      <c r="E296" s="1844">
        <v>0.15</v>
      </c>
      <c r="F296" s="1845">
        <v>0.15</v>
      </c>
    </row>
    <row r="297" spans="1:6" ht="14.25" thickBot="1">
      <c r="A297" s="1839" t="s">
        <v>1418</v>
      </c>
      <c r="B297" s="1843" t="s">
        <v>2204</v>
      </c>
      <c r="C297" s="1844">
        <v>0.14799999999999999</v>
      </c>
      <c r="D297" s="1844">
        <v>0.14899999999999999</v>
      </c>
      <c r="E297" s="1844">
        <v>0.15</v>
      </c>
      <c r="F297" s="1845">
        <v>0.13700000000000001</v>
      </c>
    </row>
    <row r="298" spans="1:6" ht="14.25" thickBot="1">
      <c r="A298" s="1839" t="s">
        <v>1418</v>
      </c>
      <c r="B298" s="1843" t="s">
        <v>1152</v>
      </c>
      <c r="C298" s="1844">
        <v>0.13400000000000001</v>
      </c>
      <c r="D298" s="1844">
        <v>0.13400000000000001</v>
      </c>
      <c r="E298" s="1844">
        <v>0.14499999999999999</v>
      </c>
      <c r="F298" s="1845">
        <v>0.14799999999999999</v>
      </c>
    </row>
    <row r="299" spans="1:6" ht="14.25" thickBot="1">
      <c r="A299" s="1839" t="s">
        <v>1418</v>
      </c>
      <c r="B299" s="1843" t="s">
        <v>1164</v>
      </c>
      <c r="C299" s="1844">
        <v>0.15</v>
      </c>
      <c r="D299" s="1844">
        <v>0.15</v>
      </c>
      <c r="E299" s="1844">
        <v>0.15</v>
      </c>
      <c r="F299" s="1852"/>
    </row>
    <row r="300" spans="1:6" ht="14.25" thickBot="1">
      <c r="A300" s="1839" t="s">
        <v>1418</v>
      </c>
      <c r="B300" s="1843" t="s">
        <v>2205</v>
      </c>
      <c r="C300" s="1844">
        <v>0.15</v>
      </c>
      <c r="D300" s="1844">
        <v>0.15</v>
      </c>
      <c r="E300" s="1844">
        <v>0.15</v>
      </c>
      <c r="F300" s="1845">
        <v>0.15</v>
      </c>
    </row>
    <row r="301" spans="1:6" ht="14.25" thickBot="1">
      <c r="A301" s="1839" t="s">
        <v>1418</v>
      </c>
      <c r="B301" s="1843" t="s">
        <v>1184</v>
      </c>
      <c r="C301" s="1844">
        <v>0.15</v>
      </c>
      <c r="D301" s="1844">
        <v>0.15</v>
      </c>
      <c r="E301" s="1844">
        <v>0.15</v>
      </c>
      <c r="F301" s="1852"/>
    </row>
    <row r="302" spans="1:6" ht="14.25" thickBot="1">
      <c r="A302" s="1839" t="s">
        <v>1418</v>
      </c>
      <c r="B302" s="1843" t="s">
        <v>2206</v>
      </c>
      <c r="C302" s="1844">
        <v>0.15</v>
      </c>
      <c r="D302" s="1844">
        <v>0.15</v>
      </c>
      <c r="E302" s="1844">
        <v>0.15</v>
      </c>
      <c r="F302" s="1845">
        <v>0.15</v>
      </c>
    </row>
    <row r="303" spans="1:6" ht="14.25" thickBot="1">
      <c r="A303" s="1839" t="s">
        <v>1418</v>
      </c>
      <c r="B303" s="1843" t="s">
        <v>1204</v>
      </c>
      <c r="C303" s="1844">
        <v>0.15</v>
      </c>
      <c r="D303" s="1844">
        <v>0.15</v>
      </c>
      <c r="E303" s="1844">
        <v>0.15</v>
      </c>
      <c r="F303" s="1845">
        <v>0.15</v>
      </c>
    </row>
    <row r="304" spans="1:6" ht="14.25" thickBot="1">
      <c r="A304" s="1839" t="s">
        <v>1418</v>
      </c>
      <c r="B304" s="1843" t="s">
        <v>1214</v>
      </c>
      <c r="C304" s="1844">
        <v>0.15</v>
      </c>
      <c r="D304" s="1844">
        <v>0.15</v>
      </c>
      <c r="E304" s="1844">
        <v>0.15</v>
      </c>
      <c r="F304" s="1852"/>
    </row>
    <row r="305" spans="1:6" ht="14.25" thickBot="1">
      <c r="A305" s="1839" t="s">
        <v>1418</v>
      </c>
      <c r="B305" s="1843" t="s">
        <v>2207</v>
      </c>
      <c r="C305" s="1844">
        <v>0.15</v>
      </c>
      <c r="D305" s="1844">
        <v>0.15</v>
      </c>
      <c r="E305" s="1844">
        <v>0.15</v>
      </c>
      <c r="F305" s="1845">
        <v>0.14000000000000001</v>
      </c>
    </row>
    <row r="306" spans="1:6" ht="14.25" thickBot="1">
      <c r="A306" s="1839" t="s">
        <v>1418</v>
      </c>
      <c r="B306" s="1843" t="s">
        <v>1234</v>
      </c>
      <c r="C306" s="1844">
        <v>0.15</v>
      </c>
      <c r="D306" s="1844">
        <v>0.15</v>
      </c>
      <c r="E306" s="1844">
        <v>0.15</v>
      </c>
      <c r="F306" s="1852"/>
    </row>
    <row r="307" spans="1:6" ht="14.25" thickBot="1">
      <c r="A307" s="1839" t="s">
        <v>1418</v>
      </c>
      <c r="B307" s="1843" t="s">
        <v>2208</v>
      </c>
      <c r="C307" s="1844">
        <v>0.15</v>
      </c>
      <c r="D307" s="1844">
        <v>0.15</v>
      </c>
      <c r="E307" s="1844">
        <v>0.15</v>
      </c>
      <c r="F307" s="1845">
        <v>0.14299999999999999</v>
      </c>
    </row>
    <row r="308" spans="1:6" ht="14.25" thickBot="1">
      <c r="A308" s="1839" t="s">
        <v>1418</v>
      </c>
      <c r="B308" s="1843" t="s">
        <v>1254</v>
      </c>
      <c r="C308" s="1844">
        <v>0.15</v>
      </c>
      <c r="D308" s="1844">
        <v>0.15</v>
      </c>
      <c r="E308" s="1844">
        <v>0.15</v>
      </c>
      <c r="F308" s="1845">
        <v>0.15</v>
      </c>
    </row>
    <row r="309" spans="1:6" ht="14.25" thickBot="1">
      <c r="A309" s="1839" t="s">
        <v>1418</v>
      </c>
      <c r="B309" s="1843" t="s">
        <v>1264</v>
      </c>
      <c r="C309" s="1844">
        <v>0.15</v>
      </c>
      <c r="D309" s="1844">
        <v>0.15</v>
      </c>
      <c r="E309" s="1844">
        <v>0.15</v>
      </c>
      <c r="F309" s="1852"/>
    </row>
    <row r="310" spans="1:6" ht="14.25" thickBot="1">
      <c r="A310" s="1839" t="s">
        <v>1418</v>
      </c>
      <c r="B310" s="1843" t="s">
        <v>2209</v>
      </c>
      <c r="C310" s="1844">
        <v>0.15</v>
      </c>
      <c r="D310" s="1844">
        <v>0.15</v>
      </c>
      <c r="E310" s="1844">
        <v>0.15</v>
      </c>
      <c r="F310" s="1845">
        <v>0.13700000000000001</v>
      </c>
    </row>
    <row r="311" spans="1:6" ht="14.25" thickBot="1">
      <c r="A311" s="1839" t="s">
        <v>1418</v>
      </c>
      <c r="B311" s="1843" t="s">
        <v>2210</v>
      </c>
      <c r="C311" s="1844">
        <v>0.15</v>
      </c>
      <c r="D311" s="1844">
        <v>0.15</v>
      </c>
      <c r="E311" s="1844">
        <v>0.15</v>
      </c>
      <c r="F311" s="1845">
        <v>0.15</v>
      </c>
    </row>
    <row r="312" spans="1:6" ht="14.25" thickBot="1">
      <c r="A312" s="1839" t="s">
        <v>1418</v>
      </c>
      <c r="B312" s="1843" t="s">
        <v>1290</v>
      </c>
      <c r="C312" s="1844">
        <v>0.15</v>
      </c>
      <c r="D312" s="1844">
        <v>0.15</v>
      </c>
      <c r="E312" s="1844">
        <v>0.15</v>
      </c>
      <c r="F312" s="1845">
        <v>0.1</v>
      </c>
    </row>
    <row r="313" spans="1:6" ht="14.25" thickBot="1">
      <c r="A313" s="1839" t="s">
        <v>1418</v>
      </c>
      <c r="B313" s="1843" t="s">
        <v>2211</v>
      </c>
      <c r="C313" s="1844">
        <v>0.15</v>
      </c>
      <c r="D313" s="1844">
        <v>0.15</v>
      </c>
      <c r="E313" s="1844">
        <v>0.15</v>
      </c>
      <c r="F313" s="1845">
        <v>0.15</v>
      </c>
    </row>
    <row r="314" spans="1:6" ht="24.75" thickBot="1">
      <c r="A314" s="1839" t="s">
        <v>1418</v>
      </c>
      <c r="B314" s="1843" t="s">
        <v>2212</v>
      </c>
      <c r="C314" s="1853"/>
      <c r="D314" s="1853"/>
      <c r="E314" s="1853"/>
      <c r="F314" s="1845">
        <v>0.05</v>
      </c>
    </row>
    <row r="315" spans="1:6" ht="24.75" thickBot="1">
      <c r="A315" s="1839" t="s">
        <v>1418</v>
      </c>
      <c r="B315" s="1843" t="s">
        <v>2213</v>
      </c>
      <c r="C315" s="1853"/>
      <c r="D315" s="1853"/>
      <c r="E315" s="1853"/>
      <c r="F315" s="1845">
        <v>0.05</v>
      </c>
    </row>
    <row r="316" spans="1:6" ht="24.75" thickBot="1">
      <c r="A316" s="1847" t="s">
        <v>1418</v>
      </c>
      <c r="B316" s="1854" t="s">
        <v>2214</v>
      </c>
      <c r="C316" s="1850"/>
      <c r="D316" s="1850"/>
      <c r="E316" s="1850"/>
      <c r="F316" s="1855">
        <v>0.05</v>
      </c>
    </row>
    <row r="317" spans="1:6" ht="14.25" thickBot="1">
      <c r="A317" s="1839" t="s">
        <v>2215</v>
      </c>
      <c r="B317" s="1840" t="s">
        <v>2216</v>
      </c>
      <c r="C317" s="1841">
        <v>0.15</v>
      </c>
      <c r="D317" s="1841">
        <v>0.15</v>
      </c>
      <c r="E317" s="1841">
        <v>0.15</v>
      </c>
      <c r="F317" s="1842">
        <v>0.15</v>
      </c>
    </row>
    <row r="318" spans="1:6" ht="14.25" thickBot="1">
      <c r="A318" s="1839" t="s">
        <v>2215</v>
      </c>
      <c r="B318" s="1843" t="s">
        <v>2217</v>
      </c>
      <c r="C318" s="1844">
        <v>0.107</v>
      </c>
      <c r="D318" s="1844">
        <v>0.11</v>
      </c>
      <c r="E318" s="1844">
        <v>0.112</v>
      </c>
      <c r="F318" s="1852"/>
    </row>
    <row r="319" spans="1:6" ht="14.25" thickBot="1">
      <c r="A319" s="1839" t="s">
        <v>2215</v>
      </c>
      <c r="B319" s="1843" t="s">
        <v>2218</v>
      </c>
      <c r="C319" s="1844">
        <v>0.15</v>
      </c>
      <c r="D319" s="1844">
        <v>0.15</v>
      </c>
      <c r="E319" s="1844">
        <v>0.15</v>
      </c>
      <c r="F319" s="1845">
        <v>0.15</v>
      </c>
    </row>
    <row r="320" spans="1:6" ht="14.25" thickBot="1">
      <c r="A320" s="1839" t="s">
        <v>2215</v>
      </c>
      <c r="B320" s="1843" t="s">
        <v>1106</v>
      </c>
      <c r="C320" s="1844">
        <v>0.15</v>
      </c>
      <c r="D320" s="1844">
        <v>0.15</v>
      </c>
      <c r="E320" s="1844">
        <v>0.15</v>
      </c>
      <c r="F320" s="1852"/>
    </row>
    <row r="321" spans="1:6" ht="14.25" thickBot="1">
      <c r="A321" s="1839" t="s">
        <v>2215</v>
      </c>
      <c r="B321" s="1843" t="s">
        <v>2219</v>
      </c>
      <c r="C321" s="1844">
        <v>0.15</v>
      </c>
      <c r="D321" s="1844">
        <v>0.15</v>
      </c>
      <c r="E321" s="1844">
        <v>0.15</v>
      </c>
      <c r="F321" s="1852"/>
    </row>
    <row r="322" spans="1:6" ht="14.25" thickBot="1">
      <c r="A322" s="1839" t="s">
        <v>2215</v>
      </c>
      <c r="B322" s="1843" t="s">
        <v>2220</v>
      </c>
      <c r="C322" s="1844">
        <v>0.15</v>
      </c>
      <c r="D322" s="1844">
        <v>0.15</v>
      </c>
      <c r="E322" s="1844">
        <v>0.15</v>
      </c>
      <c r="F322" s="1845">
        <v>0.15</v>
      </c>
    </row>
    <row r="323" spans="1:6" ht="14.25" thickBot="1">
      <c r="A323" s="1839" t="s">
        <v>2215</v>
      </c>
      <c r="B323" s="1843" t="s">
        <v>2221</v>
      </c>
      <c r="C323" s="1844">
        <v>0.15</v>
      </c>
      <c r="D323" s="1844">
        <v>0.15</v>
      </c>
      <c r="E323" s="1844">
        <v>0.15</v>
      </c>
      <c r="F323" s="1852"/>
    </row>
    <row r="324" spans="1:6" ht="14.25" thickBot="1">
      <c r="A324" s="1839" t="s">
        <v>2215</v>
      </c>
      <c r="B324" s="1843" t="s">
        <v>2222</v>
      </c>
      <c r="C324" s="1844">
        <v>0.15</v>
      </c>
      <c r="D324" s="1844">
        <v>0.15</v>
      </c>
      <c r="E324" s="1844">
        <v>0.15</v>
      </c>
      <c r="F324" s="1852"/>
    </row>
    <row r="325" spans="1:6" ht="14.25" thickBot="1">
      <c r="A325" s="1839" t="s">
        <v>2215</v>
      </c>
      <c r="B325" s="1843" t="s">
        <v>2223</v>
      </c>
      <c r="C325" s="1844">
        <v>0.15</v>
      </c>
      <c r="D325" s="1844">
        <v>0.15</v>
      </c>
      <c r="E325" s="1844">
        <v>0.15</v>
      </c>
      <c r="F325" s="1845">
        <v>0.14699999999999999</v>
      </c>
    </row>
    <row r="326" spans="1:6" ht="14.25" thickBot="1">
      <c r="A326" s="1839" t="s">
        <v>2215</v>
      </c>
      <c r="B326" s="1843" t="s">
        <v>1175</v>
      </c>
      <c r="C326" s="1844">
        <v>0.15</v>
      </c>
      <c r="D326" s="1844">
        <v>0.15</v>
      </c>
      <c r="E326" s="1844">
        <v>0.15</v>
      </c>
      <c r="F326" s="1852"/>
    </row>
    <row r="327" spans="1:6" ht="14.25" thickBot="1">
      <c r="A327" s="1839" t="s">
        <v>2215</v>
      </c>
      <c r="B327" s="1843" t="s">
        <v>2224</v>
      </c>
      <c r="C327" s="1844">
        <v>0.15</v>
      </c>
      <c r="D327" s="1844">
        <v>0.15</v>
      </c>
      <c r="E327" s="1844">
        <v>0.15</v>
      </c>
      <c r="F327" s="1845">
        <v>0.15</v>
      </c>
    </row>
    <row r="328" spans="1:6" ht="14.25" thickBot="1">
      <c r="A328" s="1839" t="s">
        <v>2215</v>
      </c>
      <c r="B328" s="1843" t="s">
        <v>1195</v>
      </c>
      <c r="C328" s="1844">
        <v>0.15</v>
      </c>
      <c r="D328" s="1844">
        <v>0.15</v>
      </c>
      <c r="E328" s="1844">
        <v>0.15</v>
      </c>
      <c r="F328" s="1845">
        <v>0.14099999999999999</v>
      </c>
    </row>
    <row r="329" spans="1:6" ht="14.25" thickBot="1">
      <c r="A329" s="1839" t="s">
        <v>2215</v>
      </c>
      <c r="B329" s="1843" t="s">
        <v>1205</v>
      </c>
      <c r="C329" s="1844">
        <v>0.15</v>
      </c>
      <c r="D329" s="1844">
        <v>0.15</v>
      </c>
      <c r="E329" s="1844">
        <v>0.15</v>
      </c>
      <c r="F329" s="1845">
        <v>0.15</v>
      </c>
    </row>
    <row r="330" spans="1:6" ht="14.25" thickBot="1">
      <c r="A330" s="1839" t="s">
        <v>2215</v>
      </c>
      <c r="B330" s="1843" t="s">
        <v>1215</v>
      </c>
      <c r="C330" s="1844">
        <v>0.15</v>
      </c>
      <c r="D330" s="1844">
        <v>0.15</v>
      </c>
      <c r="E330" s="1844">
        <v>0.15</v>
      </c>
      <c r="F330" s="1852"/>
    </row>
    <row r="331" spans="1:6" ht="14.25" thickBot="1">
      <c r="A331" s="1839" t="s">
        <v>2215</v>
      </c>
      <c r="B331" s="1843" t="s">
        <v>2225</v>
      </c>
      <c r="C331" s="1844">
        <v>0.15</v>
      </c>
      <c r="D331" s="1844">
        <v>0.15</v>
      </c>
      <c r="E331" s="1844">
        <v>0.15</v>
      </c>
      <c r="F331" s="1845">
        <v>0.15</v>
      </c>
    </row>
    <row r="332" spans="1:6" ht="14.25" thickBot="1">
      <c r="A332" s="1839" t="s">
        <v>2215</v>
      </c>
      <c r="B332" s="1843" t="s">
        <v>1235</v>
      </c>
      <c r="C332" s="1844">
        <v>0.15</v>
      </c>
      <c r="D332" s="1844">
        <v>0.15</v>
      </c>
      <c r="E332" s="1844">
        <v>0.15</v>
      </c>
      <c r="F332" s="1845">
        <v>0.15</v>
      </c>
    </row>
    <row r="333" spans="1:6" ht="14.25" thickBot="1">
      <c r="A333" s="1839" t="s">
        <v>2215</v>
      </c>
      <c r="B333" s="1843" t="s">
        <v>2226</v>
      </c>
      <c r="C333" s="1844">
        <v>0.15</v>
      </c>
      <c r="D333" s="1844">
        <v>0.15</v>
      </c>
      <c r="E333" s="1844">
        <v>0.15</v>
      </c>
      <c r="F333" s="1845">
        <v>0.14099999999999999</v>
      </c>
    </row>
    <row r="334" spans="1:6" ht="14.25" thickBot="1">
      <c r="A334" s="1839" t="s">
        <v>2215</v>
      </c>
      <c r="B334" s="1843" t="s">
        <v>1255</v>
      </c>
      <c r="C334" s="1844">
        <v>0.15</v>
      </c>
      <c r="D334" s="1844">
        <v>0.15</v>
      </c>
      <c r="E334" s="1844">
        <v>0.15</v>
      </c>
      <c r="F334" s="1845">
        <v>0.15</v>
      </c>
    </row>
    <row r="335" spans="1:6" ht="14.25" thickBot="1">
      <c r="A335" s="1839" t="s">
        <v>2215</v>
      </c>
      <c r="B335" s="1843" t="s">
        <v>1265</v>
      </c>
      <c r="C335" s="1844">
        <v>0.15</v>
      </c>
      <c r="D335" s="1844">
        <v>0.15</v>
      </c>
      <c r="E335" s="1844">
        <v>0.15</v>
      </c>
      <c r="F335" s="1852"/>
    </row>
    <row r="336" spans="1:6" ht="14.25" thickBot="1">
      <c r="A336" s="1839" t="s">
        <v>2215</v>
      </c>
      <c r="B336" s="1843" t="s">
        <v>2227</v>
      </c>
      <c r="C336" s="1844">
        <v>0.15</v>
      </c>
      <c r="D336" s="1844">
        <v>0.15</v>
      </c>
      <c r="E336" s="1844">
        <v>0.15</v>
      </c>
      <c r="F336" s="1845">
        <v>0.11799999999999999</v>
      </c>
    </row>
    <row r="337" spans="1:6" ht="14.25" thickBot="1">
      <c r="A337" s="1847" t="s">
        <v>2215</v>
      </c>
      <c r="B337" s="1854" t="s">
        <v>1283</v>
      </c>
      <c r="C337" s="1850"/>
      <c r="D337" s="1850"/>
      <c r="E337" s="1850"/>
      <c r="F337" s="1855">
        <v>0.14299999999999999</v>
      </c>
    </row>
    <row r="338" spans="1:6" ht="14.25" thickBot="1">
      <c r="A338" s="1839" t="s">
        <v>2228</v>
      </c>
      <c r="B338" s="1840" t="s">
        <v>2229</v>
      </c>
      <c r="C338" s="1841">
        <v>0.15</v>
      </c>
      <c r="D338" s="1841">
        <v>0.15</v>
      </c>
      <c r="E338" s="1841">
        <v>0.15</v>
      </c>
      <c r="F338" s="1863"/>
    </row>
    <row r="339" spans="1:6" ht="14.25" thickBot="1">
      <c r="A339" s="1839" t="s">
        <v>2228</v>
      </c>
      <c r="B339" s="1843" t="s">
        <v>2230</v>
      </c>
      <c r="C339" s="1844">
        <v>0.15</v>
      </c>
      <c r="D339" s="1844">
        <v>0.15</v>
      </c>
      <c r="E339" s="1844">
        <v>0.15</v>
      </c>
      <c r="F339" s="1852"/>
    </row>
    <row r="340" spans="1:6" ht="14.25" thickBot="1">
      <c r="A340" s="1839" t="s">
        <v>2228</v>
      </c>
      <c r="B340" s="1843" t="s">
        <v>2231</v>
      </c>
      <c r="C340" s="1844">
        <v>0.15</v>
      </c>
      <c r="D340" s="1844">
        <v>0.15</v>
      </c>
      <c r="E340" s="1844">
        <v>0.15</v>
      </c>
      <c r="F340" s="1852"/>
    </row>
    <row r="341" spans="1:6" ht="14.25" thickBot="1">
      <c r="A341" s="1839" t="s">
        <v>2232</v>
      </c>
      <c r="B341" s="1843" t="s">
        <v>2233</v>
      </c>
      <c r="C341" s="1844">
        <v>0.15</v>
      </c>
      <c r="D341" s="1844">
        <v>0.15</v>
      </c>
      <c r="E341" s="1844">
        <v>0.15</v>
      </c>
      <c r="F341" s="1845">
        <v>0.15</v>
      </c>
    </row>
    <row r="342" spans="1:6" ht="14.25" thickBot="1">
      <c r="A342" s="1839" t="s">
        <v>2228</v>
      </c>
      <c r="B342" s="1843" t="s">
        <v>2234</v>
      </c>
      <c r="C342" s="1844">
        <v>0.15</v>
      </c>
      <c r="D342" s="1844">
        <v>0.15</v>
      </c>
      <c r="E342" s="1844">
        <v>0.15</v>
      </c>
      <c r="F342" s="1845">
        <v>0.15</v>
      </c>
    </row>
    <row r="343" spans="1:6" ht="14.25" thickBot="1">
      <c r="A343" s="1839" t="s">
        <v>2228</v>
      </c>
      <c r="B343" s="1843" t="s">
        <v>2235</v>
      </c>
      <c r="C343" s="1844">
        <v>0.15</v>
      </c>
      <c r="D343" s="1844">
        <v>0.15</v>
      </c>
      <c r="E343" s="1844">
        <v>0.15</v>
      </c>
      <c r="F343" s="1845">
        <v>0.15</v>
      </c>
    </row>
    <row r="344" spans="1:6" ht="14.2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72" t="s">
        <v>2574</v>
      </c>
      <c r="C1" s="3472"/>
      <c r="D1" s="3472"/>
      <c r="E1" s="3472"/>
      <c r="F1" s="3472"/>
      <c r="G1" s="3471" t="s">
        <v>2575</v>
      </c>
      <c r="H1" s="3471"/>
      <c r="I1" s="3471"/>
      <c r="J1" s="3471"/>
      <c r="K1" s="3471"/>
      <c r="L1" s="3471"/>
      <c r="N1" s="3471" t="s">
        <v>2576</v>
      </c>
      <c r="O1" s="3471"/>
      <c r="P1" s="3471"/>
      <c r="Q1" s="3471"/>
      <c r="R1" s="2617"/>
      <c r="S1" s="3471" t="s">
        <v>2577</v>
      </c>
      <c r="T1" s="3471"/>
      <c r="U1" s="3471"/>
      <c r="V1" s="3471"/>
      <c r="X1" s="3470" t="s">
        <v>2637</v>
      </c>
      <c r="Y1" s="3471"/>
      <c r="Z1" s="3471"/>
      <c r="AA1" s="3471"/>
      <c r="AB1" s="3471"/>
      <c r="AD1" s="3470" t="s">
        <v>2641</v>
      </c>
      <c r="AE1" s="3471"/>
      <c r="AF1" s="3471"/>
      <c r="AG1" s="3471"/>
      <c r="AH1" s="3471"/>
    </row>
    <row r="2" spans="1:34" s="2718" customFormat="1" ht="14.25" thickBot="1">
      <c r="B2" s="2726" t="s">
        <v>2578</v>
      </c>
      <c r="C2" s="2726" t="s">
        <v>2639</v>
      </c>
      <c r="D2" s="2719" t="s">
        <v>1643</v>
      </c>
      <c r="E2" s="2719" t="s">
        <v>1948</v>
      </c>
      <c r="F2" s="2726" t="s">
        <v>2640</v>
      </c>
      <c r="G2" s="2722"/>
      <c r="H2" s="2721"/>
      <c r="I2" s="2726" t="s">
        <v>2946</v>
      </c>
      <c r="J2" s="2719" t="s">
        <v>2948</v>
      </c>
      <c r="K2" s="2719" t="s">
        <v>2949</v>
      </c>
      <c r="L2" s="2726" t="s">
        <v>2950</v>
      </c>
      <c r="N2" s="2726" t="s">
        <v>2578</v>
      </c>
      <c r="O2" s="2719" t="s">
        <v>2947</v>
      </c>
      <c r="P2" s="2719" t="s">
        <v>1948</v>
      </c>
      <c r="Q2" s="2726" t="s">
        <v>2640</v>
      </c>
      <c r="R2" s="2720"/>
      <c r="S2" s="2726" t="s">
        <v>2578</v>
      </c>
      <c r="T2" s="2719" t="s">
        <v>2947</v>
      </c>
      <c r="U2" s="2719" t="s">
        <v>1948</v>
      </c>
      <c r="V2" s="2726" t="s">
        <v>2640</v>
      </c>
      <c r="X2" s="2726" t="s">
        <v>2578</v>
      </c>
      <c r="Y2" s="2726" t="s">
        <v>2639</v>
      </c>
      <c r="Z2" s="2719" t="s">
        <v>1643</v>
      </c>
      <c r="AA2" s="2719" t="s">
        <v>1948</v>
      </c>
      <c r="AB2" s="2726" t="s">
        <v>2640</v>
      </c>
      <c r="AD2" s="2726" t="s">
        <v>2578</v>
      </c>
      <c r="AE2" s="2726" t="s">
        <v>2639</v>
      </c>
      <c r="AF2" s="2719" t="s">
        <v>1643</v>
      </c>
      <c r="AG2" s="2719" t="s">
        <v>1948</v>
      </c>
      <c r="AH2" s="2726" t="s">
        <v>2640</v>
      </c>
    </row>
    <row r="3" spans="1:34" s="3081" customFormat="1" ht="14.25">
      <c r="A3" s="3093" t="s">
        <v>2959</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1" customFormat="1" ht="14.25">
      <c r="B4" s="2712"/>
      <c r="C4" s="2712"/>
      <c r="D4" s="2713"/>
      <c r="E4" s="2713"/>
      <c r="F4" s="2712"/>
      <c r="G4" s="2717"/>
      <c r="H4" s="2714"/>
      <c r="I4" s="3077"/>
      <c r="J4" s="3077"/>
      <c r="K4" s="3077"/>
      <c r="L4" s="3077"/>
      <c r="N4" s="2717"/>
      <c r="O4" s="2715"/>
      <c r="P4" s="2715"/>
      <c r="Q4" s="2715"/>
      <c r="R4" s="2715"/>
      <c r="S4" s="2717"/>
      <c r="T4" s="2715"/>
      <c r="U4" s="2715"/>
      <c r="V4" s="2715"/>
      <c r="W4" s="3090"/>
      <c r="X4" s="2716"/>
      <c r="Y4" s="2716"/>
      <c r="Z4" s="2716"/>
      <c r="AA4" s="2716"/>
      <c r="AB4" s="2716"/>
      <c r="AD4" s="2636"/>
      <c r="AE4" s="2636"/>
      <c r="AF4" s="2636"/>
      <c r="AG4" s="2636"/>
      <c r="AH4" s="2636"/>
    </row>
    <row r="5" spans="1:34" s="3065" customFormat="1" ht="13.5" thickBot="1">
      <c r="A5" s="3063" t="s">
        <v>2982</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4">
        <v>2</v>
      </c>
      <c r="I5" s="3078">
        <v>0</v>
      </c>
      <c r="J5" s="3078">
        <v>0</v>
      </c>
      <c r="K5" s="3078">
        <v>0</v>
      </c>
      <c r="L5" s="3078">
        <v>0</v>
      </c>
      <c r="N5" s="2724">
        <f t="shared" ref="N5" si="7">I5/100</f>
        <v>0</v>
      </c>
      <c r="O5" s="2724">
        <f t="shared" ref="O5" si="8">J5/100</f>
        <v>0</v>
      </c>
      <c r="P5" s="2724">
        <f t="shared" ref="P5" si="9">K5/100</f>
        <v>0</v>
      </c>
      <c r="Q5" s="2724">
        <f t="shared" ref="Q5" si="10">L5/100</f>
        <v>0</v>
      </c>
      <c r="R5" s="3066"/>
      <c r="S5" s="3067"/>
      <c r="T5" s="3066"/>
      <c r="U5" s="3066"/>
      <c r="V5" s="3066"/>
      <c r="W5" s="3091" t="s">
        <v>2960</v>
      </c>
      <c r="X5" s="3068">
        <f>ROUND(IF(项目基本情况!B8="出让",SUMPRODUCT(PRODUCT(1+N5:N$26)),SUMPRODUCT(PRODUCT(1+N5:N$25))),4)</f>
        <v>1.5189999999999999</v>
      </c>
      <c r="Y5" s="3068">
        <f>ROUND(IF(项目基本情况!B8="出让",SUMPRODUCT(PRODUCT(1+O5:O$26)),SUMPRODUCT(PRODUCT(1+O5:O$25))),4)</f>
        <v>1.3423</v>
      </c>
      <c r="Z5" s="3068">
        <f t="shared" ref="Z5" si="11">Y5</f>
        <v>1.3423</v>
      </c>
      <c r="AA5" s="3068">
        <f>ROUND(IF(项目基本情况!B8="出让",SUMPRODUCT(PRODUCT(1+P5:P$26)),SUMPRODUCT(PRODUCT(1+P5:P$25))),4)</f>
        <v>1.5782</v>
      </c>
      <c r="AB5" s="3068">
        <f>ROUND(IF(项目基本情况!B8="出让",SUMPRODUCT(PRODUCT(1+Q5:Q$26)),SUMPRODUCT(PRODUCT(1+Q5:Q$25))),4)</f>
        <v>1.3405</v>
      </c>
      <c r="AD5" s="3069">
        <f>ROUND(AVERAGE(I5:I$26)/100,4)</f>
        <v>2.06E-2</v>
      </c>
      <c r="AE5" s="3069">
        <f>ROUND(AVERAGE(J5:J$26)/100,4)</f>
        <v>1.46E-2</v>
      </c>
      <c r="AF5" s="3069">
        <f t="shared" ref="AF5" si="12">AE5</f>
        <v>1.46E-2</v>
      </c>
      <c r="AG5" s="3069">
        <f>ROUND(AVERAGE(K5:K$26)/100,4)</f>
        <v>2.2599999999999999E-2</v>
      </c>
      <c r="AH5" s="3069">
        <f>ROUND(AVERAGE(L5:L$26)/100,4)</f>
        <v>1.4E-2</v>
      </c>
    </row>
    <row r="6" spans="1:34" s="2723" customFormat="1" ht="13.5" thickBot="1">
      <c r="A6" s="2618" t="s">
        <v>2983</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49">
        <v>0.6</v>
      </c>
      <c r="J6" s="3149">
        <v>0.37</v>
      </c>
      <c r="K6" s="3149">
        <v>0.63</v>
      </c>
      <c r="L6" s="3150">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2979</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74">
        <v>2018</v>
      </c>
      <c r="H7" s="2621">
        <v>4</v>
      </c>
      <c r="I7" s="3149">
        <v>0.96</v>
      </c>
      <c r="J7" s="3149">
        <v>1.03</v>
      </c>
      <c r="K7" s="3149">
        <v>0.92</v>
      </c>
      <c r="L7" s="3150">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5" customHeight="1">
      <c r="A8" s="2618" t="s">
        <v>2969</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74"/>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5" customHeight="1">
      <c r="A9" s="2618" t="s">
        <v>2970</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74"/>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2966</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80"/>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2957</v>
      </c>
      <c r="B11" s="3095">
        <v>439</v>
      </c>
      <c r="C11" s="3095">
        <v>327</v>
      </c>
      <c r="D11" s="3095">
        <f t="shared" si="54"/>
        <v>327</v>
      </c>
      <c r="E11" s="3095">
        <v>627</v>
      </c>
      <c r="F11" s="3096">
        <v>283</v>
      </c>
      <c r="G11" s="3479">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5" customHeight="1">
      <c r="A12" s="2618" t="s">
        <v>2961</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74"/>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5"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74"/>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80"/>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969</v>
      </c>
      <c r="B15" s="2623">
        <v>392</v>
      </c>
      <c r="C15" s="2623">
        <v>302</v>
      </c>
      <c r="D15" s="2623">
        <f t="shared" si="54"/>
        <v>302</v>
      </c>
      <c r="E15" s="2623">
        <v>553</v>
      </c>
      <c r="F15" s="2624">
        <v>266</v>
      </c>
      <c r="G15" s="3479">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968</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74"/>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958</v>
      </c>
      <c r="B17" s="2631">
        <f t="shared" si="75"/>
        <v>360.06949782209392</v>
      </c>
      <c r="C17" s="2631">
        <f t="shared" si="75"/>
        <v>289.84672674747821</v>
      </c>
      <c r="D17" s="2631">
        <f t="shared" si="76"/>
        <v>289.84672674747821</v>
      </c>
      <c r="E17" s="2631">
        <f t="shared" si="77"/>
        <v>501.06543001181495</v>
      </c>
      <c r="F17" s="2631">
        <f t="shared" si="77"/>
        <v>256.82882500744967</v>
      </c>
      <c r="G17" s="3474"/>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5" thickBot="1">
      <c r="A18" s="2618" t="s">
        <v>967</v>
      </c>
      <c r="B18" s="2631">
        <f t="shared" si="75"/>
        <v>346.720748986128</v>
      </c>
      <c r="C18" s="2631">
        <f t="shared" si="75"/>
        <v>284.30282172386285</v>
      </c>
      <c r="D18" s="2631">
        <f t="shared" si="76"/>
        <v>284.30282172386285</v>
      </c>
      <c r="E18" s="2631">
        <f t="shared" si="77"/>
        <v>479.58023546306947</v>
      </c>
      <c r="F18" s="2631">
        <f t="shared" si="77"/>
        <v>253.25788877571213</v>
      </c>
      <c r="G18" s="3475"/>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5" thickBot="1">
      <c r="A19" s="2618" t="s">
        <v>966</v>
      </c>
      <c r="B19" s="2623">
        <v>333</v>
      </c>
      <c r="C19" s="2623">
        <v>277</v>
      </c>
      <c r="D19" s="2623">
        <f t="shared" si="76"/>
        <v>277</v>
      </c>
      <c r="E19" s="2623">
        <v>459</v>
      </c>
      <c r="F19" s="2624">
        <v>249</v>
      </c>
      <c r="G19" s="3473">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965</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74"/>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964</v>
      </c>
      <c r="B21" s="2631">
        <f t="shared" si="79"/>
        <v>322.34053690220776</v>
      </c>
      <c r="C21" s="2631">
        <f t="shared" si="79"/>
        <v>271.46160770422546</v>
      </c>
      <c r="D21" s="2631">
        <f t="shared" si="76"/>
        <v>271.46160770422546</v>
      </c>
      <c r="E21" s="2631">
        <f t="shared" si="80"/>
        <v>442.69434542172456</v>
      </c>
      <c r="F21" s="2631">
        <f t="shared" si="80"/>
        <v>241.34030753190925</v>
      </c>
      <c r="G21" s="3474"/>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963</v>
      </c>
      <c r="B22" s="2631">
        <f t="shared" si="79"/>
        <v>319.87748030386797</v>
      </c>
      <c r="C22" s="2631">
        <f t="shared" si="79"/>
        <v>269.60135833173649</v>
      </c>
      <c r="D22" s="2631">
        <f t="shared" si="76"/>
        <v>269.60135833173649</v>
      </c>
      <c r="E22" s="2631">
        <f t="shared" si="80"/>
        <v>439.18089823583784</v>
      </c>
      <c r="F22" s="2631">
        <f t="shared" si="80"/>
        <v>239.23503918706311</v>
      </c>
      <c r="G22" s="3475"/>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5" thickBot="1">
      <c r="A23" s="2618" t="s">
        <v>962</v>
      </c>
      <c r="B23" s="2645">
        <v>318</v>
      </c>
      <c r="C23" s="2645">
        <v>268</v>
      </c>
      <c r="D23" s="2645">
        <f t="shared" si="76"/>
        <v>268</v>
      </c>
      <c r="E23" s="2645">
        <v>437</v>
      </c>
      <c r="F23" s="2646">
        <v>237</v>
      </c>
      <c r="G23" s="3473">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961</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74"/>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5" thickBot="1">
      <c r="A25" s="2618" t="s">
        <v>960</v>
      </c>
      <c r="B25" s="2631">
        <f t="shared" si="81"/>
        <v>314.72141172386546</v>
      </c>
      <c r="C25" s="2631">
        <f t="shared" si="81"/>
        <v>263.03901319069001</v>
      </c>
      <c r="D25" s="2631">
        <f t="shared" si="76"/>
        <v>263.03901319069001</v>
      </c>
      <c r="E25" s="2631">
        <f t="shared" si="82"/>
        <v>433.65745506782821</v>
      </c>
      <c r="F25" s="2631">
        <f t="shared" si="82"/>
        <v>233.23005080045735</v>
      </c>
      <c r="G25" s="3474"/>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5" thickBot="1">
      <c r="A26" s="2649" t="s">
        <v>959</v>
      </c>
      <c r="B26" s="2650">
        <f t="shared" si="81"/>
        <v>307.34512863658733</v>
      </c>
      <c r="C26" s="2650">
        <f t="shared" si="81"/>
        <v>257.80556031626975</v>
      </c>
      <c r="D26" s="2650">
        <f t="shared" si="76"/>
        <v>257.80556031626975</v>
      </c>
      <c r="E26" s="2650">
        <f t="shared" si="82"/>
        <v>422.70928459677179</v>
      </c>
      <c r="F26" s="2650">
        <f t="shared" si="82"/>
        <v>229.73803270336617</v>
      </c>
      <c r="G26" s="3475"/>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5" thickBot="1">
      <c r="A27" s="2618" t="s">
        <v>2581</v>
      </c>
      <c r="B27" s="2623">
        <v>299</v>
      </c>
      <c r="C27" s="2623">
        <v>252</v>
      </c>
      <c r="D27" s="2623">
        <f t="shared" si="76"/>
        <v>252</v>
      </c>
      <c r="E27" s="2623">
        <v>409</v>
      </c>
      <c r="F27" s="2624">
        <v>227</v>
      </c>
      <c r="G27" s="3476">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77"/>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77"/>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78"/>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5" thickBot="1">
      <c r="A31" s="2618" t="s">
        <v>2585</v>
      </c>
      <c r="B31" s="2661">
        <v>278</v>
      </c>
      <c r="C31" s="2661">
        <v>234</v>
      </c>
      <c r="D31" s="2661">
        <f t="shared" si="76"/>
        <v>234</v>
      </c>
      <c r="E31" s="2661">
        <v>379</v>
      </c>
      <c r="F31" s="2662">
        <v>220</v>
      </c>
      <c r="G31" s="3473">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74"/>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74"/>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5" thickBot="1">
      <c r="A34" s="2618" t="s">
        <v>2588</v>
      </c>
      <c r="B34" s="2631">
        <f>B33/(1+N33)</f>
        <v>275.19025476197027</v>
      </c>
      <c r="C34" s="2663">
        <v>232</v>
      </c>
      <c r="D34" s="2663">
        <f t="shared" si="76"/>
        <v>232</v>
      </c>
      <c r="E34" s="2631">
        <f t="shared" si="87"/>
        <v>375.65990977608692</v>
      </c>
      <c r="F34" s="2631">
        <f t="shared" si="87"/>
        <v>214.12518283971252</v>
      </c>
      <c r="G34" s="3475"/>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5" thickBot="1">
      <c r="A35" s="2618" t="s">
        <v>2589</v>
      </c>
      <c r="B35" s="2623">
        <v>275</v>
      </c>
      <c r="C35" s="2623">
        <v>232</v>
      </c>
      <c r="D35" s="2623">
        <f t="shared" si="76"/>
        <v>232</v>
      </c>
      <c r="E35" s="2623">
        <v>376</v>
      </c>
      <c r="F35" s="2624">
        <v>213</v>
      </c>
      <c r="G35" s="3473">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74">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74">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5"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75">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5" thickBot="1">
      <c r="A39" s="2618" t="s">
        <v>2593</v>
      </c>
      <c r="B39" s="2623">
        <v>269</v>
      </c>
      <c r="C39" s="2623">
        <v>221</v>
      </c>
      <c r="D39" s="2623">
        <f t="shared" si="76"/>
        <v>221</v>
      </c>
      <c r="E39" s="2623">
        <v>373</v>
      </c>
      <c r="F39" s="2624">
        <v>196</v>
      </c>
      <c r="G39" s="3473">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74">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74">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5"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75">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5" thickBot="1">
      <c r="A43" s="2618" t="s">
        <v>2597</v>
      </c>
      <c r="B43" s="2623">
        <v>220</v>
      </c>
      <c r="C43" s="2623">
        <v>187</v>
      </c>
      <c r="D43" s="2623">
        <f t="shared" si="76"/>
        <v>187</v>
      </c>
      <c r="E43" s="2623">
        <v>301</v>
      </c>
      <c r="F43" s="2624">
        <v>168</v>
      </c>
      <c r="G43" s="3473">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74">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74">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75">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5" thickBot="1">
      <c r="A47" s="2618" t="s">
        <v>2601</v>
      </c>
      <c r="B47" s="2661">
        <v>214</v>
      </c>
      <c r="C47" s="2661">
        <v>188</v>
      </c>
      <c r="D47" s="2661">
        <f t="shared" si="76"/>
        <v>188</v>
      </c>
      <c r="E47" s="2661">
        <v>289</v>
      </c>
      <c r="F47" s="2662">
        <v>166</v>
      </c>
      <c r="G47" s="3473">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74">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74">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5"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75">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5" thickBot="1">
      <c r="A51" s="2618" t="s">
        <v>2605</v>
      </c>
      <c r="B51" s="2623">
        <v>188</v>
      </c>
      <c r="C51" s="2623">
        <v>165</v>
      </c>
      <c r="D51" s="2623">
        <f t="shared" si="76"/>
        <v>165</v>
      </c>
      <c r="E51" s="2623">
        <v>254</v>
      </c>
      <c r="F51" s="2624">
        <v>148</v>
      </c>
      <c r="G51" s="3473">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74">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74">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75">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5" thickBot="1">
      <c r="A55" s="2618" t="s">
        <v>2609</v>
      </c>
      <c r="B55" s="2645">
        <v>159</v>
      </c>
      <c r="C55" s="2645">
        <v>141</v>
      </c>
      <c r="D55" s="2645">
        <f t="shared" si="76"/>
        <v>141</v>
      </c>
      <c r="E55" s="2645">
        <v>195</v>
      </c>
      <c r="F55" s="2646">
        <v>122</v>
      </c>
      <c r="G55" s="3473">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74">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74">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75">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5" thickBot="1">
      <c r="A59" s="2618" t="s">
        <v>2613</v>
      </c>
      <c r="B59" s="2645">
        <v>138</v>
      </c>
      <c r="C59" s="2645">
        <v>131</v>
      </c>
      <c r="D59" s="2645">
        <f t="shared" si="76"/>
        <v>131</v>
      </c>
      <c r="E59" s="2645">
        <v>155</v>
      </c>
      <c r="F59" s="2646">
        <v>114</v>
      </c>
      <c r="G59" s="3473">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74">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74">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75">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5" thickBot="1">
      <c r="A63" s="2618" t="s">
        <v>2617</v>
      </c>
      <c r="B63" s="2661">
        <v>121</v>
      </c>
      <c r="C63" s="2661">
        <v>122</v>
      </c>
      <c r="D63" s="2661">
        <f t="shared" si="76"/>
        <v>122</v>
      </c>
      <c r="E63" s="2661">
        <v>124</v>
      </c>
      <c r="F63" s="2662">
        <v>107</v>
      </c>
      <c r="G63" s="3473">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74">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74">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5"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75">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5" thickBot="1">
      <c r="A67" s="2618" t="s">
        <v>2621</v>
      </c>
      <c r="B67" s="2682">
        <v>111</v>
      </c>
      <c r="C67" s="2682">
        <v>114</v>
      </c>
      <c r="D67" s="2682">
        <f t="shared" si="76"/>
        <v>114</v>
      </c>
      <c r="E67" s="2682">
        <v>108</v>
      </c>
      <c r="F67" s="2683">
        <v>104</v>
      </c>
      <c r="G67" s="3473">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74">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74">
        <v>2003</v>
      </c>
      <c r="H69" s="2622">
        <v>2</v>
      </c>
      <c r="I69" s="2684"/>
      <c r="J69" s="2684"/>
      <c r="K69" s="2684"/>
      <c r="L69" s="2684"/>
      <c r="X69" s="2676"/>
      <c r="Y69" s="2676"/>
      <c r="Z69" s="2676"/>
    </row>
    <row r="70" spans="1:26" ht="13.5" thickBot="1">
      <c r="A70" s="2618" t="s">
        <v>2624</v>
      </c>
      <c r="B70" s="2686">
        <f t="shared" si="112"/>
        <v>107.25</v>
      </c>
      <c r="C70" s="2686">
        <f t="shared" si="112"/>
        <v>108.75</v>
      </c>
      <c r="D70" s="2686">
        <f t="shared" si="76"/>
        <v>108.75</v>
      </c>
      <c r="E70" s="2686">
        <f t="shared" si="113"/>
        <v>105.75</v>
      </c>
      <c r="F70" s="2686">
        <f t="shared" si="113"/>
        <v>102.5</v>
      </c>
      <c r="G70" s="3475">
        <v>2003</v>
      </c>
      <c r="H70" s="2687">
        <v>1</v>
      </c>
      <c r="I70" s="2684"/>
      <c r="J70" s="2684"/>
      <c r="K70" s="2684"/>
      <c r="L70" s="2684"/>
      <c r="S70" s="2626"/>
      <c r="T70" s="2627"/>
      <c r="U70" s="2627"/>
      <c r="X70" s="2676"/>
      <c r="Y70" s="2676"/>
      <c r="Z70" s="2676"/>
    </row>
    <row r="71" spans="1:26" ht="13.5" thickBot="1">
      <c r="A71" s="2618" t="s">
        <v>2625</v>
      </c>
      <c r="B71" s="2688">
        <v>106</v>
      </c>
      <c r="C71" s="2688">
        <v>107</v>
      </c>
      <c r="D71" s="2688">
        <f t="shared" si="76"/>
        <v>107</v>
      </c>
      <c r="E71" s="2688">
        <v>105</v>
      </c>
      <c r="F71" s="2689">
        <v>102</v>
      </c>
      <c r="G71" s="3473">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74">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74">
        <v>2002</v>
      </c>
      <c r="H73" s="2622">
        <v>2</v>
      </c>
      <c r="I73" s="2684"/>
      <c r="J73" s="2684"/>
      <c r="K73" s="2684"/>
      <c r="L73" s="2684"/>
      <c r="X73" s="2676"/>
      <c r="Y73" s="2676"/>
      <c r="Z73" s="2676"/>
    </row>
    <row r="74" spans="1:26" s="2653" customFormat="1" ht="13.5" thickBot="1">
      <c r="A74" s="2649" t="s">
        <v>2628</v>
      </c>
      <c r="B74" s="2690">
        <f t="shared" si="114"/>
        <v>103</v>
      </c>
      <c r="C74" s="2690">
        <f t="shared" si="114"/>
        <v>104</v>
      </c>
      <c r="D74" s="2690">
        <f t="shared" si="76"/>
        <v>104</v>
      </c>
      <c r="E74" s="2690">
        <f t="shared" si="115"/>
        <v>103.5</v>
      </c>
      <c r="F74" s="2690">
        <f t="shared" si="115"/>
        <v>100.5</v>
      </c>
      <c r="G74" s="3475">
        <v>2002</v>
      </c>
      <c r="H74" s="2691">
        <v>1</v>
      </c>
      <c r="I74" s="2692"/>
      <c r="J74" s="2692"/>
      <c r="K74" s="2692"/>
      <c r="L74" s="2692"/>
      <c r="N74" s="2693"/>
      <c r="S74" s="2693"/>
      <c r="X74" s="2694"/>
      <c r="Y74" s="2694"/>
      <c r="Z74" s="2694"/>
    </row>
    <row r="75" spans="1:26" ht="13.5"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5"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5"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2939</v>
      </c>
      <c r="B1" s="3055"/>
      <c r="C1" s="3055"/>
      <c r="D1" s="3055"/>
      <c r="E1" s="3055"/>
      <c r="F1" s="3055"/>
    </row>
    <row r="2" spans="1:6" ht="14.25">
      <c r="A2" s="3056" t="s">
        <v>2934</v>
      </c>
      <c r="B2" s="3057" t="e">
        <f ca="1">SUMIF(B7:B14,"&lt;&gt;#ref!",B7:B14)</f>
        <v>#DIV/0!</v>
      </c>
      <c r="C2" s="3056" t="s">
        <v>2935</v>
      </c>
      <c r="D2" s="3055"/>
      <c r="E2" s="3055"/>
      <c r="F2" s="3055"/>
    </row>
    <row r="3" spans="1:6" ht="14.25">
      <c r="A3" s="3056" t="s">
        <v>2967</v>
      </c>
      <c r="B3" s="3057" t="e">
        <f ca="1">ROUND(B2*10000/E3,0)</f>
        <v>#DIV/0!</v>
      </c>
      <c r="C3" s="3056" t="s">
        <v>2077</v>
      </c>
      <c r="D3" s="3056" t="s">
        <v>2936</v>
      </c>
      <c r="E3" s="3057">
        <f ca="1">SUMIF(E7:E14,"&lt;&gt;#ref!",E7:E14)</f>
        <v>0</v>
      </c>
      <c r="F3" s="3055"/>
    </row>
    <row r="4" spans="1:6" ht="14.25">
      <c r="A4" s="3056" t="s">
        <v>2943</v>
      </c>
      <c r="B4" s="3057" t="e">
        <f ca="1">ROUND(B2*10000/E4,0)</f>
        <v>#DIV/0!</v>
      </c>
      <c r="C4" s="3056" t="s">
        <v>2077</v>
      </c>
      <c r="D4" s="3056" t="s">
        <v>2944</v>
      </c>
      <c r="E4" s="3057">
        <f ca="1">SUMIF(F7:F14,"&lt;&gt;#ref!",F7:F14)</f>
        <v>0</v>
      </c>
      <c r="F4" s="3055"/>
    </row>
    <row r="5" spans="1:6" ht="14.25">
      <c r="A5" s="3058"/>
      <c r="B5" s="1865"/>
      <c r="C5" s="1865"/>
      <c r="D5" s="1865"/>
      <c r="E5" s="1865"/>
      <c r="F5" s="3055"/>
    </row>
    <row r="6" spans="1:6" ht="28.5">
      <c r="A6" s="3059" t="s">
        <v>2940</v>
      </c>
      <c r="B6" s="3056" t="s">
        <v>2937</v>
      </c>
      <c r="C6" s="3057"/>
      <c r="D6" s="1865"/>
      <c r="E6" s="3056" t="s">
        <v>2938</v>
      </c>
      <c r="F6" s="3056" t="s">
        <v>2942</v>
      </c>
    </row>
    <row r="7" spans="1:6" ht="14.25">
      <c r="A7" s="260" t="s">
        <v>2941</v>
      </c>
      <c r="B7" s="3060" t="e">
        <f ca="1">SUMIF(INDIRECT("'"&amp;A7&amp;"'"&amp;"!A:A"),"总价",INDIRECT("'"&amp;A7&amp;"'"&amp;"!B:B"))</f>
        <v>#DIV/0!</v>
      </c>
      <c r="C7" s="3056" t="s">
        <v>2935</v>
      </c>
      <c r="D7" s="1865"/>
      <c r="E7" s="3061">
        <f ca="1">SUMIF(INDIRECT("'"&amp;A7&amp;"'"&amp;"!C:C"),"建筑面积",INDIRECT("'"&amp;A7&amp;"'"&amp;"!D:D"))</f>
        <v>0</v>
      </c>
      <c r="F7" s="3061">
        <f ca="1">SUMIF(INDIRECT("'"&amp;A7&amp;"'"&amp;"!E:E"),"土地面积",INDIRECT("'"&amp;A7&amp;"'"&amp;"!F:F"))</f>
        <v>0</v>
      </c>
    </row>
    <row r="8" spans="1:6" ht="14.25">
      <c r="A8" s="260"/>
      <c r="B8" s="3060" t="e">
        <f t="shared" ref="B8:B14" ca="1" si="0">SUMIF(INDIRECT("'"&amp;A8&amp;"'"&amp;"!A:A"),"总价",INDIRECT("'"&amp;A8&amp;"'"&amp;"!B:B"))</f>
        <v>#REF!</v>
      </c>
      <c r="C8" s="3056" t="s">
        <v>2935</v>
      </c>
      <c r="D8" s="1865"/>
      <c r="E8" s="3061" t="e">
        <f t="shared" ref="E8:E14" ca="1" si="1">SUMIF(INDIRECT("'"&amp;A8&amp;"'"&amp;"!C:C"),"建筑面积",INDIRECT("'"&amp;A8&amp;"'"&amp;"!D:D"))</f>
        <v>#REF!</v>
      </c>
      <c r="F8" s="3061" t="e">
        <f t="shared" ref="F8:F14" ca="1" si="2">SUMIF(INDIRECT("'"&amp;A8&amp;"'"&amp;"!E:E"),"土地面积",INDIRECT("'"&amp;A8&amp;"'"&amp;"!F:F"))</f>
        <v>#REF!</v>
      </c>
    </row>
    <row r="9" spans="1:6" ht="14.25">
      <c r="A9" s="260"/>
      <c r="B9" s="3060" t="e">
        <f t="shared" ca="1" si="0"/>
        <v>#REF!</v>
      </c>
      <c r="C9" s="3056" t="s">
        <v>2935</v>
      </c>
      <c r="D9" s="1865"/>
      <c r="E9" s="3061" t="e">
        <f t="shared" ca="1" si="1"/>
        <v>#REF!</v>
      </c>
      <c r="F9" s="3061" t="e">
        <f t="shared" ca="1" si="2"/>
        <v>#REF!</v>
      </c>
    </row>
    <row r="10" spans="1:6" ht="14.25">
      <c r="A10" s="260"/>
      <c r="B10" s="3060" t="e">
        <f t="shared" ca="1" si="0"/>
        <v>#REF!</v>
      </c>
      <c r="C10" s="3056" t="s">
        <v>2935</v>
      </c>
      <c r="D10" s="1865"/>
      <c r="E10" s="3061" t="e">
        <f t="shared" ca="1" si="1"/>
        <v>#REF!</v>
      </c>
      <c r="F10" s="3061" t="e">
        <f t="shared" ca="1" si="2"/>
        <v>#REF!</v>
      </c>
    </row>
    <row r="11" spans="1:6" ht="14.25">
      <c r="A11" s="260"/>
      <c r="B11" s="3060" t="e">
        <f t="shared" ca="1" si="0"/>
        <v>#REF!</v>
      </c>
      <c r="C11" s="3056" t="s">
        <v>2935</v>
      </c>
      <c r="D11" s="1865"/>
      <c r="E11" s="3061" t="e">
        <f t="shared" ca="1" si="1"/>
        <v>#REF!</v>
      </c>
      <c r="F11" s="3061" t="e">
        <f t="shared" ca="1" si="2"/>
        <v>#REF!</v>
      </c>
    </row>
    <row r="12" spans="1:6" ht="14.25">
      <c r="A12" s="260"/>
      <c r="B12" s="3060" t="e">
        <f t="shared" ca="1" si="0"/>
        <v>#REF!</v>
      </c>
      <c r="C12" s="3056" t="s">
        <v>2935</v>
      </c>
      <c r="D12" s="1865"/>
      <c r="E12" s="3061" t="e">
        <f t="shared" ca="1" si="1"/>
        <v>#REF!</v>
      </c>
      <c r="F12" s="3061" t="e">
        <f t="shared" ca="1" si="2"/>
        <v>#REF!</v>
      </c>
    </row>
    <row r="13" spans="1:6" ht="14.25">
      <c r="A13" s="260"/>
      <c r="B13" s="3060" t="e">
        <f t="shared" ca="1" si="0"/>
        <v>#REF!</v>
      </c>
      <c r="C13" s="3056" t="s">
        <v>2935</v>
      </c>
      <c r="D13" s="1865"/>
      <c r="E13" s="3061" t="e">
        <f t="shared" ca="1" si="1"/>
        <v>#REF!</v>
      </c>
      <c r="F13" s="3061" t="e">
        <f t="shared" ca="1" si="2"/>
        <v>#REF!</v>
      </c>
    </row>
    <row r="14" spans="1:6" ht="14.25">
      <c r="A14" s="3054"/>
      <c r="B14" s="3060" t="e">
        <f t="shared" ca="1" si="0"/>
        <v>#REF!</v>
      </c>
      <c r="C14" s="3056" t="s">
        <v>2935</v>
      </c>
      <c r="D14" s="1865"/>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72" t="s">
        <v>627</v>
      </c>
      <c r="B1" s="738"/>
      <c r="C1" s="773"/>
      <c r="D1" s="2034"/>
      <c r="E1" s="2350" t="s">
        <v>2373</v>
      </c>
      <c r="F1" s="2351">
        <f ca="1">J54</f>
        <v>-3</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628</v>
      </c>
      <c r="B2" s="775">
        <f ca="1">IF(ISERROR(C45+J31),0,C45+J31)</f>
        <v>0</v>
      </c>
      <c r="C2" s="1345"/>
      <c r="D2" s="2039"/>
      <c r="E2" s="2040"/>
      <c r="F2" s="2040"/>
      <c r="G2" s="1575"/>
      <c r="H2" s="1357"/>
      <c r="I2" s="2041"/>
      <c r="J2" s="2041"/>
      <c r="K2" s="2042"/>
      <c r="L2" s="2041"/>
      <c r="M2" s="2041"/>
    </row>
    <row r="3" spans="1:25" ht="18" customHeight="1">
      <c r="A3" s="1629" t="s">
        <v>1685</v>
      </c>
      <c r="B3" s="1386">
        <f ca="1">ROUND(B2*10000/'数据-汇总表'!E3,0)</f>
        <v>0</v>
      </c>
      <c r="C3" s="1345"/>
      <c r="D3" s="2039"/>
      <c r="E3" s="2040"/>
      <c r="F3" s="2040"/>
      <c r="G3" s="1575"/>
      <c r="H3" s="776" t="s">
        <v>694</v>
      </c>
      <c r="I3" s="2041"/>
      <c r="J3" s="2041"/>
      <c r="K3" s="2042"/>
      <c r="L3" s="2041"/>
      <c r="M3" s="2041"/>
    </row>
    <row r="4" spans="1:25" ht="18" customHeight="1">
      <c r="A4" s="1630" t="s">
        <v>695</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696</v>
      </c>
      <c r="D5" s="2039"/>
      <c r="E5" s="2040"/>
      <c r="F5" s="2040"/>
      <c r="G5" s="1575"/>
      <c r="H5" s="776"/>
      <c r="I5" s="2041"/>
      <c r="J5" s="2041"/>
      <c r="K5" s="2042"/>
      <c r="L5" s="2041"/>
      <c r="M5" s="2041"/>
    </row>
    <row r="6" spans="1:25" ht="18" customHeight="1">
      <c r="A6" s="1812" t="s">
        <v>697</v>
      </c>
      <c r="B6" s="1804" t="s">
        <v>698</v>
      </c>
      <c r="C6" s="1804" t="s">
        <v>631</v>
      </c>
      <c r="D6" s="1804" t="s">
        <v>632</v>
      </c>
      <c r="E6" s="779" t="s">
        <v>633</v>
      </c>
      <c r="F6" s="780"/>
      <c r="G6" s="1577"/>
      <c r="H6" s="1812" t="s">
        <v>629</v>
      </c>
      <c r="I6" s="1804" t="s">
        <v>630</v>
      </c>
      <c r="J6" s="1804" t="s">
        <v>631</v>
      </c>
      <c r="K6" s="1804" t="s">
        <v>632</v>
      </c>
      <c r="L6" s="779" t="s">
        <v>633</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1823</v>
      </c>
      <c r="B8" s="3482" t="s">
        <v>2461</v>
      </c>
      <c r="C8" s="1809">
        <f ca="1">ROUND(F8*F10*F9*(1-F11)/10000,0)</f>
        <v>0</v>
      </c>
      <c r="D8" s="1806" t="s">
        <v>2532</v>
      </c>
      <c r="E8" s="61" t="s">
        <v>636</v>
      </c>
      <c r="F8" s="785">
        <f ca="1">INDIRECT("'数据-取费表'!u"&amp;$G$1)</f>
        <v>0</v>
      </c>
      <c r="G8" s="1577"/>
      <c r="H8" s="2467" t="s">
        <v>1823</v>
      </c>
      <c r="I8" s="3482" t="s">
        <v>2461</v>
      </c>
      <c r="J8" s="783">
        <f ca="1">ROUND(M8*M10*M9*(1-M11)/10000,0)</f>
        <v>0</v>
      </c>
      <c r="K8" s="341" t="s">
        <v>2532</v>
      </c>
      <c r="L8" s="784" t="s">
        <v>1737</v>
      </c>
      <c r="M8" s="785">
        <f ca="1">INDIRECT("'数据-取费表'!z"&amp;$G$1)</f>
        <v>0</v>
      </c>
    </row>
    <row r="9" spans="1:25" ht="18" customHeight="1">
      <c r="A9" s="2463"/>
      <c r="B9" s="3483"/>
      <c r="C9" s="1810"/>
      <c r="D9" s="1807"/>
      <c r="E9" s="61" t="s">
        <v>637</v>
      </c>
      <c r="F9" s="785">
        <f ca="1">IF(INDIRECT("'数据-取费表'!ah"&amp;$G$1)="",INDIRECT("'数据-取费表'!k"&amp;$G$1),INDIRECT("'数据-取费表'!ah"&amp;$G$1))</f>
        <v>0</v>
      </c>
      <c r="G9" s="1577"/>
      <c r="H9" s="2452"/>
      <c r="I9" s="3483"/>
      <c r="J9" s="788"/>
      <c r="K9" s="789"/>
      <c r="L9" s="784" t="s">
        <v>1738</v>
      </c>
      <c r="M9" s="785">
        <f ca="1">F9</f>
        <v>0</v>
      </c>
    </row>
    <row r="10" spans="1:25" ht="18" customHeight="1">
      <c r="A10" s="2456"/>
      <c r="B10" s="3484"/>
      <c r="C10" s="1810"/>
      <c r="D10" s="1807"/>
      <c r="E10" s="61" t="s">
        <v>638</v>
      </c>
      <c r="F10" s="785">
        <f ca="1">INDIRECT("'数据-取费表'!ai"&amp;$G$1)</f>
        <v>0</v>
      </c>
      <c r="G10" s="1577"/>
      <c r="H10" s="2452"/>
      <c r="I10" s="3484"/>
      <c r="J10" s="788"/>
      <c r="K10" s="789"/>
      <c r="L10" s="784" t="s">
        <v>1739</v>
      </c>
      <c r="M10" s="785">
        <f ca="1">INDIRECT("'数据-取费表'!ai"&amp;$G$1)</f>
        <v>0</v>
      </c>
    </row>
    <row r="11" spans="1:25" ht="18" customHeight="1">
      <c r="A11" s="786"/>
      <c r="B11" s="3485"/>
      <c r="C11" s="1810"/>
      <c r="D11" s="1807"/>
      <c r="E11" s="61" t="s">
        <v>639</v>
      </c>
      <c r="F11" s="794">
        <f ca="1">INDIRECT("'数据-取费表'!w"&amp;$G$1)</f>
        <v>0</v>
      </c>
      <c r="G11" s="1577"/>
      <c r="H11" s="2468"/>
      <c r="I11" s="3484"/>
      <c r="J11" s="788"/>
      <c r="K11" s="789"/>
      <c r="L11" s="795" t="s">
        <v>1740</v>
      </c>
      <c r="M11" s="796">
        <f ca="1">INDIRECT("'数据-取费表'!ab"&amp;$G$1)</f>
        <v>0</v>
      </c>
    </row>
    <row r="12" spans="1:25" ht="18" customHeight="1">
      <c r="A12" s="1814" t="s">
        <v>1824</v>
      </c>
      <c r="B12" s="2457" t="s">
        <v>2457</v>
      </c>
      <c r="C12" s="799">
        <f ca="1">ROUND(IF(F12="押一",C8/12*F13,IF(F12="押二",C8/12*2*F13,IF(F12="押三",C8/12*3*F13,C13*F13))),0)</f>
        <v>0</v>
      </c>
      <c r="D12" s="2464" t="s">
        <v>2964</v>
      </c>
      <c r="E12" s="2461" t="s">
        <v>2462</v>
      </c>
      <c r="F12" s="2584"/>
      <c r="G12" s="1577"/>
      <c r="H12" s="2524" t="s">
        <v>1824</v>
      </c>
      <c r="I12" s="2529" t="s">
        <v>2457</v>
      </c>
      <c r="J12" s="783">
        <f ca="1">ROUND(IF(M12="押一",J8/12*M13,IF(M12="押二",J8/12*2*M13,IF(M12="押三",J8/12*3*M13,J13*M13))),0)</f>
        <v>0</v>
      </c>
      <c r="K12" s="2464" t="s">
        <v>2964</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7"/>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7"/>
      <c r="H16" s="803" t="s">
        <v>2068</v>
      </c>
      <c r="I16" s="2215" t="s">
        <v>2823</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0.04</v>
      </c>
      <c r="G17" s="1578"/>
      <c r="H17" s="803" t="s">
        <v>2069</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7"/>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150</v>
      </c>
      <c r="G19" s="1578"/>
      <c r="H19" s="803" t="s">
        <v>2068</v>
      </c>
      <c r="I19" s="784" t="s">
        <v>655</v>
      </c>
      <c r="J19" s="53">
        <f ca="1">ROUND(IF(项目基本情况!B11="自然人",J7*M19,J20+J21+J22),0)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8"/>
      <c r="H20" s="803" t="s">
        <v>1830</v>
      </c>
      <c r="I20" s="784" t="s">
        <v>659</v>
      </c>
      <c r="J20" s="53">
        <f ca="1">ROUND(J7*M20/1.05,1)</f>
        <v>0</v>
      </c>
      <c r="K20" s="1961" t="s">
        <v>660</v>
      </c>
      <c r="L20" s="784" t="s">
        <v>648</v>
      </c>
      <c r="M20" s="809">
        <f>'数据-取费表'!B41</f>
        <v>5.6000000000000001E-2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7"/>
      <c r="H21" s="1814" t="s">
        <v>1848</v>
      </c>
      <c r="I21" s="784" t="s">
        <v>663</v>
      </c>
      <c r="J21" s="53">
        <f ca="1">IF(K21="按租金收入计税",ROUND(J7*M21,1),ROUND(C31*F35*0.7,1))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0.02</v>
      </c>
      <c r="G22" s="1578"/>
      <c r="H22" s="1816" t="s">
        <v>1849</v>
      </c>
      <c r="I22" s="1806" t="s">
        <v>667</v>
      </c>
      <c r="J22" s="54">
        <f ca="1">ROUND(M22*M23/10000,0)</f>
        <v>0</v>
      </c>
      <c r="K22" s="814" t="s">
        <v>668</v>
      </c>
      <c r="L22" s="784" t="s">
        <v>669</v>
      </c>
      <c r="M22" s="640">
        <f>'数据-取费表'!B52</f>
        <v>16</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0.02</v>
      </c>
      <c r="G23" s="1578"/>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7"/>
      <c r="H24" s="1815" t="s">
        <v>2069</v>
      </c>
      <c r="I24" s="784" t="s">
        <v>675</v>
      </c>
      <c r="J24" s="53">
        <f ca="1">ROUND(J16*M24,0)</f>
        <v>0</v>
      </c>
      <c r="K24" s="1961" t="s">
        <v>676</v>
      </c>
      <c r="L24" s="784" t="s">
        <v>648</v>
      </c>
      <c r="M24" s="817">
        <f ca="1">INDIRECT("'数据-取费表'!Ak"&amp;$G$1)</f>
        <v>0</v>
      </c>
    </row>
    <row r="25" spans="1:25" s="2048" customFormat="1" ht="18" customHeight="1">
      <c r="A25" s="803" t="s">
        <v>1874</v>
      </c>
      <c r="B25" s="784" t="s">
        <v>2436</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3</v>
      </c>
      <c r="G25" s="1578"/>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1.4E-3</v>
      </c>
      <c r="D26" s="2534" t="str">
        <f>IF(F25&lt;=1,"销售费用×利率×(建设周期÷2)","销售费用×((1+利率)^(建设周期÷2)-1)")</f>
        <v>销售费用×((1+利率)^(建设周期÷2)-1)</v>
      </c>
      <c r="E26" s="784" t="s">
        <v>681</v>
      </c>
      <c r="F26" s="819">
        <f ca="1">'数据-取费表'!B40</f>
        <v>4.7500000000000001E-2</v>
      </c>
      <c r="G26" s="1578"/>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7"/>
      <c r="H27" s="797" t="s">
        <v>1827</v>
      </c>
      <c r="I27" s="2962" t="s">
        <v>2820</v>
      </c>
      <c r="J27" s="799">
        <f ca="1">J7-J18</f>
        <v>0</v>
      </c>
      <c r="K27" s="1963" t="s">
        <v>699</v>
      </c>
      <c r="L27" s="1965"/>
      <c r="M27" s="820"/>
    </row>
    <row r="28" spans="1:25" ht="18" customHeight="1">
      <c r="A28" s="803" t="s">
        <v>1874</v>
      </c>
      <c r="B28" s="784" t="s">
        <v>2437</v>
      </c>
      <c r="C28" s="53">
        <f ca="1">ROUND((C21+C22)*F28,0)</f>
        <v>0</v>
      </c>
      <c r="D28" s="812" t="s">
        <v>700</v>
      </c>
      <c r="E28" s="795" t="s">
        <v>701</v>
      </c>
      <c r="F28" s="794">
        <f ca="1">INDIRECT("'数据-取费表'!q"&amp;$G$1)</f>
        <v>0</v>
      </c>
      <c r="G28" s="1577"/>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7"/>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5.33E-2</v>
      </c>
      <c r="D30" s="812" t="s">
        <v>708</v>
      </c>
      <c r="E30" s="784" t="s">
        <v>648</v>
      </c>
      <c r="F30" s="809">
        <f>'数据-取费表'!B41</f>
        <v>5.6000000000000001E-2</v>
      </c>
      <c r="G30" s="1578"/>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2821</v>
      </c>
      <c r="C31" s="2507">
        <f ca="1">ROUND((C21+C22+C25+C28)/(1-F23-C26-C29-C30),0)</f>
        <v>0</v>
      </c>
      <c r="D31" s="2508"/>
      <c r="E31" s="2509"/>
      <c r="F31" s="2510"/>
      <c r="G31" s="1578"/>
      <c r="H31" s="823" t="s">
        <v>1871</v>
      </c>
      <c r="I31" s="2963" t="s">
        <v>2822</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ROUND(IF(项目基本情况!B11="自然人",C7*F33,C34+C35+C36),1)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ROUND(C7*F34/1.05,1)</f>
        <v>0</v>
      </c>
      <c r="D34" s="1961" t="s">
        <v>660</v>
      </c>
      <c r="E34" s="784" t="s">
        <v>648</v>
      </c>
      <c r="F34" s="809">
        <f>'数据-取费表'!B41</f>
        <v>5.6000000000000001E-2</v>
      </c>
      <c r="G34" s="2046"/>
      <c r="H34" s="2055"/>
      <c r="I34" s="2056"/>
      <c r="J34" s="2057"/>
      <c r="K34" s="2058"/>
      <c r="L34" s="2059"/>
      <c r="M34" s="2060"/>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16</v>
      </c>
      <c r="G36" s="2046"/>
      <c r="H36" s="2049"/>
      <c r="I36" s="3481"/>
      <c r="J36" s="2063"/>
      <c r="K36" s="2064"/>
      <c r="L36" s="2063"/>
      <c r="M36" s="2063"/>
    </row>
    <row r="37" spans="1:18" ht="18" customHeight="1">
      <c r="A37" s="815"/>
      <c r="B37" s="793"/>
      <c r="C37" s="69"/>
      <c r="D37" s="816"/>
      <c r="E37" s="784" t="s">
        <v>673</v>
      </c>
      <c r="F37" s="785">
        <f ca="1">INDIRECT("'数据-取费表'!r"&amp;$G$1)</f>
        <v>0</v>
      </c>
      <c r="G37" s="2046"/>
      <c r="H37" s="2049"/>
      <c r="I37" s="3481"/>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7"/>
      <c r="D41" s="1348"/>
      <c r="E41" s="1348"/>
      <c r="F41" s="1349"/>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0" t="s">
        <v>711</v>
      </c>
      <c r="E43" s="3072" t="s">
        <v>2952</v>
      </c>
      <c r="F43" s="3073">
        <f ca="1">INDIRECT("'数据-取费表'!j"&amp;$G$1)</f>
        <v>0</v>
      </c>
      <c r="G43" s="2046"/>
      <c r="H43" s="2046"/>
      <c r="I43" s="2046"/>
      <c r="J43" s="2046"/>
      <c r="K43" s="2067"/>
      <c r="L43" s="2046"/>
      <c r="M43" s="2046"/>
    </row>
    <row r="44" spans="1:18" ht="18" customHeight="1">
      <c r="A44" s="803" t="s">
        <v>1877</v>
      </c>
      <c r="B44" s="835" t="s">
        <v>712</v>
      </c>
      <c r="C44" s="1351">
        <f ca="1">C42-C43</f>
        <v>0</v>
      </c>
      <c r="D44" s="463" t="s">
        <v>713</v>
      </c>
      <c r="E44" s="464"/>
      <c r="F44" s="465"/>
      <c r="G44" s="2046"/>
      <c r="H44" s="2046"/>
      <c r="I44" s="2046"/>
      <c r="J44" s="2046"/>
      <c r="K44" s="2067"/>
      <c r="L44" s="2046"/>
      <c r="M44" s="2046"/>
    </row>
    <row r="45" spans="1:18" ht="18" customHeight="1">
      <c r="A45" s="803" t="s">
        <v>1878</v>
      </c>
      <c r="B45" s="1350" t="s">
        <v>714</v>
      </c>
      <c r="C45" s="2989">
        <f ca="1">ROUND(-PV(F45,F46,C44,0),0)</f>
        <v>0</v>
      </c>
      <c r="D45" s="1352" t="s">
        <v>715</v>
      </c>
      <c r="E45" s="806" t="s">
        <v>716</v>
      </c>
      <c r="F45" s="830">
        <f ca="1">INDIRECT("'数据-取费表'!h"&amp;$G$1)</f>
        <v>0</v>
      </c>
      <c r="G45" s="2046"/>
      <c r="H45" s="2046"/>
      <c r="I45" s="2046"/>
      <c r="J45" s="2046"/>
      <c r="K45" s="2067"/>
      <c r="L45" s="2046"/>
      <c r="M45" s="2046"/>
    </row>
    <row r="46" spans="1:18" ht="18" customHeight="1" thickBot="1">
      <c r="A46" s="831"/>
      <c r="B46" s="1353"/>
      <c r="C46" s="1354"/>
      <c r="D46" s="1355"/>
      <c r="E46" s="3074" t="s">
        <v>2955</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2342</v>
      </c>
      <c r="J47" s="2342"/>
      <c r="K47" s="2343"/>
      <c r="L47" s="3107" t="str">
        <f ca="1">IF(M48="住宅",0,IF(L49&gt;J52,L61,J61))</f>
        <v>0</v>
      </c>
      <c r="O47" s="2357" t="s">
        <v>2409</v>
      </c>
      <c r="P47" s="1577"/>
      <c r="Q47" s="1588"/>
      <c r="R47" s="1577"/>
    </row>
    <row r="48" spans="1:18" s="2043" customFormat="1" ht="18" customHeight="1" thickBot="1">
      <c r="A48" s="2068"/>
      <c r="C48" s="2071"/>
      <c r="D48" s="2072"/>
      <c r="E48" s="2072"/>
      <c r="F48" s="2073"/>
      <c r="G48" s="2074"/>
      <c r="I48" s="3097" t="s">
        <v>2343</v>
      </c>
      <c r="J48" s="2344"/>
      <c r="K48" s="3104" t="s">
        <v>2348</v>
      </c>
      <c r="L48" s="3108">
        <f ca="1">INDIRECT("'数据-取费表'!d"&amp;$G$1)</f>
        <v>0</v>
      </c>
      <c r="M48" s="3071" t="str">
        <f>IF(ISNUMBER(FIND("住宅",C1)),"住宅","非住宅")</f>
        <v>非住宅</v>
      </c>
      <c r="O48" s="2358" t="s">
        <v>2374</v>
      </c>
      <c r="P48" s="2359" t="s">
        <v>2375</v>
      </c>
      <c r="Q48" s="2360" t="s">
        <v>2376</v>
      </c>
      <c r="R48" s="2359" t="s">
        <v>2377</v>
      </c>
    </row>
    <row r="49" spans="1:18" s="2043" customFormat="1" ht="18" customHeight="1" thickBot="1">
      <c r="A49" s="2068"/>
      <c r="D49" s="2075"/>
      <c r="E49" s="2076"/>
      <c r="F49" s="2073"/>
      <c r="G49" s="2074"/>
      <c r="H49" s="2077"/>
      <c r="I49" s="3076" t="s">
        <v>2344</v>
      </c>
      <c r="J49" s="2345"/>
      <c r="K49" s="3105" t="s">
        <v>2350</v>
      </c>
      <c r="L49" s="1892">
        <f ca="1">INDIRECT("'数据-取费表'!f"&amp;$G$1)</f>
        <v>0</v>
      </c>
      <c r="O49" s="2361" t="s">
        <v>2378</v>
      </c>
      <c r="P49" s="2362" t="s">
        <v>2404</v>
      </c>
      <c r="Q49" s="2363">
        <f ca="1">C41+J31</f>
        <v>0</v>
      </c>
      <c r="R49" s="2362" t="s">
        <v>2379</v>
      </c>
    </row>
    <row r="50" spans="1:18" s="2043" customFormat="1" ht="18" customHeight="1" thickBot="1">
      <c r="A50" s="2068"/>
      <c r="D50" s="2078"/>
      <c r="E50" s="2078"/>
      <c r="F50" s="2072"/>
      <c r="G50" s="2079"/>
      <c r="H50" s="2077"/>
      <c r="I50" s="3076" t="s">
        <v>2345</v>
      </c>
      <c r="J50" s="2346"/>
      <c r="K50" s="3106" t="s">
        <v>2351</v>
      </c>
      <c r="L50" s="2347"/>
      <c r="O50" s="2361" t="s">
        <v>2380</v>
      </c>
      <c r="P50" s="2362" t="s">
        <v>2405</v>
      </c>
      <c r="Q50" s="2363" t="str">
        <f ca="1">J61</f>
        <v>0</v>
      </c>
      <c r="R50" s="2362" t="s">
        <v>2381</v>
      </c>
    </row>
    <row r="51" spans="1:18" s="2043" customFormat="1" ht="18" customHeight="1" thickBot="1">
      <c r="A51" s="2080"/>
      <c r="D51" s="2078"/>
      <c r="E51" s="2078"/>
      <c r="F51" s="2069"/>
      <c r="H51" s="2077"/>
      <c r="I51" s="3076" t="s">
        <v>2346</v>
      </c>
      <c r="J51" s="3101">
        <f>SUMPRODUCT((I64:I66=J48)*(J63:L63=J49)*(J64:L66))</f>
        <v>0</v>
      </c>
      <c r="K51" s="3106" t="s">
        <v>2352</v>
      </c>
      <c r="L51" s="2347"/>
      <c r="O51" s="2364" t="s">
        <v>2382</v>
      </c>
      <c r="P51" s="2362" t="s">
        <v>2406</v>
      </c>
      <c r="Q51" s="2363">
        <f ca="1">C31</f>
        <v>0</v>
      </c>
      <c r="R51" s="2362" t="s">
        <v>2379</v>
      </c>
    </row>
    <row r="52" spans="1:18" s="2043" customFormat="1" ht="18" customHeight="1" thickBot="1">
      <c r="A52" s="2080"/>
      <c r="F52" s="2069"/>
      <c r="I52" s="3098" t="s">
        <v>2347</v>
      </c>
      <c r="J52" s="3102">
        <f>IF(J50="",J51,J50+J51-YEAR('数据-取费表'!B3))</f>
        <v>0</v>
      </c>
      <c r="K52" s="3076" t="s">
        <v>2353</v>
      </c>
      <c r="L52" s="3109">
        <f ca="1">ROUND(-PV(INDIRECT("'数据-取费表'!h"&amp;$G$1),L49,(C40-C14*J36),0),0)</f>
        <v>0</v>
      </c>
      <c r="O52" s="2364" t="s">
        <v>2383</v>
      </c>
      <c r="P52" s="2362" t="s">
        <v>2384</v>
      </c>
      <c r="Q52" s="2365" t="e">
        <f ca="1">J59</f>
        <v>#VALUE!</v>
      </c>
      <c r="R52" s="2366"/>
    </row>
    <row r="53" spans="1:18" s="2043" customFormat="1" ht="18" customHeight="1" thickBot="1">
      <c r="A53" s="2080"/>
      <c r="F53" s="2069"/>
      <c r="I53" s="3099" t="s">
        <v>2420</v>
      </c>
      <c r="J53" s="2348"/>
      <c r="K53" s="3099" t="s">
        <v>2419</v>
      </c>
      <c r="L53" s="2348"/>
      <c r="O53" s="2364" t="s">
        <v>2385</v>
      </c>
      <c r="P53" s="2362" t="s">
        <v>2386</v>
      </c>
      <c r="Q53" s="2365">
        <f>J53</f>
        <v>0</v>
      </c>
      <c r="R53" s="2366"/>
    </row>
    <row r="54" spans="1:18" s="2043" customFormat="1" ht="29.25" thickBot="1">
      <c r="A54" s="2080"/>
      <c r="I54" s="3100" t="s">
        <v>2968</v>
      </c>
      <c r="J54" s="3103">
        <f ca="1">IF(M48="住宅",MAX(J52,L49-'数据-取费表'!B20),MIN(J52,L49-'数据-取费表'!B20))</f>
        <v>-3</v>
      </c>
      <c r="K54" s="3486"/>
      <c r="L54" s="3487"/>
      <c r="O54" s="2364" t="s">
        <v>2387</v>
      </c>
      <c r="P54" s="2362" t="s">
        <v>2388</v>
      </c>
      <c r="Q54" s="2363">
        <f ca="1">J54</f>
        <v>-3</v>
      </c>
      <c r="R54" s="2362" t="s">
        <v>2389</v>
      </c>
    </row>
    <row r="55" spans="1:18" s="2043" customFormat="1" ht="18" customHeight="1" thickBot="1">
      <c r="A55" s="2080"/>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2390</v>
      </c>
      <c r="P55" s="2362" t="s">
        <v>2407</v>
      </c>
      <c r="Q55" s="2363">
        <f ca="1">Q49+Q50</f>
        <v>0</v>
      </c>
      <c r="R55" s="2366" t="s">
        <v>2391</v>
      </c>
    </row>
    <row r="56" spans="1:18" s="2043" customFormat="1" ht="16.5" thickBot="1">
      <c r="A56" s="2080"/>
      <c r="B56" s="2081"/>
      <c r="C56" s="2081"/>
      <c r="I56" s="3112" t="s">
        <v>2354</v>
      </c>
      <c r="J56" s="3051" t="e">
        <f ca="1">ROUND(IF(J48="钢混",J58/J51,1-(1-2%)*(J51-J58)/J51),3)</f>
        <v>#VALUE!</v>
      </c>
      <c r="K56" s="3113" t="s">
        <v>2355</v>
      </c>
      <c r="L56" s="2349"/>
      <c r="O56" s="2367" t="s">
        <v>2410</v>
      </c>
      <c r="P56" s="1577"/>
      <c r="Q56" s="1588"/>
      <c r="R56" s="1577"/>
    </row>
    <row r="57" spans="1:18" s="2043" customFormat="1" ht="43.5" thickBot="1">
      <c r="A57" s="2080"/>
      <c r="B57" s="2081"/>
      <c r="C57" s="2081"/>
      <c r="I57" s="3114" t="s">
        <v>2356</v>
      </c>
      <c r="J57" s="3124" t="s">
        <v>1677</v>
      </c>
      <c r="K57" s="3076" t="s">
        <v>2361</v>
      </c>
      <c r="L57" s="1892">
        <f ca="1">IF(L49&lt;J52,"——",L49-J52)</f>
        <v>0</v>
      </c>
      <c r="O57" s="2358" t="s">
        <v>2374</v>
      </c>
      <c r="P57" s="2359" t="s">
        <v>2375</v>
      </c>
      <c r="Q57" s="2360" t="s">
        <v>2376</v>
      </c>
      <c r="R57" s="2359" t="s">
        <v>2377</v>
      </c>
    </row>
    <row r="58" spans="1:18" s="2043" customFormat="1" ht="29.25" thickBot="1">
      <c r="A58" s="2080"/>
      <c r="B58" s="2081"/>
      <c r="C58" s="2081"/>
      <c r="I58" s="3115" t="s">
        <v>2357</v>
      </c>
      <c r="J58" s="3116" t="str">
        <f ca="1">IF(OR(M48="住宅",J52&lt;L49,J57="是"),"——",J52-L49)</f>
        <v>——</v>
      </c>
      <c r="K58" s="3076" t="s">
        <v>2362</v>
      </c>
      <c r="L58" s="1892">
        <f ca="1">IF(L49&lt;J52,"——",IF(L56="比较法",L50,IF(L56="基准地价",L51,L52)))</f>
        <v>0</v>
      </c>
      <c r="O58" s="2361" t="s">
        <v>2378</v>
      </c>
      <c r="P58" s="2362" t="s">
        <v>2404</v>
      </c>
      <c r="Q58" s="2363">
        <f ca="1">C41+J31</f>
        <v>0</v>
      </c>
      <c r="R58" s="2362" t="s">
        <v>2379</v>
      </c>
    </row>
    <row r="59" spans="1:18" s="2043" customFormat="1" ht="29.25" thickBot="1">
      <c r="A59" s="2080"/>
      <c r="B59" s="2081"/>
      <c r="C59" s="2081"/>
      <c r="I59" s="3115" t="s">
        <v>2358</v>
      </c>
      <c r="J59" s="3052" t="e">
        <f ca="1">IF(J56&lt;0.4,0.4,J56)</f>
        <v>#VALUE!</v>
      </c>
      <c r="K59" s="3076" t="s">
        <v>2363</v>
      </c>
      <c r="L59" s="1892">
        <f ca="1">IF(ISERROR(POWER(1+L53,L48-L49)*(POWER(1+L53,L49)-1)/(POWER(1+L53,L48)-1)),0,POWER(1+L53,L48-L49)*(POWER(1+L53,L49)-1)/(POWER(1+L53,L48)-1))</f>
        <v>0</v>
      </c>
      <c r="O59" s="2361" t="s">
        <v>2380</v>
      </c>
      <c r="P59" s="2362" t="s">
        <v>2411</v>
      </c>
      <c r="Q59" s="2363" t="e">
        <f ca="1">L61</f>
        <v>#DIV/0!</v>
      </c>
      <c r="R59" s="2366" t="s">
        <v>2413</v>
      </c>
    </row>
    <row r="60" spans="1:18" s="2043" customFormat="1" ht="29.25" thickBot="1">
      <c r="A60" s="2080"/>
      <c r="B60" s="2081"/>
      <c r="C60" s="2081"/>
      <c r="I60" s="3115" t="s">
        <v>2359</v>
      </c>
      <c r="J60" s="3116" t="str">
        <f ca="1">IF(OR(M48="住宅",J52&lt;L49,J57="是"),"——",ROUND(C30*J59,0))</f>
        <v>——</v>
      </c>
      <c r="K60" s="3076" t="s">
        <v>2364</v>
      </c>
      <c r="L60" s="1892">
        <f ca="1">IF(ISERROR(POWER(1+L53,L48-J52)*(POWER(1+L53,J52)-1)/(POWER(1+L53,L48)-1)),0,POWER(1+L53,L48-J52)*(POWER(1+L53,J52)-1)/(POWER(1+L53,L48)-1))</f>
        <v>0</v>
      </c>
      <c r="O60" s="2364" t="s">
        <v>2382</v>
      </c>
      <c r="P60" s="2362" t="s">
        <v>2412</v>
      </c>
      <c r="Q60" s="2363">
        <f>IF(L56="比较法",L50,IF(L56="基准地价",L51,0))</f>
        <v>0</v>
      </c>
      <c r="R60" s="2362" t="s">
        <v>2379</v>
      </c>
    </row>
    <row r="61" spans="1:18" s="2043" customFormat="1" ht="15.75" thickBot="1">
      <c r="A61" s="2080"/>
      <c r="B61" s="2081"/>
      <c r="C61" s="2081"/>
      <c r="I61" s="3117" t="s">
        <v>2360</v>
      </c>
      <c r="J61" s="3118" t="str">
        <f ca="1">IF(OR(M48="住宅",J52&lt;L49,J57="是"),"0",ROUND(J60/(1+J53)^J54,0))</f>
        <v>0</v>
      </c>
      <c r="K61" s="3119" t="s">
        <v>2365</v>
      </c>
      <c r="L61" s="3118" t="e">
        <f ca="1">IF(OR(M48="住宅",L49&lt;J52),0,ROUND(L58*(L59/L60-1),0))</f>
        <v>#DIV/0!</v>
      </c>
      <c r="O61" s="2364" t="s">
        <v>2383</v>
      </c>
      <c r="P61" s="2362" t="s">
        <v>2392</v>
      </c>
      <c r="Q61" s="2365">
        <f>L53</f>
        <v>0</v>
      </c>
      <c r="R61" s="2366"/>
    </row>
    <row r="62" spans="1:18" s="2043" customFormat="1" ht="20.25" thickBot="1">
      <c r="A62" s="2080"/>
      <c r="B62" s="2081"/>
      <c r="C62" s="2081"/>
      <c r="K62" s="2070"/>
      <c r="O62" s="2364" t="s">
        <v>2385</v>
      </c>
      <c r="P62" s="2362" t="s">
        <v>2393</v>
      </c>
      <c r="Q62" s="2363">
        <f ca="1">L59</f>
        <v>0</v>
      </c>
      <c r="R62" s="2366" t="s">
        <v>2394</v>
      </c>
    </row>
    <row r="63" spans="1:18" s="2043" customFormat="1" ht="20.25" thickBot="1">
      <c r="A63" s="2080"/>
      <c r="B63" s="2081"/>
      <c r="C63" s="2081"/>
      <c r="I63" s="3120" t="s">
        <v>2366</v>
      </c>
      <c r="J63" s="3121" t="s">
        <v>2367</v>
      </c>
      <c r="K63" s="3121" t="s">
        <v>2368</v>
      </c>
      <c r="L63" s="3121" t="s">
        <v>2349</v>
      </c>
      <c r="M63" s="3122" t="s">
        <v>2932</v>
      </c>
      <c r="O63" s="2364" t="s">
        <v>2387</v>
      </c>
      <c r="P63" s="2362" t="s">
        <v>2395</v>
      </c>
      <c r="Q63" s="2363">
        <f ca="1">L60</f>
        <v>0</v>
      </c>
      <c r="R63" s="2366" t="s">
        <v>2396</v>
      </c>
    </row>
    <row r="64" spans="1:18" s="2043" customFormat="1" ht="15.75" thickBot="1">
      <c r="A64" s="2080"/>
      <c r="B64" s="2081"/>
      <c r="C64" s="2081"/>
      <c r="I64" s="3120" t="s">
        <v>2369</v>
      </c>
      <c r="J64" s="3121">
        <v>70</v>
      </c>
      <c r="K64" s="3121">
        <v>50</v>
      </c>
      <c r="L64" s="3121">
        <v>80</v>
      </c>
      <c r="M64" s="3123">
        <v>0.02</v>
      </c>
      <c r="O64" s="2361" t="s">
        <v>2390</v>
      </c>
      <c r="P64" s="2362" t="s">
        <v>2407</v>
      </c>
      <c r="Q64" s="2363" t="e">
        <f ca="1">Q58+Q59</f>
        <v>#DIV/0!</v>
      </c>
      <c r="R64" s="2366" t="s">
        <v>2391</v>
      </c>
    </row>
    <row r="65" spans="1:18" s="2043" customFormat="1" ht="16.5" thickBot="1">
      <c r="A65" s="2080"/>
      <c r="B65" s="2081"/>
      <c r="C65" s="2081"/>
      <c r="I65" s="3120" t="s">
        <v>2370</v>
      </c>
      <c r="J65" s="3121">
        <v>50</v>
      </c>
      <c r="K65" s="3121">
        <v>35</v>
      </c>
      <c r="L65" s="3121">
        <v>60</v>
      </c>
      <c r="M65" s="846">
        <v>0</v>
      </c>
      <c r="O65" s="2367" t="s">
        <v>2414</v>
      </c>
      <c r="P65" s="1577"/>
      <c r="Q65" s="1588"/>
      <c r="R65" s="1577"/>
    </row>
    <row r="66" spans="1:18" s="2043" customFormat="1" ht="15.75" thickBot="1">
      <c r="A66" s="2080"/>
      <c r="B66" s="2081"/>
      <c r="C66" s="2081"/>
      <c r="I66" s="3120" t="s">
        <v>2371</v>
      </c>
      <c r="J66" s="3121">
        <v>40</v>
      </c>
      <c r="K66" s="3121">
        <v>30</v>
      </c>
      <c r="L66" s="3121">
        <v>50</v>
      </c>
      <c r="M66" s="3123">
        <v>0.02</v>
      </c>
      <c r="O66" s="2358" t="s">
        <v>2374</v>
      </c>
      <c r="P66" s="2359" t="s">
        <v>2375</v>
      </c>
      <c r="Q66" s="2360" t="s">
        <v>2376</v>
      </c>
      <c r="R66" s="2359" t="s">
        <v>2377</v>
      </c>
    </row>
    <row r="67" spans="1:18" s="2043" customFormat="1" ht="15.75" thickBot="1">
      <c r="A67" s="2080"/>
      <c r="B67" s="2081"/>
      <c r="C67" s="2081"/>
      <c r="K67" s="2070"/>
      <c r="O67" s="2361" t="s">
        <v>2378</v>
      </c>
      <c r="P67" s="2362" t="s">
        <v>2404</v>
      </c>
      <c r="Q67" s="2363">
        <f ca="1">C41+J31</f>
        <v>0</v>
      </c>
      <c r="R67" s="2362" t="s">
        <v>2379</v>
      </c>
    </row>
    <row r="68" spans="1:18" s="2043" customFormat="1" ht="20.25" thickBot="1">
      <c r="A68" s="2080"/>
      <c r="B68" s="2081"/>
      <c r="C68" s="2081"/>
      <c r="K68" s="2070"/>
      <c r="O68" s="2361" t="s">
        <v>2380</v>
      </c>
      <c r="P68" s="2362" t="s">
        <v>2411</v>
      </c>
      <c r="Q68" s="2363" t="e">
        <f ca="1">L61</f>
        <v>#DIV/0!</v>
      </c>
      <c r="R68" s="2366" t="s">
        <v>2413</v>
      </c>
    </row>
    <row r="69" spans="1:18" s="2043" customFormat="1" ht="21.75" thickBot="1">
      <c r="A69" s="2080"/>
      <c r="B69" s="2081"/>
      <c r="C69" s="2081"/>
      <c r="K69" s="2070"/>
      <c r="O69" s="2364" t="s">
        <v>2382</v>
      </c>
      <c r="P69" s="2362" t="s">
        <v>2412</v>
      </c>
      <c r="Q69" s="2368">
        <f ca="1">L52</f>
        <v>0</v>
      </c>
      <c r="R69" s="2369" t="s">
        <v>2415</v>
      </c>
    </row>
    <row r="70" spans="1:18" s="2043" customFormat="1" ht="20.25" thickBot="1">
      <c r="A70" s="2080"/>
      <c r="B70" s="2081"/>
      <c r="C70" s="2081"/>
      <c r="K70" s="2070"/>
      <c r="O70" s="2364" t="s">
        <v>2383</v>
      </c>
      <c r="P70" s="2370" t="s">
        <v>2397</v>
      </c>
      <c r="Q70" s="2363">
        <f ca="1">ROUND(Q71-Q72*Q73,0)</f>
        <v>0</v>
      </c>
      <c r="R70" s="2366"/>
    </row>
    <row r="71" spans="1:18" s="2043" customFormat="1" ht="15.75" thickBot="1">
      <c r="A71" s="2080"/>
      <c r="B71" s="2081"/>
      <c r="C71" s="2081"/>
      <c r="K71" s="2070"/>
      <c r="O71" s="2364" t="s">
        <v>2398</v>
      </c>
      <c r="P71" s="2370" t="s">
        <v>2399</v>
      </c>
      <c r="Q71" s="2363">
        <f ca="1">C42</f>
        <v>0</v>
      </c>
      <c r="R71" s="2362" t="s">
        <v>2379</v>
      </c>
    </row>
    <row r="72" spans="1:18" s="2043" customFormat="1" ht="15.75" thickBot="1">
      <c r="A72" s="2080"/>
      <c r="B72" s="2081"/>
      <c r="C72" s="2081"/>
      <c r="K72" s="2070"/>
      <c r="O72" s="2364" t="s">
        <v>2400</v>
      </c>
      <c r="P72" s="2370" t="s">
        <v>2401</v>
      </c>
      <c r="Q72" s="2363">
        <f ca="1">C15</f>
        <v>0</v>
      </c>
      <c r="R72" s="2362" t="s">
        <v>2379</v>
      </c>
    </row>
    <row r="73" spans="1:18" s="2043" customFormat="1" ht="15.75" thickBot="1">
      <c r="A73" s="2080"/>
      <c r="B73" s="2081"/>
      <c r="C73" s="2081"/>
      <c r="K73" s="2070"/>
      <c r="O73" s="2364" t="s">
        <v>2402</v>
      </c>
      <c r="P73" s="2370" t="s">
        <v>2403</v>
      </c>
      <c r="Q73" s="2365">
        <f ca="1">F43</f>
        <v>0</v>
      </c>
      <c r="R73" s="2366"/>
    </row>
    <row r="74" spans="1:18" s="2043" customFormat="1" ht="15.75" thickBot="1">
      <c r="A74" s="2080"/>
      <c r="B74" s="2081"/>
      <c r="C74" s="2081"/>
      <c r="K74" s="2070"/>
      <c r="O74" s="2364" t="s">
        <v>2385</v>
      </c>
      <c r="P74" s="2362" t="s">
        <v>2392</v>
      </c>
      <c r="Q74" s="2365">
        <f>L53</f>
        <v>0</v>
      </c>
      <c r="R74" s="2366"/>
    </row>
    <row r="75" spans="1:18" s="2043" customFormat="1" ht="20.25" thickBot="1">
      <c r="A75" s="2080"/>
      <c r="B75" s="2081"/>
      <c r="C75" s="2081"/>
      <c r="K75" s="2070"/>
      <c r="O75" s="2364" t="s">
        <v>2387</v>
      </c>
      <c r="P75" s="2362" t="s">
        <v>2393</v>
      </c>
      <c r="Q75" s="2363">
        <f ca="1">L59</f>
        <v>0</v>
      </c>
      <c r="R75" s="2366" t="s">
        <v>2394</v>
      </c>
    </row>
    <row r="76" spans="1:18" s="2043" customFormat="1" ht="20.25" thickBot="1">
      <c r="A76" s="2080"/>
      <c r="B76" s="2081"/>
      <c r="C76" s="2081"/>
      <c r="K76" s="2070"/>
      <c r="O76" s="2364" t="s">
        <v>2416</v>
      </c>
      <c r="P76" s="2362" t="s">
        <v>2395</v>
      </c>
      <c r="Q76" s="2363">
        <f ca="1">L60</f>
        <v>0</v>
      </c>
      <c r="R76" s="2366" t="s">
        <v>2396</v>
      </c>
    </row>
    <row r="77" spans="1:18" s="2043" customFormat="1" ht="15.75" thickBot="1">
      <c r="A77" s="2080"/>
      <c r="B77" s="2081"/>
      <c r="C77" s="2081"/>
      <c r="K77" s="2070"/>
      <c r="O77" s="2361" t="s">
        <v>2390</v>
      </c>
      <c r="P77" s="2362" t="s">
        <v>2407</v>
      </c>
      <c r="Q77" s="2363" t="e">
        <f ca="1">Q67+Q68</f>
        <v>#DIV/0!</v>
      </c>
      <c r="R77" s="2366" t="s">
        <v>2391</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2" sqref="D12"/>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2986</v>
      </c>
      <c r="D1" s="3223" t="s">
        <v>951</v>
      </c>
      <c r="E1" s="2350" t="s">
        <v>2373</v>
      </c>
      <c r="F1" s="2351">
        <f ca="1">J53</f>
        <v>37.31</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11558</v>
      </c>
      <c r="C2" s="2041"/>
      <c r="D2" s="2039"/>
      <c r="E2" s="2040"/>
      <c r="F2" s="2040"/>
      <c r="G2" s="1575"/>
      <c r="H2" s="2041"/>
      <c r="I2" s="2041"/>
      <c r="J2" s="2041"/>
      <c r="K2" s="2042"/>
      <c r="L2" s="2041"/>
      <c r="M2" s="2041"/>
    </row>
    <row r="3" spans="1:33" ht="18" customHeight="1" thickBot="1">
      <c r="A3" s="833" t="s">
        <v>1726</v>
      </c>
      <c r="B3" s="834">
        <f ca="1">IF(ISERROR(B2*10000/F43),0,ROUND(B2*10000/F43,0))</f>
        <v>7184</v>
      </c>
      <c r="C3" s="2041"/>
      <c r="D3" s="2039"/>
      <c r="E3" s="2040"/>
      <c r="F3" s="2040"/>
      <c r="G3" s="1575"/>
      <c r="H3" s="776" t="s">
        <v>694</v>
      </c>
      <c r="I3" s="1357"/>
      <c r="J3" s="1357"/>
      <c r="K3" s="1576"/>
      <c r="L3" s="1357"/>
      <c r="M3" s="1357"/>
    </row>
    <row r="4" spans="1:33" ht="18" customHeight="1">
      <c r="A4" s="777" t="s">
        <v>1727</v>
      </c>
      <c r="B4" s="778" t="s">
        <v>1728</v>
      </c>
      <c r="C4" s="778" t="s">
        <v>1729</v>
      </c>
      <c r="D4" s="778" t="s">
        <v>632</v>
      </c>
      <c r="E4" s="779" t="s">
        <v>1730</v>
      </c>
      <c r="F4" s="780"/>
      <c r="G4" s="1577"/>
      <c r="H4" s="777" t="s">
        <v>1731</v>
      </c>
      <c r="I4" s="778" t="s">
        <v>1732</v>
      </c>
      <c r="J4" s="778" t="s">
        <v>1733</v>
      </c>
      <c r="K4" s="778" t="s">
        <v>1734</v>
      </c>
      <c r="L4" s="779" t="s">
        <v>1735</v>
      </c>
      <c r="M4" s="780"/>
    </row>
    <row r="5" spans="1:33" ht="18" customHeight="1">
      <c r="A5" s="781">
        <v>1</v>
      </c>
      <c r="B5" s="782" t="s">
        <v>2456</v>
      </c>
      <c r="C5" s="55">
        <f ca="1">C6+C10+C12</f>
        <v>894</v>
      </c>
      <c r="D5" s="2459" t="s">
        <v>2459</v>
      </c>
      <c r="E5" s="2453"/>
      <c r="F5" s="2454"/>
      <c r="G5" s="1577"/>
      <c r="H5" s="781">
        <v>1</v>
      </c>
      <c r="I5" s="782" t="s">
        <v>2456</v>
      </c>
      <c r="J5" s="55">
        <f ca="1">J6+J10+J12</f>
        <v>0</v>
      </c>
      <c r="K5" s="2459" t="s">
        <v>2459</v>
      </c>
      <c r="L5" s="2453"/>
      <c r="M5" s="2454"/>
    </row>
    <row r="6" spans="1:33" ht="18" customHeight="1">
      <c r="A6" s="1814" t="s">
        <v>1823</v>
      </c>
      <c r="B6" s="3482" t="s">
        <v>2461</v>
      </c>
      <c r="C6" s="783">
        <f ca="1">ROUND(F6*F8*F7*(1-F9)/10000,0)</f>
        <v>893</v>
      </c>
      <c r="D6" s="2460" t="s">
        <v>2460</v>
      </c>
      <c r="E6" s="784" t="s">
        <v>1737</v>
      </c>
      <c r="F6" s="785">
        <f ca="1">INDIRECT("'数据-取费表'!u"&amp;$G$1)</f>
        <v>1.9</v>
      </c>
      <c r="G6" s="1577"/>
      <c r="H6" s="2467" t="s">
        <v>2466</v>
      </c>
      <c r="I6" s="3482" t="s">
        <v>2461</v>
      </c>
      <c r="J6" s="783">
        <f ca="1">ROUND(M6*M8*M7*(1-M9)/10000,0)</f>
        <v>0</v>
      </c>
      <c r="K6" s="341" t="s">
        <v>1736</v>
      </c>
      <c r="L6" s="784" t="s">
        <v>1737</v>
      </c>
      <c r="M6" s="785">
        <f ca="1">INDIRECT("'数据-取费表'!z"&amp;$G$1)</f>
        <v>0</v>
      </c>
    </row>
    <row r="7" spans="1:33" ht="18" customHeight="1">
      <c r="A7" s="2463"/>
      <c r="B7" s="3483"/>
      <c r="C7" s="788"/>
      <c r="D7" s="789"/>
      <c r="E7" s="784" t="s">
        <v>1738</v>
      </c>
      <c r="F7" s="785">
        <f ca="1">IF(INDIRECT("'数据-取费表'!ah"&amp;$G$1)="",INDIRECT("'数据-取费表'!k"&amp;$G$1),INDIRECT("'数据-取费表'!ah"&amp;$G$1))</f>
        <v>16087.449999999953</v>
      </c>
      <c r="G7" s="1577"/>
      <c r="H7" s="2452"/>
      <c r="I7" s="3483"/>
      <c r="J7" s="788"/>
      <c r="K7" s="789"/>
      <c r="L7" s="784" t="s">
        <v>1738</v>
      </c>
      <c r="M7" s="785">
        <f ca="1">F7</f>
        <v>16087.449999999953</v>
      </c>
    </row>
    <row r="8" spans="1:33" ht="18" customHeight="1">
      <c r="A8" s="2456"/>
      <c r="B8" s="3484"/>
      <c r="C8" s="788"/>
      <c r="D8" s="789"/>
      <c r="E8" s="784" t="s">
        <v>1739</v>
      </c>
      <c r="F8" s="785">
        <f ca="1">INDIRECT("'数据-取费表'!ai"&amp;$G$1)</f>
        <v>365</v>
      </c>
      <c r="G8" s="1577"/>
      <c r="H8" s="2452"/>
      <c r="I8" s="3484"/>
      <c r="J8" s="788"/>
      <c r="K8" s="789"/>
      <c r="L8" s="784" t="s">
        <v>1739</v>
      </c>
      <c r="M8" s="785">
        <f ca="1">INDIRECT("'数据-取费表'!ai"&amp;$G$1)</f>
        <v>365</v>
      </c>
    </row>
    <row r="9" spans="1:33" ht="18" customHeight="1">
      <c r="A9" s="786"/>
      <c r="B9" s="3485"/>
      <c r="C9" s="788"/>
      <c r="D9" s="789"/>
      <c r="E9" s="784" t="s">
        <v>1740</v>
      </c>
      <c r="F9" s="794">
        <f ca="1">INDIRECT("'数据-取费表'!w"&amp;$G$1)</f>
        <v>0.2</v>
      </c>
      <c r="G9" s="1577"/>
      <c r="H9" s="2468"/>
      <c r="I9" s="3484"/>
      <c r="J9" s="788"/>
      <c r="K9" s="789"/>
      <c r="L9" s="795" t="s">
        <v>1740</v>
      </c>
      <c r="M9" s="796">
        <f ca="1">INDIRECT("'数据-取费表'!ab"&amp;$G$1)</f>
        <v>0</v>
      </c>
    </row>
    <row r="10" spans="1:33" ht="18" customHeight="1">
      <c r="A10" s="1814" t="s">
        <v>2464</v>
      </c>
      <c r="B10" s="2457" t="s">
        <v>2457</v>
      </c>
      <c r="C10" s="799">
        <f ca="1">ROUND(IF(F10="押一",C6/12*F11,IF(F10="押二",C6/12*2*F11,IF(F10="押三",C6/12*3*F11,C11*F11))),0)</f>
        <v>1</v>
      </c>
      <c r="D10" s="2464" t="s">
        <v>2964</v>
      </c>
      <c r="E10" s="2461" t="s">
        <v>2462</v>
      </c>
      <c r="F10" s="2584" t="s">
        <v>3177</v>
      </c>
      <c r="G10" s="1577"/>
      <c r="H10" s="2524" t="s">
        <v>2467</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1741</v>
      </c>
      <c r="C13" s="792">
        <f ca="1">ROUND(C29*F13,0)</f>
        <v>6827</v>
      </c>
      <c r="D13" s="1818" t="s">
        <v>2296</v>
      </c>
      <c r="E13" s="1818" t="s">
        <v>1743</v>
      </c>
      <c r="F13" s="2499">
        <f ca="1">INDIRECT("'数据-取费表'!y"&amp;$G$1)</f>
        <v>1</v>
      </c>
      <c r="G13" s="1577"/>
      <c r="H13" s="1813">
        <v>2</v>
      </c>
      <c r="I13" s="1811" t="s">
        <v>1741</v>
      </c>
      <c r="J13" s="1803">
        <f ca="1">ROUND(J14*J15,0)</f>
        <v>0</v>
      </c>
      <c r="K13" s="1805" t="s">
        <v>1742</v>
      </c>
      <c r="L13" s="2515"/>
      <c r="M13" s="2516"/>
    </row>
    <row r="14" spans="1:33" ht="18" customHeight="1">
      <c r="A14" s="1632" t="s">
        <v>1883</v>
      </c>
      <c r="B14" s="784" t="s">
        <v>644</v>
      </c>
      <c r="C14" s="804">
        <f ca="1">INDIRECT("'数据-取费表'!m"&amp;$G$1)+INDIRECT("'数据-取费表'!t"&amp;$G$1)</f>
        <v>4022</v>
      </c>
      <c r="D14" s="1963" t="s">
        <v>1744</v>
      </c>
      <c r="E14" s="1964"/>
      <c r="F14" s="805"/>
      <c r="G14" s="1577"/>
      <c r="H14" s="1633" t="s">
        <v>1829</v>
      </c>
      <c r="I14" s="2215" t="s">
        <v>2824</v>
      </c>
      <c r="J14" s="53">
        <f ca="1">C29</f>
        <v>6827</v>
      </c>
      <c r="K14" s="26"/>
      <c r="L14" s="801"/>
      <c r="M14" s="802"/>
    </row>
    <row r="15" spans="1:33" s="2048" customFormat="1" ht="18" customHeight="1" thickBot="1">
      <c r="A15" s="1632" t="s">
        <v>1884</v>
      </c>
      <c r="B15" s="784" t="s">
        <v>646</v>
      </c>
      <c r="C15" s="53">
        <f ca="1">ROUND(C14*F15,0)</f>
        <v>161</v>
      </c>
      <c r="D15" s="806" t="s">
        <v>1745</v>
      </c>
      <c r="E15" s="806" t="s">
        <v>1746</v>
      </c>
      <c r="F15" s="807">
        <f>'数据-取费表'!B33</f>
        <v>0.04</v>
      </c>
      <c r="G15" s="1578"/>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1885</v>
      </c>
      <c r="B16" s="784" t="s">
        <v>649</v>
      </c>
      <c r="C16" s="53">
        <f ca="1">ROUND(INDIRECT("'数据-取费表'!m"&amp;$G$1)*F16,0)</f>
        <v>0</v>
      </c>
      <c r="D16" s="784" t="s">
        <v>1745</v>
      </c>
      <c r="E16" s="784" t="s">
        <v>1746</v>
      </c>
      <c r="F16" s="809">
        <f ca="1">IF(INDIRECT("'数据-取费表'!c"&amp;$G$1)="住宅",'数据-取费表'!B34,0)</f>
        <v>0</v>
      </c>
      <c r="G16" s="1577"/>
      <c r="H16" s="1813" t="s">
        <v>1747</v>
      </c>
      <c r="I16" s="1811" t="s">
        <v>1748</v>
      </c>
      <c r="J16" s="792">
        <f ca="1">ROUND(J17+J22+J23+J24,0)</f>
        <v>717</v>
      </c>
      <c r="K16" s="1805" t="s">
        <v>1749</v>
      </c>
      <c r="L16" s="2449"/>
      <c r="M16" s="2454"/>
    </row>
    <row r="17" spans="1:33" s="2048" customFormat="1" ht="18" customHeight="1">
      <c r="A17" s="1632" t="s">
        <v>1886</v>
      </c>
      <c r="B17" s="784" t="s">
        <v>652</v>
      </c>
      <c r="C17" s="53">
        <f ca="1">ROUND(F17*(F43+INDIRECT("'数据-取费表'!S"&amp;$G$1))/10000,0)</f>
        <v>241</v>
      </c>
      <c r="D17" s="784" t="s">
        <v>1750</v>
      </c>
      <c r="E17" s="784" t="s">
        <v>1751</v>
      </c>
      <c r="F17" s="56">
        <f>'数据-取费表'!B35</f>
        <v>150</v>
      </c>
      <c r="G17" s="1578"/>
      <c r="H17" s="1633" t="s">
        <v>1829</v>
      </c>
      <c r="I17" s="784" t="s">
        <v>655</v>
      </c>
      <c r="J17" s="53">
        <f ca="1">ROUND(IF(项目基本情况!B11="自然人",J5*M17,J18+J19+J20),0)</f>
        <v>580</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f ca="1">ROUND(C14*F18,0)</f>
        <v>60</v>
      </c>
      <c r="D18" s="784" t="s">
        <v>1745</v>
      </c>
      <c r="E18" s="784" t="s">
        <v>1746</v>
      </c>
      <c r="F18" s="809">
        <f>'数据-取费表'!B36</f>
        <v>1.4999999999999999E-2</v>
      </c>
      <c r="G18" s="1578"/>
      <c r="H18" s="1632" t="s">
        <v>1883</v>
      </c>
      <c r="I18" s="784" t="s">
        <v>1754</v>
      </c>
      <c r="J18" s="53">
        <f ca="1">ROUND(J5*M18/1.05,1)</f>
        <v>0</v>
      </c>
      <c r="K18" s="2447" t="s">
        <v>1755</v>
      </c>
      <c r="L18" s="784" t="s">
        <v>1746</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1829</v>
      </c>
      <c r="B19" s="784" t="s">
        <v>661</v>
      </c>
      <c r="C19" s="53">
        <f ca="1">SUM(C14:C18)</f>
        <v>4484</v>
      </c>
      <c r="D19" s="261" t="s">
        <v>1756</v>
      </c>
      <c r="E19" s="1966"/>
      <c r="F19" s="56"/>
      <c r="G19" s="1577"/>
      <c r="H19" s="1632" t="s">
        <v>1884</v>
      </c>
      <c r="I19" s="784" t="s">
        <v>1757</v>
      </c>
      <c r="J19" s="53">
        <f ca="1">IF(K19="按租金收入计税",ROUND(J5*M19,1),ROUND(C29*F33*0.7,1))</f>
        <v>573.5</v>
      </c>
      <c r="K19" s="811" t="s">
        <v>664</v>
      </c>
      <c r="L19" s="784" t="s">
        <v>1746</v>
      </c>
      <c r="M19" s="809">
        <f>IF(K19="按租金收入计税",'数据-取费表'!B51,'数据-取费表'!B50)</f>
        <v>1.2E-2</v>
      </c>
    </row>
    <row r="20" spans="1:33" s="2048" customFormat="1" ht="18" customHeight="1">
      <c r="A20" s="1633" t="s">
        <v>1888</v>
      </c>
      <c r="B20" s="784" t="s">
        <v>665</v>
      </c>
      <c r="C20" s="53">
        <f ca="1">ROUND(C19*F20,0)</f>
        <v>90</v>
      </c>
      <c r="D20" s="812" t="s">
        <v>1758</v>
      </c>
      <c r="E20" s="784" t="s">
        <v>1746</v>
      </c>
      <c r="F20" s="809">
        <f>'数据-取费表'!B37</f>
        <v>0.02</v>
      </c>
      <c r="G20" s="1578"/>
      <c r="H20" s="1635" t="s">
        <v>1879</v>
      </c>
      <c r="I20" s="341" t="s">
        <v>1759</v>
      </c>
      <c r="J20" s="54">
        <f ca="1">ROUND(M20*M21/10000,0)</f>
        <v>6</v>
      </c>
      <c r="K20" s="814" t="s">
        <v>1760</v>
      </c>
      <c r="L20" s="784" t="s">
        <v>1761</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1762</v>
      </c>
      <c r="C21" s="53" t="s">
        <v>1763</v>
      </c>
      <c r="D21" s="812" t="s">
        <v>2297</v>
      </c>
      <c r="E21" s="784" t="s">
        <v>1764</v>
      </c>
      <c r="F21" s="809">
        <f>'数据-取费表'!B38</f>
        <v>0.02</v>
      </c>
      <c r="G21" s="1578"/>
      <c r="H21" s="2469"/>
      <c r="I21" s="793"/>
      <c r="J21" s="69"/>
      <c r="K21" s="816"/>
      <c r="L21" s="784" t="s">
        <v>1765</v>
      </c>
      <c r="M21" s="785">
        <f ca="1">INDIRECT("'数据-取费表'!r"&amp;$G$1)</f>
        <v>3599.74</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1766</v>
      </c>
      <c r="C22" s="53"/>
      <c r="D22" s="2535" t="str">
        <f>IF(F23&lt;=1,"单利计息。","复利计息。")&amp;"建造成本、管理费用、销售费用产生的利息。"</f>
        <v>复利计息。建造成本、管理费用、销售费用产生的利息。</v>
      </c>
      <c r="E22" s="1966"/>
      <c r="F22" s="56"/>
      <c r="G22" s="1577"/>
      <c r="H22" s="1633" t="s">
        <v>1888</v>
      </c>
      <c r="I22" s="784" t="s">
        <v>1767</v>
      </c>
      <c r="J22" s="53">
        <f ca="1">ROUND(J14*M22,0)</f>
        <v>137</v>
      </c>
      <c r="K22" s="2447" t="s">
        <v>1768</v>
      </c>
      <c r="L22" s="784" t="s">
        <v>1746</v>
      </c>
      <c r="M22" s="817">
        <f ca="1">INDIRECT("'数据-取费表'!Ak"&amp;$G$1)</f>
        <v>0.02</v>
      </c>
    </row>
    <row r="23" spans="1:33" s="2048" customFormat="1" ht="18" customHeight="1">
      <c r="A23" s="1632" t="s">
        <v>1830</v>
      </c>
      <c r="B23" s="784" t="s">
        <v>2533</v>
      </c>
      <c r="C23" s="53">
        <f ca="1">ROUND(IF('数据-取费表'!B22&lt;=1,(C19+C20)*F24*F23/2,(C19+C20)*(POWER((1+F24),F23/2)-1)),0)</f>
        <v>330</v>
      </c>
      <c r="D23" s="2534" t="str">
        <f>IF(F23&lt;=1,"(建造成本+管理费用)×利率×(建设周期÷2)","(建造成本+管理费用)×((1+利率)^(建设周期÷2)-1)")</f>
        <v>(建造成本+管理费用)×((1+利率)^(建设周期÷2)-1)</v>
      </c>
      <c r="E23" s="784" t="s">
        <v>1769</v>
      </c>
      <c r="F23" s="640">
        <f>'数据-取费表'!B20</f>
        <v>3</v>
      </c>
      <c r="G23" s="1578"/>
      <c r="H23" s="1633" t="s">
        <v>1889</v>
      </c>
      <c r="I23" s="784" t="s">
        <v>678</v>
      </c>
      <c r="J23" s="53">
        <f ca="1">ROUND(J13*M23,0)</f>
        <v>0</v>
      </c>
      <c r="K23" s="2447" t="s">
        <v>1770</v>
      </c>
      <c r="L23" s="784" t="s">
        <v>1746</v>
      </c>
      <c r="M23" s="818">
        <f ca="1">INDIRECT("'数据-取费表'!Al"&amp;$G$1)</f>
        <v>2E-3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1771</v>
      </c>
      <c r="C24" s="53">
        <f ca="1">ROUND(IF('数据-取费表'!B22&lt;=1,F21*F24*F23/2,F21*(POWER((1+F24),F23/2)-1)),4)</f>
        <v>1.4E-3</v>
      </c>
      <c r="D24" s="2534" t="str">
        <f>IF(F23&lt;=1,"销售费用×利率×(建设周期÷2)","销售费用×((1+利率)^(建设周期÷2)-1)")</f>
        <v>销售费用×((1+利率)^(建设周期÷2)-1)</v>
      </c>
      <c r="E24" s="784" t="s">
        <v>1772</v>
      </c>
      <c r="F24" s="819">
        <f ca="1">'数据-取费表'!B40</f>
        <v>4.7500000000000001E-2</v>
      </c>
      <c r="G24" s="1578"/>
      <c r="H24" s="2514" t="s">
        <v>1890</v>
      </c>
      <c r="I24" s="2509" t="s">
        <v>665</v>
      </c>
      <c r="J24" s="2507">
        <f ca="1">ROUND(J5*M24,0)</f>
        <v>0</v>
      </c>
      <c r="K24" s="2508" t="s">
        <v>1773</v>
      </c>
      <c r="L24" s="2509" t="s">
        <v>1746</v>
      </c>
      <c r="M24" s="2505">
        <f ca="1">INDIRECT("'数据-取费表'!Am"&amp;$G$1)</f>
        <v>0.02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1774</v>
      </c>
      <c r="E25" s="1966"/>
      <c r="F25" s="56"/>
      <c r="G25" s="1577"/>
      <c r="H25" s="1813" t="s">
        <v>1775</v>
      </c>
      <c r="I25" s="2961" t="s">
        <v>2820</v>
      </c>
      <c r="J25" s="792">
        <f ca="1">J5-J16</f>
        <v>-717</v>
      </c>
      <c r="K25" s="2511" t="s">
        <v>1776</v>
      </c>
      <c r="L25" s="2512"/>
      <c r="M25" s="2513"/>
    </row>
    <row r="26" spans="1:33" ht="18" customHeight="1">
      <c r="A26" s="1632" t="s">
        <v>1830</v>
      </c>
      <c r="B26" s="784" t="s">
        <v>2437</v>
      </c>
      <c r="C26" s="53">
        <f ca="1">ROUND((C19+C20)*F26,0)</f>
        <v>1372</v>
      </c>
      <c r="D26" s="812" t="s">
        <v>1777</v>
      </c>
      <c r="E26" s="795" t="s">
        <v>1778</v>
      </c>
      <c r="F26" s="794">
        <f ca="1">INDIRECT("'数据-取费表'!q"&amp;$G$1)</f>
        <v>0.3</v>
      </c>
      <c r="G26" s="1577"/>
      <c r="H26" s="2465" t="s">
        <v>1779</v>
      </c>
      <c r="I26" s="2216" t="s">
        <v>2825</v>
      </c>
      <c r="J26" s="783">
        <f ca="1">IF(J5&lt;&gt;0,ROUND(J25*(1-((1+M28)/(1+M26))^M27)/(M26-M28),0),0)</f>
        <v>0</v>
      </c>
      <c r="K26" s="814" t="s">
        <v>1780</v>
      </c>
      <c r="L26" s="784" t="s">
        <v>2418</v>
      </c>
      <c r="M26" s="794">
        <f ca="1">INDIRECT("'数据-取费表'!I"&amp;$G$1)</f>
        <v>5.5E-2</v>
      </c>
    </row>
    <row r="27" spans="1:33" ht="18" customHeight="1">
      <c r="A27" s="1632" t="s">
        <v>1831</v>
      </c>
      <c r="B27" s="784" t="s">
        <v>685</v>
      </c>
      <c r="C27" s="53">
        <f ca="1">ROUND(F21*F26,4)</f>
        <v>6.0000000000000001E-3</v>
      </c>
      <c r="D27" s="812" t="s">
        <v>1781</v>
      </c>
      <c r="E27" s="806"/>
      <c r="F27" s="807"/>
      <c r="G27" s="1577"/>
      <c r="H27" s="2466"/>
      <c r="I27" s="787"/>
      <c r="J27" s="788"/>
      <c r="K27" s="821" t="s">
        <v>1782</v>
      </c>
      <c r="L27" s="784" t="s">
        <v>1783</v>
      </c>
      <c r="M27" s="822">
        <f ca="1">INDIRECT("'数据-取费表'!ag"&amp;$G$1)</f>
        <v>0</v>
      </c>
    </row>
    <row r="28" spans="1:33" s="2048" customFormat="1" ht="18" customHeight="1">
      <c r="A28" s="1634" t="s">
        <v>1840</v>
      </c>
      <c r="B28" s="784" t="s">
        <v>686</v>
      </c>
      <c r="C28" s="53">
        <f>ROUND(F28/(1+'数据-取费表'!C42),4)</f>
        <v>5.33E-2</v>
      </c>
      <c r="D28" s="812" t="s">
        <v>2298</v>
      </c>
      <c r="E28" s="784" t="s">
        <v>1784</v>
      </c>
      <c r="F28" s="809">
        <f>'数据-取费表'!B41</f>
        <v>5.6000000000000001E-2</v>
      </c>
      <c r="G28" s="1578"/>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f ca="1">ROUND((C19+C20+C23+C26)/(1-F21-C24-C27-C28),0)</f>
        <v>6827</v>
      </c>
      <c r="D29" s="2508"/>
      <c r="E29" s="2509"/>
      <c r="F29" s="2510"/>
      <c r="G29" s="1578"/>
      <c r="H29" s="823" t="s">
        <v>1786</v>
      </c>
      <c r="I29" s="824" t="s">
        <v>1787</v>
      </c>
      <c r="J29" s="825">
        <f ca="1">ROUND(J26/(1+F40)^F41,0)</f>
        <v>0</v>
      </c>
      <c r="K29" s="826" t="s">
        <v>1788</v>
      </c>
      <c r="L29" s="827"/>
      <c r="M29" s="828">
        <f ca="1">INDIRECT("'数据-取费表'!k"&amp;$G$1)</f>
        <v>16087.449999999953</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329</v>
      </c>
      <c r="D30" s="1805" t="s">
        <v>1790</v>
      </c>
      <c r="E30" s="2449"/>
      <c r="F30" s="2454"/>
      <c r="G30" s="2046"/>
      <c r="H30" s="2049"/>
      <c r="I30" s="2050"/>
      <c r="J30" s="2051"/>
      <c r="K30" s="2052"/>
      <c r="L30" s="2053"/>
      <c r="M30" s="2054"/>
    </row>
    <row r="31" spans="1:33" ht="18" customHeight="1">
      <c r="A31" s="1633" t="s">
        <v>1829</v>
      </c>
      <c r="B31" s="784" t="s">
        <v>655</v>
      </c>
      <c r="C31" s="53">
        <f ca="1">ROUND(IF(项目基本情况!B11="自然人",C5*F31,C32+C33+C34),1)</f>
        <v>160.80000000000001</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1793</v>
      </c>
      <c r="C32" s="53">
        <f ca="1">ROUND(C5*F32/1.05,1)</f>
        <v>47.7</v>
      </c>
      <c r="D32" s="1961" t="s">
        <v>1794</v>
      </c>
      <c r="E32" s="784" t="s">
        <v>1795</v>
      </c>
      <c r="F32" s="809">
        <f>'数据-取费表'!B41</f>
        <v>5.6000000000000001E-2</v>
      </c>
      <c r="G32" s="2046"/>
      <c r="H32" s="2055"/>
      <c r="I32" s="2056"/>
      <c r="J32" s="2057"/>
      <c r="K32" s="2058"/>
      <c r="L32" s="2059"/>
      <c r="M32" s="2060"/>
    </row>
    <row r="33" spans="1:18" ht="18" customHeight="1">
      <c r="A33" s="1632"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6"/>
      <c r="H33" s="2061"/>
      <c r="I33" s="2061"/>
      <c r="J33" s="2061"/>
      <c r="K33" s="2062"/>
      <c r="L33" s="2061"/>
      <c r="M33" s="2061"/>
    </row>
    <row r="34" spans="1:18" ht="18" customHeight="1">
      <c r="A34" s="1635" t="s">
        <v>1832</v>
      </c>
      <c r="B34" s="341" t="s">
        <v>1797</v>
      </c>
      <c r="C34" s="54">
        <f ca="1">ROUND(F34*F35/10000,1)</f>
        <v>5.8</v>
      </c>
      <c r="D34" s="814" t="s">
        <v>1798</v>
      </c>
      <c r="E34" s="784" t="s">
        <v>1799</v>
      </c>
      <c r="F34" s="640">
        <f>'数据-取费表'!B52</f>
        <v>16</v>
      </c>
      <c r="G34" s="2046"/>
      <c r="H34" s="2049"/>
      <c r="I34" s="835" t="s">
        <v>1812</v>
      </c>
      <c r="J34" s="836"/>
      <c r="K34" s="2064"/>
      <c r="L34" s="2063"/>
      <c r="M34" s="2063"/>
    </row>
    <row r="35" spans="1:18" ht="18" customHeight="1">
      <c r="A35" s="815"/>
      <c r="B35" s="793"/>
      <c r="C35" s="69"/>
      <c r="D35" s="816"/>
      <c r="E35" s="784" t="s">
        <v>1800</v>
      </c>
      <c r="F35" s="785">
        <f ca="1">INDIRECT("'数据-取费表'!r"&amp;$G$1)</f>
        <v>3599.74</v>
      </c>
      <c r="G35" s="2046"/>
      <c r="H35" s="2049"/>
      <c r="I35" s="837" t="s">
        <v>1813</v>
      </c>
      <c r="J35" s="838">
        <f ca="1">ROUND(C13*J36,0)</f>
        <v>580</v>
      </c>
      <c r="K35" s="2062"/>
      <c r="L35" s="2061"/>
      <c r="M35" s="2061"/>
    </row>
    <row r="36" spans="1:18" ht="18" customHeight="1">
      <c r="A36" s="1633" t="s">
        <v>1888</v>
      </c>
      <c r="B36" s="784" t="s">
        <v>1801</v>
      </c>
      <c r="C36" s="53">
        <f ca="1">ROUND(C29*F36,1)</f>
        <v>136.5</v>
      </c>
      <c r="D36" s="1961" t="s">
        <v>1802</v>
      </c>
      <c r="E36" s="784" t="s">
        <v>1795</v>
      </c>
      <c r="F36" s="817">
        <f ca="1">INDIRECT("'数据-取费表'!Ak"&amp;$G$1)</f>
        <v>0.02</v>
      </c>
      <c r="G36" s="2046"/>
      <c r="H36" s="2061"/>
      <c r="I36" s="839" t="s">
        <v>1814</v>
      </c>
      <c r="J36" s="840">
        <f ca="1">INDIRECT("'数据-取费表'!j"&amp;$G$1)</f>
        <v>8.5000000000000006E-2</v>
      </c>
      <c r="K36" s="2066"/>
      <c r="L36" s="2061"/>
      <c r="M36" s="2061"/>
    </row>
    <row r="37" spans="1:18" ht="18" customHeight="1">
      <c r="A37" s="1633" t="s">
        <v>1889</v>
      </c>
      <c r="B37" s="784" t="s">
        <v>678</v>
      </c>
      <c r="C37" s="53">
        <f ca="1">ROUND(C13*F37,1)</f>
        <v>13.7</v>
      </c>
      <c r="D37" s="1961" t="s">
        <v>1803</v>
      </c>
      <c r="E37" s="784" t="s">
        <v>1795</v>
      </c>
      <c r="F37" s="818">
        <f ca="1">INDIRECT("'数据-取费表'!Al"&amp;$G$1)</f>
        <v>2E-3</v>
      </c>
      <c r="G37" s="2046"/>
      <c r="H37" s="2061"/>
      <c r="I37" s="841" t="s">
        <v>1815</v>
      </c>
      <c r="J37" s="842"/>
      <c r="K37" s="2066"/>
      <c r="L37" s="2061"/>
      <c r="M37" s="2061"/>
    </row>
    <row r="38" spans="1:18" ht="18" customHeight="1" thickBot="1">
      <c r="A38" s="2514" t="s">
        <v>1890</v>
      </c>
      <c r="B38" s="2509" t="s">
        <v>665</v>
      </c>
      <c r="C38" s="2507">
        <f ca="1">ROUND(C5*F38,1)</f>
        <v>17.899999999999999</v>
      </c>
      <c r="D38" s="2508" t="s">
        <v>1804</v>
      </c>
      <c r="E38" s="2509" t="s">
        <v>1795</v>
      </c>
      <c r="F38" s="2505">
        <f ca="1">INDIRECT("'数据-取费表'!Am"&amp;$G$1)</f>
        <v>0.02</v>
      </c>
      <c r="G38" s="2046"/>
      <c r="H38" s="2061"/>
      <c r="I38" s="843" t="s">
        <v>1816</v>
      </c>
      <c r="J38" s="844"/>
      <c r="K38" s="2067"/>
      <c r="L38" s="2061"/>
      <c r="M38" s="2061"/>
    </row>
    <row r="39" spans="1:18" ht="24.6" customHeight="1" thickTop="1">
      <c r="A39" s="1813" t="s">
        <v>1893</v>
      </c>
      <c r="B39" s="2961" t="s">
        <v>2820</v>
      </c>
      <c r="C39" s="792">
        <f ca="1">C5-C30</f>
        <v>565</v>
      </c>
      <c r="D39" s="2511" t="s">
        <v>1805</v>
      </c>
      <c r="E39" s="2512"/>
      <c r="F39" s="2513"/>
      <c r="G39" s="2046"/>
      <c r="H39" s="2061"/>
      <c r="I39" s="837" t="s">
        <v>1817</v>
      </c>
      <c r="J39" s="845">
        <f ca="1">ROUND(J35/C39,3)</f>
        <v>1.0269999999999999</v>
      </c>
      <c r="K39" s="2067"/>
      <c r="L39" s="2061"/>
      <c r="M39" s="2061"/>
    </row>
    <row r="40" spans="1:18" ht="18" customHeight="1">
      <c r="A40" s="781" t="s">
        <v>1894</v>
      </c>
      <c r="B40" s="2216" t="s">
        <v>2300</v>
      </c>
      <c r="C40" s="783">
        <f ca="1">ROUND(C39*(1-((1+F42)/(1+F40))^F41)/(F40-F42),0)</f>
        <v>11558</v>
      </c>
      <c r="D40" s="814" t="s">
        <v>1806</v>
      </c>
      <c r="E40" s="784" t="s">
        <v>2418</v>
      </c>
      <c r="F40" s="794">
        <f ca="1">INDIRECT("'数据-取费表'!I"&amp;$G$1)</f>
        <v>5.5E-2</v>
      </c>
      <c r="G40" s="2046"/>
      <c r="H40" s="2046"/>
      <c r="I40" s="837" t="s">
        <v>1818</v>
      </c>
      <c r="J40" s="845">
        <f ca="1">1-J39</f>
        <v>-2.6999999999999913E-2</v>
      </c>
      <c r="K40" s="2067"/>
      <c r="L40" s="2046"/>
      <c r="M40" s="2046"/>
    </row>
    <row r="41" spans="1:18" ht="18" customHeight="1">
      <c r="A41" s="786"/>
      <c r="B41" s="787"/>
      <c r="C41" s="788"/>
      <c r="D41" s="821" t="s">
        <v>1807</v>
      </c>
      <c r="E41" s="784" t="s">
        <v>2954</v>
      </c>
      <c r="F41" s="822">
        <f ca="1">IF(INDIRECT("'数据-取费表'!af"&amp;$G$1)=0,INDIRECT("'数据-取费表'!ae"&amp;$G$1),INDIRECT("'数据-取费表'!af"&amp;$G$1))</f>
        <v>37.31</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0.59099999999999997</v>
      </c>
      <c r="K42" s="2066"/>
      <c r="L42" s="1972"/>
      <c r="M42" s="1972"/>
    </row>
    <row r="43" spans="1:18" ht="18" customHeight="1" thickBot="1">
      <c r="A43" s="823" t="s">
        <v>1786</v>
      </c>
      <c r="B43" s="824" t="s">
        <v>1809</v>
      </c>
      <c r="C43" s="825">
        <f ca="1">ROUND(C40*10000/F43,0)</f>
        <v>7184</v>
      </c>
      <c r="D43" s="826" t="s">
        <v>1810</v>
      </c>
      <c r="E43" s="827" t="s">
        <v>1811</v>
      </c>
      <c r="F43" s="828">
        <f ca="1">INDIRECT("'数据-取费表'!k"&amp;$G$1)</f>
        <v>16087.449999999953</v>
      </c>
      <c r="G43" s="2046"/>
      <c r="H43" s="1972"/>
      <c r="I43" s="847" t="s">
        <v>1821</v>
      </c>
      <c r="J43" s="848">
        <f ca="1">1-J42</f>
        <v>0.40900000000000003</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-14010</v>
      </c>
      <c r="D46" s="2069"/>
      <c r="E46" s="2069"/>
      <c r="F46" s="2069"/>
      <c r="I46" s="2341" t="s">
        <v>2342</v>
      </c>
      <c r="J46" s="2342"/>
      <c r="K46" s="2343"/>
      <c r="L46" s="3107" t="str">
        <f ca="1">IF(OR(M47="住宅",D1="土地（套用方法）"),0,IF(L48&gt;J51,L60,J60))</f>
        <v>0</v>
      </c>
      <c r="O46" s="2357" t="s">
        <v>2409</v>
      </c>
      <c r="P46" s="1577"/>
      <c r="Q46" s="1588"/>
      <c r="R46" s="1577"/>
    </row>
    <row r="47" spans="1:18" s="2043" customFormat="1" ht="18" customHeight="1" thickBot="1">
      <c r="A47" s="2335">
        <v>1</v>
      </c>
      <c r="B47" s="2336" t="s">
        <v>634</v>
      </c>
      <c r="C47" s="2537">
        <f ca="1">C48+C52+C54</f>
        <v>0</v>
      </c>
      <c r="D47" s="2069"/>
      <c r="E47" s="2069"/>
      <c r="F47" s="2069"/>
      <c r="I47" s="3097" t="s">
        <v>2343</v>
      </c>
      <c r="J47" s="2344" t="s">
        <v>3137</v>
      </c>
      <c r="K47" s="3104" t="s">
        <v>2348</v>
      </c>
      <c r="L47" s="3108">
        <f ca="1">INDIRECT("'数据-取费表'!d"&amp;$G$1)</f>
        <v>40</v>
      </c>
      <c r="M47" s="1588" t="str">
        <f>IF(ISNUMBER(FIND("住宅",C1)),"住宅","非住宅")</f>
        <v>非住宅</v>
      </c>
      <c r="O47" s="2358" t="s">
        <v>2374</v>
      </c>
      <c r="P47" s="2359" t="s">
        <v>2375</v>
      </c>
      <c r="Q47" s="2360" t="s">
        <v>2376</v>
      </c>
      <c r="R47" s="2359" t="s">
        <v>2377</v>
      </c>
    </row>
    <row r="48" spans="1:18" s="2043" customFormat="1" ht="18" customHeight="1" thickBot="1">
      <c r="A48" s="2605" t="s">
        <v>2535</v>
      </c>
      <c r="B48" s="2606" t="s">
        <v>2536</v>
      </c>
      <c r="C48" s="2337">
        <f ca="1">ROUND(F48*F50*F49*(1-F51)/10000,0)</f>
        <v>0</v>
      </c>
      <c r="D48" s="2338" t="s">
        <v>635</v>
      </c>
      <c r="E48" s="2339" t="s">
        <v>2295</v>
      </c>
      <c r="F48" s="2340"/>
      <c r="G48" s="2074"/>
      <c r="I48" s="3076" t="s">
        <v>2344</v>
      </c>
      <c r="J48" s="2345" t="s">
        <v>2349</v>
      </c>
      <c r="K48" s="3105" t="s">
        <v>2350</v>
      </c>
      <c r="L48" s="1892">
        <f ca="1">INDIRECT("'数据-取费表'!f"&amp;$G$1)</f>
        <v>37.31</v>
      </c>
      <c r="O48" s="2361" t="s">
        <v>2378</v>
      </c>
      <c r="P48" s="2362" t="s">
        <v>2404</v>
      </c>
      <c r="Q48" s="2363">
        <f ca="1">C40+J29</f>
        <v>11558</v>
      </c>
      <c r="R48" s="2362" t="s">
        <v>2379</v>
      </c>
    </row>
    <row r="49" spans="1:18" s="2043" customFormat="1" ht="18" customHeight="1" thickBot="1">
      <c r="A49" s="786"/>
      <c r="B49" s="787"/>
      <c r="C49" s="788"/>
      <c r="D49" s="789"/>
      <c r="E49" s="784" t="s">
        <v>1738</v>
      </c>
      <c r="F49" s="785">
        <f ca="1">F7</f>
        <v>16087.449999999953</v>
      </c>
      <c r="G49" s="2074"/>
      <c r="H49" s="2077"/>
      <c r="I49" s="3076" t="s">
        <v>2345</v>
      </c>
      <c r="J49" s="2346"/>
      <c r="K49" s="3106" t="s">
        <v>2351</v>
      </c>
      <c r="L49" s="2347"/>
      <c r="O49" s="2361" t="s">
        <v>2380</v>
      </c>
      <c r="P49" s="2362" t="s">
        <v>2405</v>
      </c>
      <c r="Q49" s="2363" t="str">
        <f ca="1">J60</f>
        <v>0</v>
      </c>
      <c r="R49" s="2362" t="s">
        <v>2381</v>
      </c>
    </row>
    <row r="50" spans="1:18" s="2043" customFormat="1" ht="18" customHeight="1" thickBot="1">
      <c r="A50" s="786"/>
      <c r="B50" s="787"/>
      <c r="C50" s="788"/>
      <c r="D50" s="789"/>
      <c r="E50" s="784" t="s">
        <v>1739</v>
      </c>
      <c r="F50" s="785">
        <f ca="1">F8</f>
        <v>365</v>
      </c>
      <c r="G50" s="2079"/>
      <c r="H50" s="2077"/>
      <c r="I50" s="3076" t="s">
        <v>2346</v>
      </c>
      <c r="J50" s="3101">
        <f>SUMPRODUCT((I63:I65=J47)*(J62:L62=J48)*(J63:L65))</f>
        <v>60</v>
      </c>
      <c r="K50" s="3106" t="s">
        <v>2352</v>
      </c>
      <c r="L50" s="2347"/>
      <c r="O50" s="2364" t="s">
        <v>2382</v>
      </c>
      <c r="P50" s="2362" t="s">
        <v>2406</v>
      </c>
      <c r="Q50" s="2363">
        <f ca="1">C29</f>
        <v>6827</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f ca="1">ROUND(-PV(INDIRECT("'数据-取费表'!h"&amp;$G$1),L48,(C39-C13*J36),0),0)</f>
        <v>-256</v>
      </c>
      <c r="O51" s="2364" t="s">
        <v>2383</v>
      </c>
      <c r="P51" s="2362" t="s">
        <v>2384</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2965</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f ca="1">IF(M47="住宅",IF(D1="——",MAX(J51,L48),MAX(J51,L48-'数据-取费表'!B20)),IF(D1="——",MIN(J51,L48),MIN(J51,L48-'数据-取费表'!B20)))</f>
        <v>37.31</v>
      </c>
      <c r="K53" s="3488" t="s">
        <v>2956</v>
      </c>
      <c r="L53" s="3489"/>
      <c r="O53" s="2364" t="s">
        <v>2387</v>
      </c>
      <c r="P53" s="2362" t="s">
        <v>2388</v>
      </c>
      <c r="Q53" s="2363">
        <f ca="1">J53</f>
        <v>37.31</v>
      </c>
      <c r="R53" s="2362" t="s">
        <v>2389</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2390</v>
      </c>
      <c r="P54" s="2362" t="s">
        <v>2407</v>
      </c>
      <c r="Q54" s="2363">
        <f ca="1">Q48+Q49</f>
        <v>11558</v>
      </c>
      <c r="R54" s="2366" t="s">
        <v>2391</v>
      </c>
    </row>
    <row r="55" spans="1:18" s="2043" customFormat="1" ht="18" customHeight="1" thickTop="1" thickBot="1">
      <c r="A55" s="797">
        <v>2</v>
      </c>
      <c r="B55" s="798" t="s">
        <v>643</v>
      </c>
      <c r="C55" s="799">
        <f ca="1">C13</f>
        <v>6827</v>
      </c>
      <c r="D55" s="795"/>
      <c r="E55" s="795"/>
      <c r="F55" s="800"/>
      <c r="I55" s="3112" t="s">
        <v>2354</v>
      </c>
      <c r="J55" s="3051" t="e">
        <f ca="1">ROUND(IF(J47="钢混",J57/J50,1-(1-2%)*(J50-J57)/J50),3)</f>
        <v>#VALUE!</v>
      </c>
      <c r="K55" s="3113" t="s">
        <v>2355</v>
      </c>
      <c r="L55" s="2349"/>
      <c r="O55" s="2367" t="s">
        <v>2410</v>
      </c>
      <c r="P55" s="1577"/>
      <c r="Q55" s="1588"/>
      <c r="R55" s="1577"/>
    </row>
    <row r="56" spans="1:18" s="2043" customFormat="1" ht="42.75" customHeight="1" thickBot="1">
      <c r="A56" s="1634"/>
      <c r="B56" s="2215" t="s">
        <v>2301</v>
      </c>
      <c r="C56" s="53">
        <f ca="1">C29</f>
        <v>6827</v>
      </c>
      <c r="D56" s="2602"/>
      <c r="E56" s="784"/>
      <c r="F56" s="809"/>
      <c r="I56" s="3114" t="s">
        <v>2356</v>
      </c>
      <c r="J56" s="3124" t="s">
        <v>1677</v>
      </c>
      <c r="K56" s="3076" t="s">
        <v>2361</v>
      </c>
      <c r="L56" s="1892" t="str">
        <f ca="1">IF(L48&lt;J51,"——",L48-J51)</f>
        <v>——</v>
      </c>
      <c r="O56" s="2358" t="s">
        <v>2374</v>
      </c>
      <c r="P56" s="2359" t="s">
        <v>2375</v>
      </c>
      <c r="Q56" s="2360" t="s">
        <v>2376</v>
      </c>
      <c r="R56" s="2359" t="s">
        <v>2377</v>
      </c>
    </row>
    <row r="57" spans="1:18" s="2043" customFormat="1" ht="28.5" customHeight="1" thickBot="1">
      <c r="A57" s="797" t="s">
        <v>1747</v>
      </c>
      <c r="B57" s="798" t="s">
        <v>650</v>
      </c>
      <c r="C57" s="799">
        <f ca="1">ROUND(C58+C63+C64+C65,0)</f>
        <v>156</v>
      </c>
      <c r="D57" s="26" t="s">
        <v>1749</v>
      </c>
      <c r="E57" s="2603"/>
      <c r="F57" s="56"/>
      <c r="I57" s="3115" t="s">
        <v>2357</v>
      </c>
      <c r="J57" s="3116" t="str">
        <f ca="1">IF(OR(M47="住宅",J51&lt;L48,J56="是"),"——",J51-L48)</f>
        <v>——</v>
      </c>
      <c r="K57" s="3076" t="s">
        <v>2362</v>
      </c>
      <c r="L57" s="1892" t="str">
        <f ca="1">IF(L48&lt;J51,"——",IF(L55="比较法",L49,IF(L55="基准地价",L50,L51)))</f>
        <v>——</v>
      </c>
      <c r="O57" s="2361" t="s">
        <v>2378</v>
      </c>
      <c r="P57" s="2362" t="s">
        <v>2408</v>
      </c>
      <c r="Q57" s="2363">
        <f ca="1">C40+J29</f>
        <v>11558</v>
      </c>
      <c r="R57" s="2362" t="s">
        <v>2379</v>
      </c>
    </row>
    <row r="58" spans="1:18" s="2043" customFormat="1" ht="28.5" customHeight="1" thickBot="1">
      <c r="A58" s="1633" t="s">
        <v>1823</v>
      </c>
      <c r="B58" s="784" t="s">
        <v>655</v>
      </c>
      <c r="C58" s="53">
        <f ca="1">ROUND(IF(项目基本情况!B11="自然人",C47*F58,C59+C60+C61),1)</f>
        <v>5.8</v>
      </c>
      <c r="D58" s="2601" t="s">
        <v>656</v>
      </c>
      <c r="E58" s="2602" t="s">
        <v>689</v>
      </c>
      <c r="F58" s="810" t="str">
        <f ca="1">IF(项目基本情况!B11="企业","",IF(INDIRECT("'数据-取费表'!c"&amp;$G$1)="住宅",5%,IF(F48*F49*F50/12/(1+'数据-取费表'!C42)&gt;20000,12%,7%)))</f>
        <v/>
      </c>
      <c r="I58" s="3115" t="s">
        <v>2358</v>
      </c>
      <c r="J58" s="3052" t="e">
        <f ca="1">IF(J55&lt;0.4,0.4,J55)</f>
        <v>#VALUE!</v>
      </c>
      <c r="K58" s="3076" t="s">
        <v>2363</v>
      </c>
      <c r="L58" s="1892" t="e">
        <f ca="1">ROUND(POWER(1+L52,L47-L48)*(POWER(1+L52,L48)-1)/(POWER(1+L52,L47)-1),4)</f>
        <v>#DIV/0!</v>
      </c>
      <c r="O58" s="2361" t="s">
        <v>2380</v>
      </c>
      <c r="P58" s="2362" t="s">
        <v>2411</v>
      </c>
      <c r="Q58" s="2363">
        <f ca="1">L60</f>
        <v>0</v>
      </c>
      <c r="R58" s="2366" t="s">
        <v>2413</v>
      </c>
    </row>
    <row r="59" spans="1:18" s="2043" customFormat="1" ht="28.5" customHeight="1" thickBot="1">
      <c r="A59" s="1632" t="s">
        <v>1830</v>
      </c>
      <c r="B59" s="784" t="s">
        <v>659</v>
      </c>
      <c r="C59" s="53">
        <f ca="1">ROUND(C47*F59/1.05,1)</f>
        <v>0</v>
      </c>
      <c r="D59" s="2602" t="s">
        <v>1755</v>
      </c>
      <c r="E59" s="784" t="s">
        <v>1746</v>
      </c>
      <c r="F59" s="809">
        <f t="shared" ref="F59:F65" si="0">F32</f>
        <v>5.6000000000000001E-2</v>
      </c>
      <c r="I59" s="3115" t="s">
        <v>2359</v>
      </c>
      <c r="J59" s="3116" t="str">
        <f ca="1">IF(OR(M47="住宅",J51&lt;L48,J56="是"),"——",ROUND(C29*J58,0))</f>
        <v>——</v>
      </c>
      <c r="K59" s="3076"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#DIV/0!</v>
      </c>
      <c r="O59" s="2364" t="s">
        <v>2382</v>
      </c>
      <c r="P59" s="2362" t="s">
        <v>2412</v>
      </c>
      <c r="Q59" s="2363">
        <f>IF(L55="比较法",L49,IF(L55="基准地价",L50,0))</f>
        <v>0</v>
      </c>
      <c r="R59" s="2362" t="s">
        <v>2379</v>
      </c>
    </row>
    <row r="60" spans="1:18" s="2043" customFormat="1" ht="18" customHeight="1" thickBot="1">
      <c r="A60" s="1632"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7" t="s">
        <v>2360</v>
      </c>
      <c r="J60" s="3118" t="str">
        <f ca="1">IF(OR(M47="住宅",J51&lt;L48,J56="是"),"0",ROUND(J59/(1+J52)^J53,0))</f>
        <v>0</v>
      </c>
      <c r="K60" s="3119" t="s">
        <v>2365</v>
      </c>
      <c r="L60" s="3118">
        <f ca="1">IF(OR(M47="住宅",L48&lt;J51),0,ROUND(L57*(L58/L59-1),0))</f>
        <v>0</v>
      </c>
      <c r="O60" s="2364" t="s">
        <v>2383</v>
      </c>
      <c r="P60" s="2362" t="s">
        <v>2392</v>
      </c>
      <c r="Q60" s="2365">
        <f>L52</f>
        <v>0</v>
      </c>
      <c r="R60" s="2366"/>
    </row>
    <row r="61" spans="1:18" s="2043" customFormat="1" ht="18" customHeight="1" thickBot="1">
      <c r="A61" s="1635" t="s">
        <v>1832</v>
      </c>
      <c r="B61" s="341" t="s">
        <v>667</v>
      </c>
      <c r="C61" s="54">
        <f ca="1">ROUND(F61*F62/10000,1)</f>
        <v>5.8</v>
      </c>
      <c r="D61" s="814" t="s">
        <v>668</v>
      </c>
      <c r="E61" s="784" t="s">
        <v>669</v>
      </c>
      <c r="F61" s="640">
        <f t="shared" si="0"/>
        <v>16</v>
      </c>
      <c r="K61" s="2070"/>
      <c r="O61" s="2364" t="s">
        <v>2385</v>
      </c>
      <c r="P61" s="2362" t="s">
        <v>2393</v>
      </c>
      <c r="Q61" s="2363" t="e">
        <f ca="1">L58</f>
        <v>#DIV/0!</v>
      </c>
      <c r="R61" s="2366" t="s">
        <v>2394</v>
      </c>
    </row>
    <row r="62" spans="1:18" s="2043" customFormat="1" ht="15.75" thickBot="1">
      <c r="A62" s="815"/>
      <c r="B62" s="793"/>
      <c r="C62" s="69"/>
      <c r="D62" s="816"/>
      <c r="E62" s="784" t="s">
        <v>673</v>
      </c>
      <c r="F62" s="785">
        <f t="shared" ca="1" si="0"/>
        <v>3599.74</v>
      </c>
      <c r="I62" s="3120" t="s">
        <v>2366</v>
      </c>
      <c r="J62" s="3121" t="s">
        <v>2367</v>
      </c>
      <c r="K62" s="3121" t="s">
        <v>2368</v>
      </c>
      <c r="L62" s="3121" t="s">
        <v>2349</v>
      </c>
      <c r="M62" s="3122" t="s">
        <v>2932</v>
      </c>
      <c r="O62" s="2364" t="s">
        <v>2387</v>
      </c>
      <c r="P62" s="2362" t="str">
        <f>K59</f>
        <v>建筑物剩余耐用年限下的土地年期修正系数Kn</v>
      </c>
      <c r="Q62" s="2363" t="e">
        <f ca="1">L59</f>
        <v>#DIV/0!</v>
      </c>
      <c r="R62" s="2366" t="s">
        <v>2396</v>
      </c>
    </row>
    <row r="63" spans="1:18" s="2043" customFormat="1" ht="15.75" thickBot="1">
      <c r="A63" s="1633" t="s">
        <v>1888</v>
      </c>
      <c r="B63" s="784" t="s">
        <v>675</v>
      </c>
      <c r="C63" s="53">
        <f ca="1">ROUND(C56*F63,1)</f>
        <v>136.5</v>
      </c>
      <c r="D63" s="2602" t="s">
        <v>1802</v>
      </c>
      <c r="E63" s="784" t="s">
        <v>1746</v>
      </c>
      <c r="F63" s="817">
        <f t="shared" ca="1" si="0"/>
        <v>0.02</v>
      </c>
      <c r="I63" s="3120" t="s">
        <v>2369</v>
      </c>
      <c r="J63" s="3121">
        <v>70</v>
      </c>
      <c r="K63" s="3121">
        <v>50</v>
      </c>
      <c r="L63" s="3121">
        <v>80</v>
      </c>
      <c r="M63" s="3123">
        <v>0.02</v>
      </c>
      <c r="O63" s="2361" t="s">
        <v>2390</v>
      </c>
      <c r="P63" s="2362" t="s">
        <v>2407</v>
      </c>
      <c r="Q63" s="2363">
        <f ca="1">Q57+Q58</f>
        <v>11558</v>
      </c>
      <c r="R63" s="2366" t="s">
        <v>2391</v>
      </c>
    </row>
    <row r="64" spans="1:18" s="2043" customFormat="1" ht="16.5" thickBot="1">
      <c r="A64" s="1633" t="s">
        <v>1889</v>
      </c>
      <c r="B64" s="784" t="s">
        <v>678</v>
      </c>
      <c r="C64" s="53">
        <f ca="1">ROUND(C55*F64,1)</f>
        <v>13.7</v>
      </c>
      <c r="D64" s="2602" t="s">
        <v>679</v>
      </c>
      <c r="E64" s="784" t="s">
        <v>1746</v>
      </c>
      <c r="F64" s="818">
        <f t="shared" ca="1" si="0"/>
        <v>2E-3</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f ca="1">ROUND(C47*F65,1)</f>
        <v>0</v>
      </c>
      <c r="D65" s="2602" t="s">
        <v>682</v>
      </c>
      <c r="E65" s="784" t="s">
        <v>1746</v>
      </c>
      <c r="F65" s="794">
        <f t="shared" ca="1" si="0"/>
        <v>0.02</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f ca="1">C47-C57</f>
        <v>-156</v>
      </c>
      <c r="D66" s="2601" t="s">
        <v>699</v>
      </c>
      <c r="E66" s="2600"/>
      <c r="F66" s="820"/>
      <c r="K66" s="2070"/>
      <c r="O66" s="2361" t="s">
        <v>2378</v>
      </c>
      <c r="P66" s="2362" t="s">
        <v>2408</v>
      </c>
      <c r="Q66" s="2363">
        <f ca="1">C40+J29</f>
        <v>11558</v>
      </c>
      <c r="R66" s="2362" t="s">
        <v>2379</v>
      </c>
    </row>
    <row r="67" spans="1:18" s="2043" customFormat="1" ht="20.25" thickBot="1">
      <c r="A67" s="781" t="s">
        <v>1779</v>
      </c>
      <c r="B67" s="2216" t="s">
        <v>2300</v>
      </c>
      <c r="C67" s="783">
        <f ca="1">ROUND(C66*(1-((1+F69)/(1+F67))^F68)/(F67-F69),0)</f>
        <v>-2452</v>
      </c>
      <c r="D67" s="814" t="s">
        <v>703</v>
      </c>
      <c r="E67" s="784" t="s">
        <v>704</v>
      </c>
      <c r="F67" s="794">
        <f ca="1">F40</f>
        <v>5.5E-2</v>
      </c>
      <c r="K67" s="2070"/>
      <c r="O67" s="2361" t="s">
        <v>2380</v>
      </c>
      <c r="P67" s="2362" t="s">
        <v>2411</v>
      </c>
      <c r="Q67" s="2363">
        <f ca="1">L60</f>
        <v>0</v>
      </c>
      <c r="R67" s="2366" t="s">
        <v>2413</v>
      </c>
    </row>
    <row r="68" spans="1:18" ht="21.75" thickBot="1">
      <c r="A68" s="786"/>
      <c r="B68" s="787"/>
      <c r="C68" s="788"/>
      <c r="D68" s="821" t="s">
        <v>1807</v>
      </c>
      <c r="E68" s="784" t="s">
        <v>1783</v>
      </c>
      <c r="F68" s="822">
        <f ca="1">F41</f>
        <v>37.31</v>
      </c>
      <c r="O68" s="2364" t="s">
        <v>2382</v>
      </c>
      <c r="P68" s="2362" t="s">
        <v>2412</v>
      </c>
      <c r="Q68" s="2368">
        <f ca="1">L51</f>
        <v>-256</v>
      </c>
      <c r="R68" s="2369" t="s">
        <v>2415</v>
      </c>
    </row>
    <row r="69" spans="1:18" ht="20.25" thickBot="1">
      <c r="A69" s="790"/>
      <c r="B69" s="791"/>
      <c r="C69" s="792"/>
      <c r="D69" s="816"/>
      <c r="E69" s="784" t="s">
        <v>709</v>
      </c>
      <c r="F69" s="2334"/>
      <c r="O69" s="2364" t="s">
        <v>2383</v>
      </c>
      <c r="P69" s="2370" t="s">
        <v>2397</v>
      </c>
      <c r="Q69" s="2363">
        <f ca="1">ROUND(Q70-Q71*Q72,0)</f>
        <v>-15</v>
      </c>
      <c r="R69" s="2366"/>
    </row>
    <row r="70" spans="1:18" ht="15.75" thickBot="1">
      <c r="A70" s="823" t="s">
        <v>1786</v>
      </c>
      <c r="B70" s="824" t="s">
        <v>1809</v>
      </c>
      <c r="C70" s="825">
        <f ca="1">ROUND(C67*10000/F70,0)</f>
        <v>-1524</v>
      </c>
      <c r="D70" s="826" t="s">
        <v>1810</v>
      </c>
      <c r="E70" s="827" t="s">
        <v>1811</v>
      </c>
      <c r="F70" s="828">
        <f ca="1">F43</f>
        <v>16087.449999999953</v>
      </c>
      <c r="O70" s="2364" t="s">
        <v>2398</v>
      </c>
      <c r="P70" s="2370" t="s">
        <v>2399</v>
      </c>
      <c r="Q70" s="2363">
        <f ca="1">C39</f>
        <v>565</v>
      </c>
      <c r="R70" s="2362" t="s">
        <v>2379</v>
      </c>
    </row>
    <row r="71" spans="1:18" ht="15.75" thickBot="1">
      <c r="O71" s="2364" t="s">
        <v>2400</v>
      </c>
      <c r="P71" s="2370" t="s">
        <v>2401</v>
      </c>
      <c r="Q71" s="2363">
        <f ca="1">C13</f>
        <v>6827</v>
      </c>
      <c r="R71" s="2362" t="s">
        <v>2379</v>
      </c>
    </row>
    <row r="72" spans="1:18" ht="15.75" thickBot="1">
      <c r="O72" s="2364" t="s">
        <v>2402</v>
      </c>
      <c r="P72" s="2370" t="s">
        <v>2403</v>
      </c>
      <c r="Q72" s="2365">
        <f ca="1">J36</f>
        <v>8.5000000000000006E-2</v>
      </c>
      <c r="R72" s="2366"/>
    </row>
    <row r="73" spans="1:18" ht="15.75" thickBot="1">
      <c r="O73" s="2364" t="s">
        <v>2385</v>
      </c>
      <c r="P73" s="2362" t="s">
        <v>2392</v>
      </c>
      <c r="Q73" s="2365">
        <f>L52</f>
        <v>0</v>
      </c>
      <c r="R73" s="2366"/>
    </row>
    <row r="74" spans="1:18" ht="20.25" thickBot="1">
      <c r="O74" s="2364" t="s">
        <v>2387</v>
      </c>
      <c r="P74" s="2362" t="s">
        <v>2393</v>
      </c>
      <c r="Q74" s="2363" t="e">
        <f ca="1">L58</f>
        <v>#DIV/0!</v>
      </c>
      <c r="R74" s="2366" t="s">
        <v>2394</v>
      </c>
    </row>
    <row r="75" spans="1:18" ht="15.75" thickBot="1">
      <c r="O75" s="2364" t="s">
        <v>2416</v>
      </c>
      <c r="P75" s="2362" t="str">
        <f>K59</f>
        <v>建筑物剩余耐用年限下的土地年期修正系数Kn</v>
      </c>
      <c r="Q75" s="2363" t="e">
        <f ca="1">L59</f>
        <v>#DIV/0!</v>
      </c>
      <c r="R75" s="2366" t="s">
        <v>2396</v>
      </c>
    </row>
    <row r="76" spans="1:18" ht="15.75" thickBot="1">
      <c r="O76" s="2361" t="s">
        <v>2390</v>
      </c>
      <c r="P76" s="2362" t="s">
        <v>2407</v>
      </c>
      <c r="Q76" s="2363">
        <f ca="1">Q66+Q67</f>
        <v>11558</v>
      </c>
      <c r="R76" s="236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32" t="s">
        <v>1724</v>
      </c>
      <c r="B1" s="738"/>
      <c r="C1" s="773" t="s">
        <v>3123</v>
      </c>
      <c r="D1" s="3075" t="s">
        <v>951</v>
      </c>
      <c r="E1" s="2350" t="s">
        <v>869</v>
      </c>
      <c r="F1" s="2351" t="e">
        <f ca="1">J53</f>
        <v>#N/A</v>
      </c>
      <c r="G1" s="774" t="e">
        <f>MATCH(C1,'数据-取费表'!A6:A16,0)+5</f>
        <v>#N/A</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t="e">
        <f ca="1">C40+J29+L46</f>
        <v>#N/A</v>
      </c>
      <c r="C2" s="2041"/>
      <c r="D2" s="2039"/>
      <c r="E2" s="2040"/>
      <c r="F2" s="2040"/>
      <c r="G2" s="1575"/>
      <c r="H2" s="2041"/>
      <c r="I2" s="2041"/>
      <c r="J2" s="2041"/>
      <c r="K2" s="2042"/>
      <c r="L2" s="2041"/>
      <c r="M2" s="2041"/>
    </row>
    <row r="3" spans="1:33" ht="18" customHeight="1" thickBot="1">
      <c r="A3" s="833" t="s">
        <v>518</v>
      </c>
      <c r="B3" s="834">
        <f ca="1">IF(ISERROR(B2*10000/F43),0,ROUND(B2*10000/F43,0))</f>
        <v>0</v>
      </c>
      <c r="C3" s="2041"/>
      <c r="D3" s="2039"/>
      <c r="E3" s="2040"/>
      <c r="F3" s="2040"/>
      <c r="G3" s="1575"/>
      <c r="H3" s="776" t="s">
        <v>694</v>
      </c>
      <c r="I3" s="1357"/>
      <c r="J3" s="1357"/>
      <c r="K3" s="1576"/>
      <c r="L3" s="1357"/>
      <c r="M3" s="1357"/>
    </row>
    <row r="4" spans="1:33" ht="18" customHeight="1">
      <c r="A4" s="777" t="s">
        <v>629</v>
      </c>
      <c r="B4" s="778" t="s">
        <v>630</v>
      </c>
      <c r="C4" s="778" t="s">
        <v>631</v>
      </c>
      <c r="D4" s="778" t="s">
        <v>632</v>
      </c>
      <c r="E4" s="779" t="s">
        <v>633</v>
      </c>
      <c r="F4" s="780"/>
      <c r="G4" s="1577"/>
      <c r="H4" s="777" t="s">
        <v>629</v>
      </c>
      <c r="I4" s="778" t="s">
        <v>630</v>
      </c>
      <c r="J4" s="778" t="s">
        <v>631</v>
      </c>
      <c r="K4" s="778" t="s">
        <v>632</v>
      </c>
      <c r="L4" s="779" t="s">
        <v>633</v>
      </c>
      <c r="M4" s="780"/>
    </row>
    <row r="5" spans="1:33" ht="18" customHeight="1">
      <c r="A5" s="781">
        <v>1</v>
      </c>
      <c r="B5" s="782" t="s">
        <v>2456</v>
      </c>
      <c r="C5" s="55" t="e">
        <f ca="1">C6+C10+C12</f>
        <v>#N/A</v>
      </c>
      <c r="D5" s="2459" t="s">
        <v>2459</v>
      </c>
      <c r="E5" s="2453"/>
      <c r="F5" s="2454"/>
      <c r="G5" s="1577"/>
      <c r="H5" s="781">
        <v>1</v>
      </c>
      <c r="I5" s="782" t="s">
        <v>2456</v>
      </c>
      <c r="J5" s="55" t="e">
        <f ca="1">J6+J10+J12</f>
        <v>#N/A</v>
      </c>
      <c r="K5" s="2459" t="s">
        <v>2459</v>
      </c>
      <c r="L5" s="2453"/>
      <c r="M5" s="2454"/>
    </row>
    <row r="6" spans="1:33" ht="18" customHeight="1">
      <c r="A6" s="1814" t="s">
        <v>1823</v>
      </c>
      <c r="B6" s="3482" t="s">
        <v>2461</v>
      </c>
      <c r="C6" s="783" t="e">
        <f ca="1">ROUND(F6*F8*F7*(1-F9)/10000,0)</f>
        <v>#N/A</v>
      </c>
      <c r="D6" s="2460" t="s">
        <v>2460</v>
      </c>
      <c r="E6" s="784" t="s">
        <v>636</v>
      </c>
      <c r="F6" s="785" t="e">
        <f ca="1">INDIRECT("'数据-取费表'!u"&amp;$G$1)</f>
        <v>#N/A</v>
      </c>
      <c r="G6" s="1577"/>
      <c r="H6" s="2467" t="s">
        <v>1823</v>
      </c>
      <c r="I6" s="3482" t="s">
        <v>2461</v>
      </c>
      <c r="J6" s="783" t="e">
        <f ca="1">ROUND(M6*M8*M7*(1-M9)/10000,0)</f>
        <v>#N/A</v>
      </c>
      <c r="K6" s="341" t="s">
        <v>635</v>
      </c>
      <c r="L6" s="784" t="s">
        <v>636</v>
      </c>
      <c r="M6" s="785" t="e">
        <f ca="1">INDIRECT("'数据-取费表'!z"&amp;$G$1)</f>
        <v>#N/A</v>
      </c>
    </row>
    <row r="7" spans="1:33" ht="18" customHeight="1">
      <c r="A7" s="2463"/>
      <c r="B7" s="3483"/>
      <c r="C7" s="788"/>
      <c r="D7" s="789"/>
      <c r="E7" s="784" t="s">
        <v>637</v>
      </c>
      <c r="F7" s="785" t="e">
        <f ca="1">IF(INDIRECT("'数据-取费表'!ah"&amp;$G$1)="",INDIRECT("'数据-取费表'!k"&amp;$G$1),INDIRECT("'数据-取费表'!ah"&amp;$G$1))</f>
        <v>#N/A</v>
      </c>
      <c r="G7" s="1577"/>
      <c r="H7" s="2452"/>
      <c r="I7" s="3483"/>
      <c r="J7" s="788"/>
      <c r="K7" s="789"/>
      <c r="L7" s="784" t="s">
        <v>637</v>
      </c>
      <c r="M7" s="785" t="e">
        <f ca="1">F7</f>
        <v>#N/A</v>
      </c>
    </row>
    <row r="8" spans="1:33" ht="18" customHeight="1">
      <c r="A8" s="2456"/>
      <c r="B8" s="3484"/>
      <c r="C8" s="788"/>
      <c r="D8" s="789"/>
      <c r="E8" s="784" t="s">
        <v>638</v>
      </c>
      <c r="F8" s="785" t="e">
        <f ca="1">INDIRECT("'数据-取费表'!ai"&amp;$G$1)</f>
        <v>#N/A</v>
      </c>
      <c r="G8" s="1577"/>
      <c r="H8" s="2452"/>
      <c r="I8" s="3484"/>
      <c r="J8" s="788"/>
      <c r="K8" s="789"/>
      <c r="L8" s="784" t="s">
        <v>638</v>
      </c>
      <c r="M8" s="785" t="e">
        <f ca="1">INDIRECT("'数据-取费表'!ai"&amp;$G$1)</f>
        <v>#N/A</v>
      </c>
    </row>
    <row r="9" spans="1:33" ht="18" customHeight="1">
      <c r="A9" s="786"/>
      <c r="B9" s="3485"/>
      <c r="C9" s="788"/>
      <c r="D9" s="789"/>
      <c r="E9" s="784" t="s">
        <v>639</v>
      </c>
      <c r="F9" s="794" t="e">
        <f ca="1">INDIRECT("'数据-取费表'!w"&amp;$G$1)</f>
        <v>#N/A</v>
      </c>
      <c r="G9" s="1577"/>
      <c r="H9" s="2468"/>
      <c r="I9" s="3484"/>
      <c r="J9" s="788"/>
      <c r="K9" s="789"/>
      <c r="L9" s="795" t="s">
        <v>639</v>
      </c>
      <c r="M9" s="796" t="e">
        <f ca="1">INDIRECT("'数据-取费表'!ab"&amp;$G$1)</f>
        <v>#N/A</v>
      </c>
    </row>
    <row r="10" spans="1:33" ht="18" customHeight="1">
      <c r="A10" s="1814" t="s">
        <v>1824</v>
      </c>
      <c r="B10" s="2457" t="s">
        <v>2457</v>
      </c>
      <c r="C10" s="799" t="e">
        <f ca="1">ROUND(IF(F10="押一",C6/12*F11,IF(F10="押二",C6/12*2*F11,IF(F10="押三",C6/12*3*F11,C11*F11))),0)</f>
        <v>#N/A</v>
      </c>
      <c r="D10" s="2464" t="s">
        <v>2964</v>
      </c>
      <c r="E10" s="2461" t="s">
        <v>2462</v>
      </c>
      <c r="F10" s="2584" t="s">
        <v>3177</v>
      </c>
      <c r="G10" s="1577"/>
      <c r="H10" s="2524" t="s">
        <v>1824</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2454</v>
      </c>
      <c r="F11" s="796">
        <f ca="1">'数据-取费表'!B39</f>
        <v>1.4999999999999999E-2</v>
      </c>
      <c r="G11" s="1577"/>
      <c r="H11" s="2525"/>
      <c r="I11" s="2458" t="s">
        <v>2571</v>
      </c>
      <c r="J11" s="2462"/>
      <c r="K11" s="2526"/>
      <c r="L11" s="2461" t="s">
        <v>2454</v>
      </c>
      <c r="M11" s="2455">
        <f ca="1">'数据-取费表'!B39</f>
        <v>1.4999999999999999E-2</v>
      </c>
    </row>
    <row r="12" spans="1:33" ht="18" customHeight="1" thickBot="1">
      <c r="A12" s="2500" t="s">
        <v>2465</v>
      </c>
      <c r="B12" s="2501" t="s">
        <v>2458</v>
      </c>
      <c r="C12" s="2502"/>
      <c r="D12" s="2503"/>
      <c r="E12" s="2504"/>
      <c r="F12" s="2505"/>
      <c r="G12" s="1577"/>
      <c r="H12" s="2514" t="s">
        <v>2465</v>
      </c>
      <c r="I12" s="2527" t="s">
        <v>2458</v>
      </c>
      <c r="J12" s="2528"/>
      <c r="K12" s="2503"/>
      <c r="L12" s="2504"/>
      <c r="M12" s="2517"/>
    </row>
    <row r="13" spans="1:33" ht="18" customHeight="1" thickTop="1">
      <c r="A13" s="1813">
        <v>2</v>
      </c>
      <c r="B13" s="1811" t="s">
        <v>643</v>
      </c>
      <c r="C13" s="792" t="e">
        <f ca="1">ROUND(C29*F13,0)</f>
        <v>#N/A</v>
      </c>
      <c r="D13" s="1818" t="s">
        <v>2296</v>
      </c>
      <c r="E13" s="1818" t="s">
        <v>642</v>
      </c>
      <c r="F13" s="2499" t="e">
        <f ca="1">INDIRECT("'数据-取费表'!y"&amp;$G$1)</f>
        <v>#N/A</v>
      </c>
      <c r="G13" s="1577"/>
      <c r="H13" s="1813">
        <v>2</v>
      </c>
      <c r="I13" s="1811" t="s">
        <v>643</v>
      </c>
      <c r="J13" s="1803" t="e">
        <f ca="1">ROUND(J14*J15,0)</f>
        <v>#N/A</v>
      </c>
      <c r="K13" s="1805" t="s">
        <v>641</v>
      </c>
      <c r="L13" s="2515"/>
      <c r="M13" s="2516"/>
    </row>
    <row r="14" spans="1:33" ht="18" customHeight="1">
      <c r="A14" s="1632" t="s">
        <v>1830</v>
      </c>
      <c r="B14" s="784" t="s">
        <v>644</v>
      </c>
      <c r="C14" s="804" t="e">
        <f ca="1">INDIRECT("'数据-取费表'!m"&amp;$G$1)+INDIRECT("'数据-取费表'!t"&amp;$G$1)</f>
        <v>#N/A</v>
      </c>
      <c r="D14" s="3192" t="s">
        <v>645</v>
      </c>
      <c r="E14" s="3193"/>
      <c r="F14" s="805"/>
      <c r="G14" s="1577"/>
      <c r="H14" s="1633" t="s">
        <v>1823</v>
      </c>
      <c r="I14" s="2215" t="s">
        <v>2823</v>
      </c>
      <c r="J14" s="53" t="e">
        <f ca="1">C29</f>
        <v>#N/A</v>
      </c>
      <c r="K14" s="26"/>
      <c r="L14" s="801"/>
      <c r="M14" s="802"/>
    </row>
    <row r="15" spans="1:33" s="2048" customFormat="1" ht="18" customHeight="1" thickBot="1">
      <c r="A15" s="1632" t="s">
        <v>1831</v>
      </c>
      <c r="B15" s="784" t="s">
        <v>646</v>
      </c>
      <c r="C15" s="53" t="e">
        <f ca="1">ROUND(C14*F15,0)</f>
        <v>#N/A</v>
      </c>
      <c r="D15" s="806" t="s">
        <v>647</v>
      </c>
      <c r="E15" s="806" t="s">
        <v>648</v>
      </c>
      <c r="F15" s="807">
        <f>'数据-取费表'!B33</f>
        <v>0.04</v>
      </c>
      <c r="G15" s="1578"/>
      <c r="H15" s="2514" t="s">
        <v>1888</v>
      </c>
      <c r="I15" s="2509" t="s">
        <v>642</v>
      </c>
      <c r="J15" s="2518" t="e">
        <f ca="1">INDIRECT("'数据-取费表'!ad"&amp;$G$1)</f>
        <v>#N/A</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1832</v>
      </c>
      <c r="B16" s="784" t="s">
        <v>649</v>
      </c>
      <c r="C16" s="53" t="e">
        <f ca="1">ROUND(INDIRECT("'数据-取费表'!m"&amp;$G$1)*F16,0)</f>
        <v>#N/A</v>
      </c>
      <c r="D16" s="784" t="s">
        <v>647</v>
      </c>
      <c r="E16" s="784" t="s">
        <v>648</v>
      </c>
      <c r="F16" s="809" t="e">
        <f ca="1">IF(INDIRECT("'数据-取费表'!c"&amp;$G$1)="住宅",'数据-取费表'!B34,0)</f>
        <v>#N/A</v>
      </c>
      <c r="G16" s="1577"/>
      <c r="H16" s="1813" t="s">
        <v>1747</v>
      </c>
      <c r="I16" s="1811" t="s">
        <v>650</v>
      </c>
      <c r="J16" s="792" t="e">
        <f ca="1">ROUND(J17+J22+J23+J24,0)</f>
        <v>#N/A</v>
      </c>
      <c r="K16" s="1805" t="s">
        <v>651</v>
      </c>
      <c r="L16" s="3194"/>
      <c r="M16" s="2454"/>
    </row>
    <row r="17" spans="1:33" s="2048" customFormat="1" ht="18" customHeight="1">
      <c r="A17" s="1632" t="s">
        <v>1886</v>
      </c>
      <c r="B17" s="784" t="s">
        <v>652</v>
      </c>
      <c r="C17" s="53" t="e">
        <f ca="1">ROUND(F17*(F43+INDIRECT("'数据-取费表'!S"&amp;$G$1))/10000,0)</f>
        <v>#N/A</v>
      </c>
      <c r="D17" s="784" t="s">
        <v>653</v>
      </c>
      <c r="E17" s="784" t="s">
        <v>654</v>
      </c>
      <c r="F17" s="56">
        <f>'数据-取费表'!B35</f>
        <v>150</v>
      </c>
      <c r="G17" s="1578"/>
      <c r="H17" s="1633" t="s">
        <v>1823</v>
      </c>
      <c r="I17" s="784" t="s">
        <v>655</v>
      </c>
      <c r="J17" s="53" t="e">
        <f ca="1">ROUND(IF(项目基本情况!B11="自然人",J5*M17,J18+J19+J20),0)</f>
        <v>#N/A</v>
      </c>
      <c r="K17" s="3192" t="s">
        <v>656</v>
      </c>
      <c r="L17" s="3191"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t="e">
        <f ca="1">ROUND(C14*F18,0)</f>
        <v>#N/A</v>
      </c>
      <c r="D18" s="784" t="s">
        <v>647</v>
      </c>
      <c r="E18" s="784" t="s">
        <v>648</v>
      </c>
      <c r="F18" s="809">
        <f>'数据-取费表'!B36</f>
        <v>1.4999999999999999E-2</v>
      </c>
      <c r="G18" s="1578"/>
      <c r="H18" s="1632" t="s">
        <v>1830</v>
      </c>
      <c r="I18" s="784" t="s">
        <v>659</v>
      </c>
      <c r="J18" s="53" t="e">
        <f ca="1">ROUND(J5*M18/1.05,1)</f>
        <v>#N/A</v>
      </c>
      <c r="K18" s="3191" t="s">
        <v>660</v>
      </c>
      <c r="L18" s="784" t="s">
        <v>648</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1823</v>
      </c>
      <c r="B19" s="784" t="s">
        <v>661</v>
      </c>
      <c r="C19" s="53" t="e">
        <f ca="1">SUM(C14:C18)</f>
        <v>#N/A</v>
      </c>
      <c r="D19" s="261" t="s">
        <v>662</v>
      </c>
      <c r="E19" s="3196"/>
      <c r="F19" s="56"/>
      <c r="G19" s="1577"/>
      <c r="H19" s="1632" t="s">
        <v>1831</v>
      </c>
      <c r="I19" s="784" t="s">
        <v>663</v>
      </c>
      <c r="J19" s="53" t="e">
        <f ca="1">IF(K19="按租金收入计税",ROUND(J5*M19,1),ROUND(C29*F33*0.7,1))</f>
        <v>#N/A</v>
      </c>
      <c r="K19" s="811" t="s">
        <v>664</v>
      </c>
      <c r="L19" s="784" t="s">
        <v>648</v>
      </c>
      <c r="M19" s="809">
        <f>IF(K19="按租金收入计税",'数据-取费表'!B51,'数据-取费表'!B50)</f>
        <v>1.2E-2</v>
      </c>
    </row>
    <row r="20" spans="1:33" s="2048" customFormat="1" ht="18" customHeight="1">
      <c r="A20" s="1633" t="s">
        <v>1888</v>
      </c>
      <c r="B20" s="784" t="s">
        <v>665</v>
      </c>
      <c r="C20" s="53" t="e">
        <f ca="1">ROUND(C19*F20,0)</f>
        <v>#N/A</v>
      </c>
      <c r="D20" s="812" t="s">
        <v>666</v>
      </c>
      <c r="E20" s="784" t="s">
        <v>648</v>
      </c>
      <c r="F20" s="809">
        <f>'数据-取费表'!B37</f>
        <v>0.02</v>
      </c>
      <c r="G20" s="1578"/>
      <c r="H20" s="1635" t="s">
        <v>1832</v>
      </c>
      <c r="I20" s="341" t="s">
        <v>667</v>
      </c>
      <c r="J20" s="54" t="e">
        <f ca="1">ROUND(M20*M21/10000,0)</f>
        <v>#N/A</v>
      </c>
      <c r="K20" s="814" t="s">
        <v>668</v>
      </c>
      <c r="L20" s="784" t="s">
        <v>669</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670</v>
      </c>
      <c r="C21" s="53" t="s">
        <v>1763</v>
      </c>
      <c r="D21" s="812" t="s">
        <v>2297</v>
      </c>
      <c r="E21" s="784" t="s">
        <v>672</v>
      </c>
      <c r="F21" s="809">
        <f>'数据-取费表'!B38</f>
        <v>0.02</v>
      </c>
      <c r="G21" s="1578"/>
      <c r="H21" s="2469"/>
      <c r="I21" s="793"/>
      <c r="J21" s="69"/>
      <c r="K21" s="816"/>
      <c r="L21" s="784" t="s">
        <v>673</v>
      </c>
      <c r="M21" s="785" t="e">
        <f ca="1">INDIRECT("'数据-取费表'!r"&amp;$G$1)</f>
        <v>#N/A</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674</v>
      </c>
      <c r="C22" s="53"/>
      <c r="D22" s="2535" t="str">
        <f>IF(F23&lt;=1,"单利计息。","复利计息。")&amp;"建造成本、管理费用、销售费用产生的利息。"</f>
        <v>复利计息。建造成本、管理费用、销售费用产生的利息。</v>
      </c>
      <c r="E22" s="3196"/>
      <c r="F22" s="56"/>
      <c r="G22" s="1577"/>
      <c r="H22" s="1633" t="s">
        <v>1888</v>
      </c>
      <c r="I22" s="784" t="s">
        <v>675</v>
      </c>
      <c r="J22" s="53" t="e">
        <f ca="1">ROUND(J14*M22,0)</f>
        <v>#N/A</v>
      </c>
      <c r="K22" s="3191" t="s">
        <v>676</v>
      </c>
      <c r="L22" s="784" t="s">
        <v>648</v>
      </c>
      <c r="M22" s="817" t="e">
        <f ca="1">INDIRECT("'数据-取费表'!Ak"&amp;$G$1)</f>
        <v>#N/A</v>
      </c>
    </row>
    <row r="23" spans="1:33" s="2048" customFormat="1" ht="18" customHeight="1">
      <c r="A23" s="1632" t="s">
        <v>1830</v>
      </c>
      <c r="B23" s="784" t="s">
        <v>2436</v>
      </c>
      <c r="C23" s="53" t="e">
        <f ca="1">ROUND(IF('数据-取费表'!B22&lt;=1,(C19+C20)*F24*F23/2,(C19+C20)*(POWER((1+F24),F23/2)-1)),0)</f>
        <v>#N/A</v>
      </c>
      <c r="D23" s="2534" t="str">
        <f>IF(F23&lt;=1,"(建造成本+管理费用)×利率×(建设周期÷2)","(建造成本+管理费用)×((1+利率)^(建设周期÷2)-1)")</f>
        <v>(建造成本+管理费用)×((1+利率)^(建设周期÷2)-1)</v>
      </c>
      <c r="E23" s="784" t="s">
        <v>677</v>
      </c>
      <c r="F23" s="640">
        <f>'数据-取费表'!B20</f>
        <v>3</v>
      </c>
      <c r="G23" s="1578"/>
      <c r="H23" s="1633" t="s">
        <v>1889</v>
      </c>
      <c r="I23" s="784" t="s">
        <v>678</v>
      </c>
      <c r="J23" s="53" t="e">
        <f ca="1">ROUND(J13*M23,0)</f>
        <v>#N/A</v>
      </c>
      <c r="K23" s="3191" t="s">
        <v>679</v>
      </c>
      <c r="L23" s="784" t="s">
        <v>648</v>
      </c>
      <c r="M23" s="818" t="e">
        <f ca="1">INDIRECT("'数据-取费表'!Al"&amp;$G$1)</f>
        <v>#N/A</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680</v>
      </c>
      <c r="C24" s="53">
        <f ca="1">ROUND(IF('数据-取费表'!B22&lt;=1,F21*F24*F23/2,F21*(POWER((1+F24),F23/2)-1)),4)</f>
        <v>1.4E-3</v>
      </c>
      <c r="D24" s="2534" t="str">
        <f>IF(F23&lt;=1,"销售费用×利率×(建设周期÷2)","销售费用×((1+利率)^(建设周期÷2)-1)")</f>
        <v>销售费用×((1+利率)^(建设周期÷2)-1)</v>
      </c>
      <c r="E24" s="784" t="s">
        <v>681</v>
      </c>
      <c r="F24" s="819">
        <f ca="1">'数据-取费表'!B40</f>
        <v>4.7500000000000001E-2</v>
      </c>
      <c r="G24" s="1578"/>
      <c r="H24" s="2514" t="s">
        <v>1890</v>
      </c>
      <c r="I24" s="2509" t="s">
        <v>665</v>
      </c>
      <c r="J24" s="2507" t="e">
        <f ca="1">ROUND(J5*M24,0)</f>
        <v>#N/A</v>
      </c>
      <c r="K24" s="2508" t="s">
        <v>682</v>
      </c>
      <c r="L24" s="2509" t="s">
        <v>648</v>
      </c>
      <c r="M24" s="2505" t="e">
        <f ca="1">INDIRECT("'数据-取费表'!Am"&amp;$G$1)</f>
        <v>#N/A</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684</v>
      </c>
      <c r="E25" s="3196"/>
      <c r="F25" s="56"/>
      <c r="G25" s="1577"/>
      <c r="H25" s="1813" t="s">
        <v>1775</v>
      </c>
      <c r="I25" s="2961" t="s">
        <v>2820</v>
      </c>
      <c r="J25" s="792" t="e">
        <f ca="1">J5-J16</f>
        <v>#N/A</v>
      </c>
      <c r="K25" s="2511" t="s">
        <v>699</v>
      </c>
      <c r="L25" s="2512"/>
      <c r="M25" s="2513"/>
    </row>
    <row r="26" spans="1:33" ht="18" customHeight="1">
      <c r="A26" s="1632" t="s">
        <v>1830</v>
      </c>
      <c r="B26" s="784" t="s">
        <v>2437</v>
      </c>
      <c r="C26" s="53" t="e">
        <f ca="1">ROUND((C19+C20)*F26,0)</f>
        <v>#N/A</v>
      </c>
      <c r="D26" s="812" t="s">
        <v>700</v>
      </c>
      <c r="E26" s="795" t="s">
        <v>701</v>
      </c>
      <c r="F26" s="794" t="e">
        <f ca="1">INDIRECT("'数据-取费表'!q"&amp;$G$1)</f>
        <v>#N/A</v>
      </c>
      <c r="G26" s="1577"/>
      <c r="H26" s="2465" t="s">
        <v>1779</v>
      </c>
      <c r="I26" s="2216" t="s">
        <v>2825</v>
      </c>
      <c r="J26" s="783" t="e">
        <f ca="1">IF(J5&lt;&gt;0,ROUND(J25*(1-((1+M28)/(1+M26))^M27)/(M26-M28),0),0)</f>
        <v>#N/A</v>
      </c>
      <c r="K26" s="814" t="s">
        <v>703</v>
      </c>
      <c r="L26" s="784" t="s">
        <v>2418</v>
      </c>
      <c r="M26" s="794" t="e">
        <f ca="1">INDIRECT("'数据-取费表'!I"&amp;$G$1)</f>
        <v>#N/A</v>
      </c>
    </row>
    <row r="27" spans="1:33" ht="18" customHeight="1">
      <c r="A27" s="1632" t="s">
        <v>1831</v>
      </c>
      <c r="B27" s="784" t="s">
        <v>685</v>
      </c>
      <c r="C27" s="53" t="e">
        <f ca="1">ROUND(F21*F26,4)</f>
        <v>#N/A</v>
      </c>
      <c r="D27" s="812" t="s">
        <v>705</v>
      </c>
      <c r="E27" s="806"/>
      <c r="F27" s="807"/>
      <c r="G27" s="1577"/>
      <c r="H27" s="2466"/>
      <c r="I27" s="787"/>
      <c r="J27" s="788"/>
      <c r="K27" s="821" t="s">
        <v>706</v>
      </c>
      <c r="L27" s="784" t="s">
        <v>707</v>
      </c>
      <c r="M27" s="822" t="e">
        <f ca="1">INDIRECT("'数据-取费表'!ag"&amp;$G$1)</f>
        <v>#N/A</v>
      </c>
    </row>
    <row r="28" spans="1:33" s="2048" customFormat="1" ht="18" customHeight="1">
      <c r="A28" s="1634" t="s">
        <v>1840</v>
      </c>
      <c r="B28" s="784" t="s">
        <v>686</v>
      </c>
      <c r="C28" s="53">
        <f>ROUND(F28/(1+'数据-取费表'!C42),4)</f>
        <v>5.33E-2</v>
      </c>
      <c r="D28" s="812" t="s">
        <v>2298</v>
      </c>
      <c r="E28" s="784" t="s">
        <v>648</v>
      </c>
      <c r="F28" s="809">
        <f>'数据-取费表'!B41</f>
        <v>5.6000000000000001E-2</v>
      </c>
      <c r="G28" s="1578"/>
      <c r="H28" s="1813"/>
      <c r="I28" s="791"/>
      <c r="J28" s="792"/>
      <c r="K28" s="816"/>
      <c r="L28" s="784" t="s">
        <v>709</v>
      </c>
      <c r="M28" s="794" t="e">
        <f ca="1">INDIRECT("'数据-取费表'!aa"&amp;$G$1)</f>
        <v>#N/A</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t="e">
        <f ca="1">ROUND((C19+C20+C23+C26)/(1-F21-C24-C27-C28),0)</f>
        <v>#N/A</v>
      </c>
      <c r="D29" s="2508"/>
      <c r="E29" s="2509"/>
      <c r="F29" s="2510"/>
      <c r="G29" s="1578"/>
      <c r="H29" s="823" t="s">
        <v>1786</v>
      </c>
      <c r="I29" s="824" t="s">
        <v>1787</v>
      </c>
      <c r="J29" s="825" t="e">
        <f ca="1">ROUND(J26/(1+F40)^F41,0)</f>
        <v>#N/A</v>
      </c>
      <c r="K29" s="826" t="s">
        <v>687</v>
      </c>
      <c r="L29" s="827"/>
      <c r="M29" s="828" t="e">
        <f ca="1">INDIRECT("'数据-取费表'!k"&amp;$G$1)</f>
        <v>#N/A</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650</v>
      </c>
      <c r="C30" s="792" t="e">
        <f ca="1">ROUND(C31+C36+C37+C38,0)</f>
        <v>#N/A</v>
      </c>
      <c r="D30" s="1805" t="s">
        <v>651</v>
      </c>
      <c r="E30" s="3194"/>
      <c r="F30" s="2454"/>
      <c r="G30" s="2046"/>
      <c r="H30" s="2049"/>
      <c r="I30" s="2050"/>
      <c r="J30" s="2051"/>
      <c r="K30" s="2052"/>
      <c r="L30" s="2053"/>
      <c r="M30" s="2054"/>
    </row>
    <row r="31" spans="1:33" ht="18" customHeight="1">
      <c r="A31" s="1633" t="s">
        <v>1823</v>
      </c>
      <c r="B31" s="784" t="s">
        <v>655</v>
      </c>
      <c r="C31" s="53" t="e">
        <f ca="1">ROUND(IF(项目基本情况!B11="自然人",C5*F31,C32+C33+C34),1)</f>
        <v>#N/A</v>
      </c>
      <c r="D31" s="3192" t="s">
        <v>656</v>
      </c>
      <c r="E31" s="3191"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659</v>
      </c>
      <c r="C32" s="53" t="e">
        <f ca="1">ROUND(C5*F32/1.05,1)</f>
        <v>#N/A</v>
      </c>
      <c r="D32" s="3191" t="s">
        <v>660</v>
      </c>
      <c r="E32" s="784" t="s">
        <v>648</v>
      </c>
      <c r="F32" s="809">
        <f>'数据-取费表'!B41</f>
        <v>5.6000000000000001E-2</v>
      </c>
      <c r="G32" s="2046"/>
      <c r="H32" s="2055"/>
      <c r="I32" s="2056"/>
      <c r="J32" s="2057"/>
      <c r="K32" s="2058"/>
      <c r="L32" s="2059"/>
      <c r="M32" s="2060"/>
    </row>
    <row r="33" spans="1:18" ht="18" customHeight="1">
      <c r="A33" s="1632"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6"/>
      <c r="H33" s="2061"/>
      <c r="I33" s="2061"/>
      <c r="J33" s="2061"/>
      <c r="K33" s="2062"/>
      <c r="L33" s="2061"/>
      <c r="M33" s="2061"/>
    </row>
    <row r="34" spans="1:18" ht="18" customHeight="1">
      <c r="A34" s="1635" t="s">
        <v>1832</v>
      </c>
      <c r="B34" s="341" t="s">
        <v>667</v>
      </c>
      <c r="C34" s="54" t="e">
        <f ca="1">ROUND(F34*F35/10000,1)</f>
        <v>#N/A</v>
      </c>
      <c r="D34" s="814" t="s">
        <v>668</v>
      </c>
      <c r="E34" s="784" t="s">
        <v>669</v>
      </c>
      <c r="F34" s="640">
        <f>'数据-取费表'!B52</f>
        <v>16</v>
      </c>
      <c r="G34" s="2046"/>
      <c r="H34" s="2049"/>
      <c r="I34" s="835" t="s">
        <v>1812</v>
      </c>
      <c r="J34" s="836"/>
      <c r="K34" s="2064"/>
      <c r="L34" s="2063"/>
      <c r="M34" s="2063"/>
    </row>
    <row r="35" spans="1:18" ht="18" customHeight="1">
      <c r="A35" s="815"/>
      <c r="B35" s="793"/>
      <c r="C35" s="69"/>
      <c r="D35" s="816"/>
      <c r="E35" s="784" t="s">
        <v>673</v>
      </c>
      <c r="F35" s="785" t="e">
        <f ca="1">INDIRECT("'数据-取费表'!r"&amp;$G$1)</f>
        <v>#N/A</v>
      </c>
      <c r="G35" s="2046"/>
      <c r="H35" s="2049"/>
      <c r="I35" s="837" t="s">
        <v>1813</v>
      </c>
      <c r="J35" s="838" t="e">
        <f ca="1">ROUND(C13*J36,0)</f>
        <v>#N/A</v>
      </c>
      <c r="K35" s="2062"/>
      <c r="L35" s="2061"/>
      <c r="M35" s="2061"/>
    </row>
    <row r="36" spans="1:18" ht="18" customHeight="1">
      <c r="A36" s="1633" t="s">
        <v>1888</v>
      </c>
      <c r="B36" s="784" t="s">
        <v>675</v>
      </c>
      <c r="C36" s="53" t="e">
        <f ca="1">ROUND(C29*F36,1)</f>
        <v>#N/A</v>
      </c>
      <c r="D36" s="3191" t="s">
        <v>690</v>
      </c>
      <c r="E36" s="784" t="s">
        <v>648</v>
      </c>
      <c r="F36" s="817" t="e">
        <f ca="1">INDIRECT("'数据-取费表'!Ak"&amp;$G$1)</f>
        <v>#N/A</v>
      </c>
      <c r="G36" s="2046"/>
      <c r="H36" s="2061"/>
      <c r="I36" s="839" t="s">
        <v>1814</v>
      </c>
      <c r="J36" s="840" t="e">
        <f ca="1">INDIRECT("'数据-取费表'!j"&amp;$G$1)</f>
        <v>#N/A</v>
      </c>
      <c r="K36" s="2066"/>
      <c r="L36" s="2061"/>
      <c r="M36" s="2061"/>
    </row>
    <row r="37" spans="1:18" ht="18" customHeight="1">
      <c r="A37" s="1633" t="s">
        <v>1889</v>
      </c>
      <c r="B37" s="784" t="s">
        <v>678</v>
      </c>
      <c r="C37" s="53" t="e">
        <f ca="1">ROUND(C13*F37,1)</f>
        <v>#N/A</v>
      </c>
      <c r="D37" s="3191" t="s">
        <v>679</v>
      </c>
      <c r="E37" s="784" t="s">
        <v>648</v>
      </c>
      <c r="F37" s="818" t="e">
        <f ca="1">INDIRECT("'数据-取费表'!Al"&amp;$G$1)</f>
        <v>#N/A</v>
      </c>
      <c r="G37" s="2046"/>
      <c r="H37" s="2061"/>
      <c r="I37" s="841" t="s">
        <v>1815</v>
      </c>
      <c r="J37" s="842"/>
      <c r="K37" s="2066"/>
      <c r="L37" s="2061"/>
      <c r="M37" s="2061"/>
    </row>
    <row r="38" spans="1:18" ht="18" customHeight="1" thickBot="1">
      <c r="A38" s="2514" t="s">
        <v>1890</v>
      </c>
      <c r="B38" s="2509" t="s">
        <v>665</v>
      </c>
      <c r="C38" s="2507" t="e">
        <f ca="1">ROUND(C5*F38,1)</f>
        <v>#N/A</v>
      </c>
      <c r="D38" s="2508" t="s">
        <v>682</v>
      </c>
      <c r="E38" s="2509" t="s">
        <v>648</v>
      </c>
      <c r="F38" s="2505" t="e">
        <f ca="1">INDIRECT("'数据-取费表'!Am"&amp;$G$1)</f>
        <v>#N/A</v>
      </c>
      <c r="G38" s="2046"/>
      <c r="H38" s="2061"/>
      <c r="I38" s="843" t="s">
        <v>1816</v>
      </c>
      <c r="J38" s="844"/>
      <c r="K38" s="2067"/>
      <c r="L38" s="2061"/>
      <c r="M38" s="2061"/>
    </row>
    <row r="39" spans="1:18" ht="24.6" customHeight="1" thickTop="1">
      <c r="A39" s="1813" t="s">
        <v>1775</v>
      </c>
      <c r="B39" s="2961" t="s">
        <v>2820</v>
      </c>
      <c r="C39" s="792" t="e">
        <f ca="1">C5-C30</f>
        <v>#N/A</v>
      </c>
      <c r="D39" s="2511" t="s">
        <v>699</v>
      </c>
      <c r="E39" s="2512"/>
      <c r="F39" s="2513"/>
      <c r="G39" s="2046"/>
      <c r="H39" s="2061"/>
      <c r="I39" s="837" t="s">
        <v>1817</v>
      </c>
      <c r="J39" s="845" t="e">
        <f ca="1">ROUND(J35/C39,3)</f>
        <v>#N/A</v>
      </c>
      <c r="K39" s="2067"/>
      <c r="L39" s="2061"/>
      <c r="M39" s="2061"/>
    </row>
    <row r="40" spans="1:18" ht="18" customHeight="1">
      <c r="A40" s="781" t="s">
        <v>1779</v>
      </c>
      <c r="B40" s="2216" t="s">
        <v>2300</v>
      </c>
      <c r="C40" s="783" t="e">
        <f ca="1">ROUND(C39*(1-((1+F42)/(1+F40))^F41)/(F40-F42),0)</f>
        <v>#N/A</v>
      </c>
      <c r="D40" s="814" t="s">
        <v>703</v>
      </c>
      <c r="E40" s="784" t="s">
        <v>2418</v>
      </c>
      <c r="F40" s="794" t="e">
        <f ca="1">INDIRECT("'数据-取费表'!I"&amp;$G$1)</f>
        <v>#N/A</v>
      </c>
      <c r="G40" s="2046"/>
      <c r="H40" s="2046"/>
      <c r="I40" s="837" t="s">
        <v>1818</v>
      </c>
      <c r="J40" s="845" t="e">
        <f ca="1">1-J39</f>
        <v>#N/A</v>
      </c>
      <c r="K40" s="2067"/>
      <c r="L40" s="2046"/>
      <c r="M40" s="2046"/>
    </row>
    <row r="41" spans="1:18" ht="18" customHeight="1">
      <c r="A41" s="786"/>
      <c r="B41" s="787"/>
      <c r="C41" s="788"/>
      <c r="D41" s="821" t="s">
        <v>1807</v>
      </c>
      <c r="E41" s="784" t="s">
        <v>707</v>
      </c>
      <c r="F41" s="822" t="e">
        <f ca="1">IF(INDIRECT("'数据-取费表'!af"&amp;$G$1)=0,INDIRECT("'数据-取费表'!ae"&amp;$G$1),INDIRECT("'数据-取费表'!af"&amp;$G$1))</f>
        <v>#N/A</v>
      </c>
      <c r="G41" s="2046"/>
      <c r="H41" s="1972"/>
      <c r="I41" s="843" t="s">
        <v>1819</v>
      </c>
      <c r="J41" s="846"/>
      <c r="K41" s="2066"/>
      <c r="L41" s="1972"/>
      <c r="M41" s="1972"/>
    </row>
    <row r="42" spans="1:18" ht="18" customHeight="1">
      <c r="A42" s="790"/>
      <c r="B42" s="791"/>
      <c r="C42" s="792"/>
      <c r="D42" s="816"/>
      <c r="E42" s="784" t="s">
        <v>709</v>
      </c>
      <c r="F42" s="794" t="e">
        <f ca="1">INDIRECT("'数据-取费表'!v"&amp;$G$1)</f>
        <v>#N/A</v>
      </c>
      <c r="G42" s="2046"/>
      <c r="H42" s="1972"/>
      <c r="I42" s="847" t="s">
        <v>1820</v>
      </c>
      <c r="J42" s="845" t="e">
        <f ca="1">ROUND(C13/C40,3)</f>
        <v>#N/A</v>
      </c>
      <c r="K42" s="2066"/>
      <c r="L42" s="1972"/>
      <c r="M42" s="1972"/>
    </row>
    <row r="43" spans="1:18" ht="18" customHeight="1" thickBot="1">
      <c r="A43" s="823" t="s">
        <v>1786</v>
      </c>
      <c r="B43" s="824" t="s">
        <v>1809</v>
      </c>
      <c r="C43" s="825" t="e">
        <f ca="1">ROUND(C40*10000/F43,0)</f>
        <v>#N/A</v>
      </c>
      <c r="D43" s="826" t="s">
        <v>1810</v>
      </c>
      <c r="E43" s="827" t="s">
        <v>1811</v>
      </c>
      <c r="F43" s="828" t="e">
        <f ca="1">INDIRECT("'数据-取费表'!k"&amp;$G$1)</f>
        <v>#N/A</v>
      </c>
      <c r="G43" s="2046"/>
      <c r="H43" s="1972"/>
      <c r="I43" s="847" t="s">
        <v>1821</v>
      </c>
      <c r="J43" s="848" t="e">
        <f ca="1">1-J42</f>
        <v>#N/A</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t="e">
        <f ca="1">C67-C40</f>
        <v>#N/A</v>
      </c>
      <c r="D46" s="2069"/>
      <c r="E46" s="2069"/>
      <c r="F46" s="2069"/>
      <c r="I46" s="2341" t="s">
        <v>2342</v>
      </c>
      <c r="J46" s="2342"/>
      <c r="K46" s="2343"/>
      <c r="L46" s="3107" t="e">
        <f ca="1">IF(OR(M47="住宅",D1="土地（套用方法）"),0,IF(L48&gt;J51,L60,J60))</f>
        <v>#N/A</v>
      </c>
      <c r="O46" s="2357" t="s">
        <v>2409</v>
      </c>
      <c r="P46" s="1577"/>
      <c r="Q46" s="1588"/>
      <c r="R46" s="1577"/>
    </row>
    <row r="47" spans="1:18" s="2043" customFormat="1" ht="18" customHeight="1" thickBot="1">
      <c r="A47" s="2335">
        <v>1</v>
      </c>
      <c r="B47" s="2336" t="s">
        <v>634</v>
      </c>
      <c r="C47" s="2537" t="e">
        <f ca="1">C48+C52+C54</f>
        <v>#N/A</v>
      </c>
      <c r="D47" s="2069"/>
      <c r="E47" s="2069"/>
      <c r="F47" s="2069"/>
      <c r="I47" s="3097" t="s">
        <v>2343</v>
      </c>
      <c r="J47" s="2344" t="s">
        <v>3137</v>
      </c>
      <c r="K47" s="3104" t="s">
        <v>2348</v>
      </c>
      <c r="L47" s="3108" t="e">
        <f ca="1">INDIRECT("'数据-取费表'!d"&amp;$G$1)</f>
        <v>#N/A</v>
      </c>
      <c r="M47" s="1588" t="str">
        <f>IF(ISNUMBER(FIND("住宅",C1)),"住宅","非住宅")</f>
        <v>非住宅</v>
      </c>
      <c r="O47" s="2358" t="s">
        <v>2374</v>
      </c>
      <c r="P47" s="2359" t="s">
        <v>2375</v>
      </c>
      <c r="Q47" s="2360" t="s">
        <v>2376</v>
      </c>
      <c r="R47" s="2359" t="s">
        <v>2377</v>
      </c>
    </row>
    <row r="48" spans="1:18" s="2043" customFormat="1" ht="18" customHeight="1" thickBot="1">
      <c r="A48" s="2605" t="s">
        <v>1869</v>
      </c>
      <c r="B48" s="2606" t="s">
        <v>2536</v>
      </c>
      <c r="C48" s="2337" t="e">
        <f ca="1">ROUND(F48*F50*F49*(1-F51)/10000,0)</f>
        <v>#N/A</v>
      </c>
      <c r="D48" s="2338" t="s">
        <v>635</v>
      </c>
      <c r="E48" s="2339" t="s">
        <v>2295</v>
      </c>
      <c r="F48" s="2340"/>
      <c r="G48" s="2074"/>
      <c r="I48" s="3076" t="s">
        <v>2344</v>
      </c>
      <c r="J48" s="2345" t="s">
        <v>2349</v>
      </c>
      <c r="K48" s="3105" t="s">
        <v>2350</v>
      </c>
      <c r="L48" s="1892" t="e">
        <f ca="1">INDIRECT("'数据-取费表'!f"&amp;$G$1)</f>
        <v>#N/A</v>
      </c>
      <c r="O48" s="2361" t="s">
        <v>2378</v>
      </c>
      <c r="P48" s="2362" t="s">
        <v>2404</v>
      </c>
      <c r="Q48" s="2363" t="e">
        <f ca="1">C40+J29</f>
        <v>#N/A</v>
      </c>
      <c r="R48" s="2362" t="s">
        <v>2379</v>
      </c>
    </row>
    <row r="49" spans="1:18" s="2043" customFormat="1" ht="18" customHeight="1" thickBot="1">
      <c r="A49" s="786"/>
      <c r="B49" s="787"/>
      <c r="C49" s="788"/>
      <c r="D49" s="789"/>
      <c r="E49" s="784" t="s">
        <v>637</v>
      </c>
      <c r="F49" s="785" t="e">
        <f ca="1">F7</f>
        <v>#N/A</v>
      </c>
      <c r="G49" s="2074"/>
      <c r="H49" s="2077"/>
      <c r="I49" s="3076" t="s">
        <v>2345</v>
      </c>
      <c r="J49" s="2346"/>
      <c r="K49" s="3106" t="s">
        <v>2351</v>
      </c>
      <c r="L49" s="2347"/>
      <c r="O49" s="2361" t="s">
        <v>2380</v>
      </c>
      <c r="P49" s="2362" t="s">
        <v>2405</v>
      </c>
      <c r="Q49" s="2363" t="e">
        <f ca="1">J60</f>
        <v>#N/A</v>
      </c>
      <c r="R49" s="2362" t="s">
        <v>2381</v>
      </c>
    </row>
    <row r="50" spans="1:18" s="2043" customFormat="1" ht="18" customHeight="1" thickBot="1">
      <c r="A50" s="786"/>
      <c r="B50" s="787"/>
      <c r="C50" s="788"/>
      <c r="D50" s="789"/>
      <c r="E50" s="784" t="s">
        <v>638</v>
      </c>
      <c r="F50" s="785" t="e">
        <f ca="1">F8</f>
        <v>#N/A</v>
      </c>
      <c r="G50" s="2079"/>
      <c r="H50" s="2077"/>
      <c r="I50" s="3076" t="s">
        <v>2346</v>
      </c>
      <c r="J50" s="3101">
        <f>SUMPRODUCT((I63:I65=J47)*(J62:L62=J48)*(J63:L65))</f>
        <v>60</v>
      </c>
      <c r="K50" s="3106" t="s">
        <v>2352</v>
      </c>
      <c r="L50" s="2347"/>
      <c r="O50" s="2364" t="s">
        <v>2382</v>
      </c>
      <c r="P50" s="2362" t="s">
        <v>2406</v>
      </c>
      <c r="Q50" s="2363" t="e">
        <f ca="1">C29</f>
        <v>#N/A</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t="e">
        <f ca="1">ROUND(-PV(INDIRECT("'数据-取费表'!h"&amp;$G$1),L48,(C39-C13*J36),0),0)</f>
        <v>#N/A</v>
      </c>
      <c r="O51" s="2364" t="s">
        <v>2383</v>
      </c>
      <c r="P51" s="2362" t="s">
        <v>2384</v>
      </c>
      <c r="Q51" s="2365" t="e">
        <f ca="1">J58</f>
        <v>#N/A</v>
      </c>
      <c r="R51" s="2366"/>
    </row>
    <row r="52" spans="1:18" s="2043" customFormat="1" ht="18" customHeight="1" thickBot="1">
      <c r="A52" s="781" t="s">
        <v>2534</v>
      </c>
      <c r="B52" s="2457" t="s">
        <v>2457</v>
      </c>
      <c r="C52" s="799">
        <f ca="1">ROUND(IF(F52="押一",C48/12*F11,IF(F52="押二",C48/12*2*F11,IF(F52="押三",C48/12*3*F11,C53*F11))),0)</f>
        <v>0</v>
      </c>
      <c r="D52" s="2464" t="s">
        <v>2964</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t="e">
        <f ca="1">IF(M47="住宅",IF(D1="——",MAX(J51,L48),MAX(J51,L48-'数据-取费表'!B20)),IF(D1="——",MIN(J51,L48),MIN(J51,L48-'数据-取费表'!B20)))</f>
        <v>#N/A</v>
      </c>
      <c r="K53" s="3488" t="s">
        <v>2956</v>
      </c>
      <c r="L53" s="3489"/>
      <c r="O53" s="2364" t="s">
        <v>2387</v>
      </c>
      <c r="P53" s="2362" t="s">
        <v>2388</v>
      </c>
      <c r="Q53" s="2363" t="e">
        <f ca="1">J53</f>
        <v>#N/A</v>
      </c>
      <c r="R53" s="2362" t="s">
        <v>2389</v>
      </c>
    </row>
    <row r="54" spans="1:18" s="2043" customFormat="1" ht="18" customHeight="1" thickBot="1">
      <c r="A54" s="2500" t="s">
        <v>2465</v>
      </c>
      <c r="B54" s="2501" t="s">
        <v>2458</v>
      </c>
      <c r="C54" s="2502"/>
      <c r="D54" s="2464"/>
      <c r="E54" s="2461"/>
      <c r="F54" s="800"/>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0"/>
      <c r="O54" s="2361" t="s">
        <v>2390</v>
      </c>
      <c r="P54" s="2362" t="s">
        <v>2407</v>
      </c>
      <c r="Q54" s="2363" t="e">
        <f ca="1">Q48+Q49</f>
        <v>#N/A</v>
      </c>
      <c r="R54" s="2366" t="s">
        <v>2391</v>
      </c>
    </row>
    <row r="55" spans="1:18" s="2043" customFormat="1" ht="18" customHeight="1" thickTop="1" thickBot="1">
      <c r="A55" s="797">
        <v>2</v>
      </c>
      <c r="B55" s="798" t="s">
        <v>643</v>
      </c>
      <c r="C55" s="799" t="e">
        <f ca="1">C13</f>
        <v>#N/A</v>
      </c>
      <c r="D55" s="795"/>
      <c r="E55" s="795"/>
      <c r="F55" s="800"/>
      <c r="I55" s="3112" t="s">
        <v>2354</v>
      </c>
      <c r="J55" s="3051" t="e">
        <f ca="1">ROUND(IF(J47="钢混",J57/J50,1-(1-2%)*(J50-J57)/J50),3)</f>
        <v>#N/A</v>
      </c>
      <c r="K55" s="3113" t="s">
        <v>2355</v>
      </c>
      <c r="L55" s="2349"/>
      <c r="O55" s="2367" t="s">
        <v>2410</v>
      </c>
      <c r="P55" s="1577"/>
      <c r="Q55" s="1588"/>
      <c r="R55" s="1577"/>
    </row>
    <row r="56" spans="1:18" s="2043" customFormat="1" ht="42.75" customHeight="1" thickBot="1">
      <c r="A56" s="1634"/>
      <c r="B56" s="2215" t="s">
        <v>2299</v>
      </c>
      <c r="C56" s="53" t="e">
        <f ca="1">C29</f>
        <v>#N/A</v>
      </c>
      <c r="D56" s="3191"/>
      <c r="E56" s="784"/>
      <c r="F56" s="809"/>
      <c r="I56" s="3114" t="s">
        <v>2356</v>
      </c>
      <c r="J56" s="3124" t="s">
        <v>1677</v>
      </c>
      <c r="K56" s="3076" t="s">
        <v>2361</v>
      </c>
      <c r="L56" s="1892" t="e">
        <f ca="1">IF(L48&lt;J51,"——",L48-J51)</f>
        <v>#N/A</v>
      </c>
      <c r="O56" s="2358" t="s">
        <v>2374</v>
      </c>
      <c r="P56" s="2359" t="s">
        <v>2375</v>
      </c>
      <c r="Q56" s="2360" t="s">
        <v>2376</v>
      </c>
      <c r="R56" s="2359" t="s">
        <v>2377</v>
      </c>
    </row>
    <row r="57" spans="1:18" s="2043" customFormat="1" ht="28.5" customHeight="1" thickBot="1">
      <c r="A57" s="797" t="s">
        <v>1747</v>
      </c>
      <c r="B57" s="798" t="s">
        <v>650</v>
      </c>
      <c r="C57" s="799" t="e">
        <f ca="1">ROUND(C58+C63+C64+C65,0)</f>
        <v>#N/A</v>
      </c>
      <c r="D57" s="26" t="s">
        <v>651</v>
      </c>
      <c r="E57" s="3196"/>
      <c r="F57" s="56"/>
      <c r="I57" s="3115" t="s">
        <v>2357</v>
      </c>
      <c r="J57" s="3116" t="e">
        <f ca="1">IF(OR(M47="住宅",J51&lt;L48,J56="是"),"——",J51-L48)</f>
        <v>#N/A</v>
      </c>
      <c r="K57" s="3076" t="s">
        <v>2362</v>
      </c>
      <c r="L57" s="1892" t="e">
        <f ca="1">IF(L48&lt;J51,"——",IF(L55="比较法",L49,IF(L55="基准地价",L50,L51)))</f>
        <v>#N/A</v>
      </c>
      <c r="O57" s="2361" t="s">
        <v>2378</v>
      </c>
      <c r="P57" s="2362" t="s">
        <v>2404</v>
      </c>
      <c r="Q57" s="2363" t="e">
        <f ca="1">C40+J29</f>
        <v>#N/A</v>
      </c>
      <c r="R57" s="2362" t="s">
        <v>2379</v>
      </c>
    </row>
    <row r="58" spans="1:18" s="2043" customFormat="1" ht="28.5" customHeight="1" thickBot="1">
      <c r="A58" s="1633" t="s">
        <v>1823</v>
      </c>
      <c r="B58" s="784" t="s">
        <v>655</v>
      </c>
      <c r="C58" s="53" t="e">
        <f ca="1">ROUND(IF(项目基本情况!B11="自然人",C47*F58,C59+C60+C61),1)</f>
        <v>#N/A</v>
      </c>
      <c r="D58" s="3192" t="s">
        <v>656</v>
      </c>
      <c r="E58" s="3191" t="s">
        <v>689</v>
      </c>
      <c r="F58" s="810" t="str">
        <f ca="1">IF(项目基本情况!B11="企业","",IF(INDIRECT("'数据-取费表'!c"&amp;$G$1)="住宅",5%,IF(F48*F49*F50/12/(1+'数据-取费表'!C42)&gt;20000,12%,7%)))</f>
        <v/>
      </c>
      <c r="I58" s="3115" t="s">
        <v>2358</v>
      </c>
      <c r="J58" s="3052" t="e">
        <f ca="1">IF(J55&lt;0.4,0.4,J55)</f>
        <v>#N/A</v>
      </c>
      <c r="K58" s="3076" t="s">
        <v>2363</v>
      </c>
      <c r="L58" s="1892" t="e">
        <f ca="1">ROUND(POWER(1+L52,L47-L48)*(POWER(1+L52,L48)-1)/(POWER(1+L52,L47)-1),4)</f>
        <v>#N/A</v>
      </c>
      <c r="O58" s="2361" t="s">
        <v>2380</v>
      </c>
      <c r="P58" s="2362" t="s">
        <v>2411</v>
      </c>
      <c r="Q58" s="2363" t="e">
        <f ca="1">L60</f>
        <v>#N/A</v>
      </c>
      <c r="R58" s="2366" t="s">
        <v>2413</v>
      </c>
    </row>
    <row r="59" spans="1:18" s="2043" customFormat="1" ht="28.5" customHeight="1" thickBot="1">
      <c r="A59" s="1632" t="s">
        <v>1830</v>
      </c>
      <c r="B59" s="784" t="s">
        <v>659</v>
      </c>
      <c r="C59" s="53" t="e">
        <f ca="1">ROUND(C47*F59/1.05,1)</f>
        <v>#N/A</v>
      </c>
      <c r="D59" s="3191" t="s">
        <v>660</v>
      </c>
      <c r="E59" s="784" t="s">
        <v>648</v>
      </c>
      <c r="F59" s="809">
        <f t="shared" ref="F59:F65" si="0">F32</f>
        <v>5.6000000000000001E-2</v>
      </c>
      <c r="I59" s="3115" t="s">
        <v>2359</v>
      </c>
      <c r="J59" s="3116" t="e">
        <f ca="1">IF(OR(M47="住宅",J51&lt;L48,J56="是"),"——",ROUND(C29*J58,0))</f>
        <v>#N/A</v>
      </c>
      <c r="K59" s="3076"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#N/A</v>
      </c>
      <c r="O59" s="2364" t="s">
        <v>2382</v>
      </c>
      <c r="P59" s="2362" t="s">
        <v>2412</v>
      </c>
      <c r="Q59" s="2363">
        <f>IF(L55="比较法",L49,IF(L55="基准地价",L50,0))</f>
        <v>0</v>
      </c>
      <c r="R59" s="2362" t="s">
        <v>2379</v>
      </c>
    </row>
    <row r="60" spans="1:18" s="2043" customFormat="1" ht="18" customHeight="1" thickBot="1">
      <c r="A60" s="1632" t="s">
        <v>1831</v>
      </c>
      <c r="B60" s="784" t="s">
        <v>663</v>
      </c>
      <c r="C60" s="53" t="e">
        <f ca="1">IF(D60="按租金收入计税",ROUND(C47*F60,1),IF(D60="按房产原值计税",ROUND(C56*F60*0.7,1),INDIRECT("'数据-取费表'!Aj"&amp;$G$1)))</f>
        <v>#N/A</v>
      </c>
      <c r="D60" s="3191" t="str">
        <f>D33</f>
        <v>按租金收入计税</v>
      </c>
      <c r="E60" s="784" t="s">
        <v>648</v>
      </c>
      <c r="F60" s="809">
        <f t="shared" si="0"/>
        <v>0.12</v>
      </c>
      <c r="I60" s="3117" t="s">
        <v>2360</v>
      </c>
      <c r="J60" s="3118" t="e">
        <f ca="1">IF(OR(M47="住宅",J51&lt;L48,J56="是"),"0",ROUND(J59/(1+J52)^J53,0))</f>
        <v>#N/A</v>
      </c>
      <c r="K60" s="3119" t="s">
        <v>2365</v>
      </c>
      <c r="L60" s="3118" t="e">
        <f ca="1">IF(OR(M47="住宅",L48&lt;J51),0,ROUND(L57*(L58/L59-1),0))</f>
        <v>#N/A</v>
      </c>
      <c r="O60" s="2364" t="s">
        <v>2383</v>
      </c>
      <c r="P60" s="2362" t="s">
        <v>2392</v>
      </c>
      <c r="Q60" s="2365">
        <f>L52</f>
        <v>0</v>
      </c>
      <c r="R60" s="2366"/>
    </row>
    <row r="61" spans="1:18" s="2043" customFormat="1" ht="18" customHeight="1" thickBot="1">
      <c r="A61" s="1635" t="s">
        <v>1832</v>
      </c>
      <c r="B61" s="341" t="s">
        <v>667</v>
      </c>
      <c r="C61" s="54" t="e">
        <f ca="1">ROUND(F61*F62/10000,1)</f>
        <v>#N/A</v>
      </c>
      <c r="D61" s="814" t="s">
        <v>668</v>
      </c>
      <c r="E61" s="784" t="s">
        <v>669</v>
      </c>
      <c r="F61" s="640">
        <f t="shared" si="0"/>
        <v>16</v>
      </c>
      <c r="K61" s="2070"/>
      <c r="O61" s="2364" t="s">
        <v>2385</v>
      </c>
      <c r="P61" s="2362" t="s">
        <v>2393</v>
      </c>
      <c r="Q61" s="2363" t="e">
        <f ca="1">L58</f>
        <v>#N/A</v>
      </c>
      <c r="R61" s="2366" t="s">
        <v>2394</v>
      </c>
    </row>
    <row r="62" spans="1:18" s="2043" customFormat="1" ht="15.75" thickBot="1">
      <c r="A62" s="815"/>
      <c r="B62" s="793"/>
      <c r="C62" s="69"/>
      <c r="D62" s="816"/>
      <c r="E62" s="784" t="s">
        <v>673</v>
      </c>
      <c r="F62" s="785" t="e">
        <f t="shared" ca="1" si="0"/>
        <v>#N/A</v>
      </c>
      <c r="I62" s="3120" t="s">
        <v>2366</v>
      </c>
      <c r="J62" s="3121" t="s">
        <v>2367</v>
      </c>
      <c r="K62" s="3121" t="s">
        <v>2368</v>
      </c>
      <c r="L62" s="3121" t="s">
        <v>2349</v>
      </c>
      <c r="M62" s="3122" t="s">
        <v>2932</v>
      </c>
      <c r="O62" s="2364" t="s">
        <v>2387</v>
      </c>
      <c r="P62" s="2362" t="str">
        <f>K59</f>
        <v>建筑物剩余耐用年限下的土地年期修正系数Kn</v>
      </c>
      <c r="Q62" s="2363" t="e">
        <f ca="1">L59</f>
        <v>#N/A</v>
      </c>
      <c r="R62" s="2366" t="s">
        <v>2396</v>
      </c>
    </row>
    <row r="63" spans="1:18" s="2043" customFormat="1" ht="15.75" thickBot="1">
      <c r="A63" s="1633" t="s">
        <v>1888</v>
      </c>
      <c r="B63" s="784" t="s">
        <v>675</v>
      </c>
      <c r="C63" s="53" t="e">
        <f ca="1">ROUND(C56*F63,1)</f>
        <v>#N/A</v>
      </c>
      <c r="D63" s="3191" t="s">
        <v>690</v>
      </c>
      <c r="E63" s="784" t="s">
        <v>648</v>
      </c>
      <c r="F63" s="817" t="e">
        <f t="shared" ca="1" si="0"/>
        <v>#N/A</v>
      </c>
      <c r="I63" s="3120" t="s">
        <v>2369</v>
      </c>
      <c r="J63" s="3121">
        <v>70</v>
      </c>
      <c r="K63" s="3121">
        <v>50</v>
      </c>
      <c r="L63" s="3121">
        <v>80</v>
      </c>
      <c r="M63" s="3123">
        <v>0.02</v>
      </c>
      <c r="O63" s="2361" t="s">
        <v>2390</v>
      </c>
      <c r="P63" s="2362" t="s">
        <v>2407</v>
      </c>
      <c r="Q63" s="2363" t="e">
        <f ca="1">Q57+Q58</f>
        <v>#N/A</v>
      </c>
      <c r="R63" s="2366" t="s">
        <v>2391</v>
      </c>
    </row>
    <row r="64" spans="1:18" s="2043" customFormat="1" ht="16.5" thickBot="1">
      <c r="A64" s="1633" t="s">
        <v>1889</v>
      </c>
      <c r="B64" s="784" t="s">
        <v>678</v>
      </c>
      <c r="C64" s="53" t="e">
        <f ca="1">ROUND(C55*F64,1)</f>
        <v>#N/A</v>
      </c>
      <c r="D64" s="3191" t="s">
        <v>679</v>
      </c>
      <c r="E64" s="784" t="s">
        <v>648</v>
      </c>
      <c r="F64" s="818" t="e">
        <f t="shared" ca="1" si="0"/>
        <v>#N/A</v>
      </c>
      <c r="I64" s="3120" t="s">
        <v>2370</v>
      </c>
      <c r="J64" s="3121">
        <v>50</v>
      </c>
      <c r="K64" s="3121">
        <v>35</v>
      </c>
      <c r="L64" s="3121">
        <v>60</v>
      </c>
      <c r="M64" s="846">
        <v>0</v>
      </c>
      <c r="O64" s="2367" t="s">
        <v>2414</v>
      </c>
      <c r="P64" s="1577"/>
      <c r="Q64" s="1588"/>
      <c r="R64" s="1577"/>
    </row>
    <row r="65" spans="1:18" s="2043" customFormat="1" ht="15.75" thickBot="1">
      <c r="A65" s="1633" t="s">
        <v>1890</v>
      </c>
      <c r="B65" s="784" t="s">
        <v>665</v>
      </c>
      <c r="C65" s="53" t="e">
        <f ca="1">ROUND(C47*F65,1)</f>
        <v>#N/A</v>
      </c>
      <c r="D65" s="3191" t="s">
        <v>682</v>
      </c>
      <c r="E65" s="784" t="s">
        <v>648</v>
      </c>
      <c r="F65" s="794" t="e">
        <f t="shared" ca="1" si="0"/>
        <v>#N/A</v>
      </c>
      <c r="I65" s="3120" t="s">
        <v>2371</v>
      </c>
      <c r="J65" s="3121">
        <v>40</v>
      </c>
      <c r="K65" s="3121">
        <v>30</v>
      </c>
      <c r="L65" s="3121">
        <v>50</v>
      </c>
      <c r="M65" s="3123">
        <v>0.02</v>
      </c>
      <c r="O65" s="2358" t="s">
        <v>2374</v>
      </c>
      <c r="P65" s="2359" t="s">
        <v>2375</v>
      </c>
      <c r="Q65" s="2360" t="s">
        <v>2376</v>
      </c>
      <c r="R65" s="2359" t="s">
        <v>2377</v>
      </c>
    </row>
    <row r="66" spans="1:18" s="2043" customFormat="1" ht="24.75" thickBot="1">
      <c r="A66" s="797" t="s">
        <v>1775</v>
      </c>
      <c r="B66" s="2962" t="s">
        <v>2820</v>
      </c>
      <c r="C66" s="799" t="e">
        <f ca="1">C47-C57</f>
        <v>#N/A</v>
      </c>
      <c r="D66" s="3192" t="s">
        <v>699</v>
      </c>
      <c r="E66" s="3195"/>
      <c r="F66" s="820"/>
      <c r="K66" s="2070"/>
      <c r="O66" s="2361" t="s">
        <v>2378</v>
      </c>
      <c r="P66" s="2362" t="s">
        <v>2404</v>
      </c>
      <c r="Q66" s="2363" t="e">
        <f ca="1">C40+J29</f>
        <v>#N/A</v>
      </c>
      <c r="R66" s="2362" t="s">
        <v>2379</v>
      </c>
    </row>
    <row r="67" spans="1:18" s="2043" customFormat="1" ht="20.25" thickBot="1">
      <c r="A67" s="781" t="s">
        <v>1779</v>
      </c>
      <c r="B67" s="2216" t="s">
        <v>2300</v>
      </c>
      <c r="C67" s="783" t="e">
        <f ca="1">ROUND(C66*(1-((1+F69)/(1+F67))^F68)/(F67-F69),0)</f>
        <v>#N/A</v>
      </c>
      <c r="D67" s="814" t="s">
        <v>703</v>
      </c>
      <c r="E67" s="784" t="s">
        <v>704</v>
      </c>
      <c r="F67" s="794" t="e">
        <f ca="1">F40</f>
        <v>#N/A</v>
      </c>
      <c r="K67" s="2070"/>
      <c r="O67" s="2361" t="s">
        <v>2380</v>
      </c>
      <c r="P67" s="2362" t="s">
        <v>2411</v>
      </c>
      <c r="Q67" s="2363" t="e">
        <f ca="1">L60</f>
        <v>#N/A</v>
      </c>
      <c r="R67" s="2366" t="s">
        <v>2413</v>
      </c>
    </row>
    <row r="68" spans="1:18" ht="21.75" thickBot="1">
      <c r="A68" s="786"/>
      <c r="B68" s="787"/>
      <c r="C68" s="788"/>
      <c r="D68" s="821" t="s">
        <v>1807</v>
      </c>
      <c r="E68" s="784" t="s">
        <v>707</v>
      </c>
      <c r="F68" s="822" t="e">
        <f ca="1">F41</f>
        <v>#N/A</v>
      </c>
      <c r="O68" s="2364" t="s">
        <v>2382</v>
      </c>
      <c r="P68" s="2362" t="s">
        <v>2412</v>
      </c>
      <c r="Q68" s="2368" t="e">
        <f ca="1">L51</f>
        <v>#N/A</v>
      </c>
      <c r="R68" s="2369" t="s">
        <v>2415</v>
      </c>
    </row>
    <row r="69" spans="1:18" ht="20.25" thickBot="1">
      <c r="A69" s="790"/>
      <c r="B69" s="791"/>
      <c r="C69" s="792"/>
      <c r="D69" s="816"/>
      <c r="E69" s="784" t="s">
        <v>709</v>
      </c>
      <c r="F69" s="2334"/>
      <c r="O69" s="2364" t="s">
        <v>2383</v>
      </c>
      <c r="P69" s="2370" t="s">
        <v>2397</v>
      </c>
      <c r="Q69" s="2363" t="e">
        <f ca="1">ROUND(Q70-Q71*Q72,0)</f>
        <v>#N/A</v>
      </c>
      <c r="R69" s="2366"/>
    </row>
    <row r="70" spans="1:18" ht="15.75" thickBot="1">
      <c r="A70" s="823" t="s">
        <v>1786</v>
      </c>
      <c r="B70" s="824" t="s">
        <v>1809</v>
      </c>
      <c r="C70" s="825" t="e">
        <f ca="1">ROUND(C67*10000/F70,0)</f>
        <v>#N/A</v>
      </c>
      <c r="D70" s="826" t="s">
        <v>1810</v>
      </c>
      <c r="E70" s="827" t="s">
        <v>1811</v>
      </c>
      <c r="F70" s="828" t="e">
        <f ca="1">F43</f>
        <v>#N/A</v>
      </c>
      <c r="O70" s="2364" t="s">
        <v>2398</v>
      </c>
      <c r="P70" s="2370" t="s">
        <v>2399</v>
      </c>
      <c r="Q70" s="2363" t="e">
        <f ca="1">C39</f>
        <v>#N/A</v>
      </c>
      <c r="R70" s="2362" t="s">
        <v>2379</v>
      </c>
    </row>
    <row r="71" spans="1:18" ht="15.75" thickBot="1">
      <c r="O71" s="2364" t="s">
        <v>2400</v>
      </c>
      <c r="P71" s="2370" t="s">
        <v>2401</v>
      </c>
      <c r="Q71" s="2363" t="e">
        <f ca="1">C13</f>
        <v>#N/A</v>
      </c>
      <c r="R71" s="2362" t="s">
        <v>2379</v>
      </c>
    </row>
    <row r="72" spans="1:18" ht="15.75" thickBot="1">
      <c r="O72" s="2364" t="s">
        <v>2402</v>
      </c>
      <c r="P72" s="2370" t="s">
        <v>2403</v>
      </c>
      <c r="Q72" s="2365" t="e">
        <f ca="1">J36</f>
        <v>#N/A</v>
      </c>
      <c r="R72" s="2366"/>
    </row>
    <row r="73" spans="1:18" ht="15.75" thickBot="1">
      <c r="O73" s="2364" t="s">
        <v>2385</v>
      </c>
      <c r="P73" s="2362" t="s">
        <v>2392</v>
      </c>
      <c r="Q73" s="2365">
        <f>L52</f>
        <v>0</v>
      </c>
      <c r="R73" s="2366"/>
    </row>
    <row r="74" spans="1:18" ht="20.25" thickBot="1">
      <c r="O74" s="2364" t="s">
        <v>2387</v>
      </c>
      <c r="P74" s="2362" t="s">
        <v>2393</v>
      </c>
      <c r="Q74" s="2363" t="e">
        <f ca="1">L58</f>
        <v>#N/A</v>
      </c>
      <c r="R74" s="2366" t="s">
        <v>2394</v>
      </c>
    </row>
    <row r="75" spans="1:18" ht="15.75" thickBot="1">
      <c r="O75" s="2364" t="s">
        <v>2416</v>
      </c>
      <c r="P75" s="2362" t="str">
        <f>K59</f>
        <v>建筑物剩余耐用年限下的土地年期修正系数Kn</v>
      </c>
      <c r="Q75" s="2363" t="e">
        <f ca="1">L59</f>
        <v>#N/A</v>
      </c>
      <c r="R75" s="2366" t="s">
        <v>2396</v>
      </c>
    </row>
    <row r="76" spans="1:18" ht="15.75" thickBot="1">
      <c r="O76" s="2361" t="s">
        <v>2390</v>
      </c>
      <c r="P76" s="2362" t="s">
        <v>2407</v>
      </c>
      <c r="Q76" s="2363" t="e">
        <f ca="1">Q66+Q67</f>
        <v>#N/A</v>
      </c>
      <c r="R76" s="2366"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3.5"/>
  <cols>
    <col min="1" max="1" width="10.5" customWidth="1"/>
    <col min="2" max="2" width="12.875" customWidth="1"/>
    <col min="3" max="3" width="8.75" customWidth="1"/>
  </cols>
  <sheetData>
    <row r="1" spans="1:9" ht="14.25">
      <c r="A1" s="3506" t="s">
        <v>2469</v>
      </c>
      <c r="B1" s="3507"/>
      <c r="C1" s="3508"/>
      <c r="D1" s="3509">
        <f>SUM(I10,I15,I20,I21,I23)</f>
        <v>0</v>
      </c>
      <c r="E1" s="3509"/>
      <c r="F1" s="3509"/>
      <c r="G1" s="3509"/>
      <c r="H1" s="3509"/>
      <c r="I1" s="3510"/>
    </row>
    <row r="2" spans="1:9">
      <c r="A2" s="3496" t="s">
        <v>2470</v>
      </c>
      <c r="B2" s="3497" t="s">
        <v>2471</v>
      </c>
      <c r="C2" s="3497"/>
      <c r="D2" s="2470" t="s">
        <v>2472</v>
      </c>
      <c r="E2" s="2470" t="s">
        <v>2473</v>
      </c>
      <c r="F2" s="2470" t="s">
        <v>2474</v>
      </c>
      <c r="G2" s="2470" t="s">
        <v>2475</v>
      </c>
      <c r="H2" s="2470" t="s">
        <v>2476</v>
      </c>
      <c r="I2" s="2471" t="s">
        <v>2477</v>
      </c>
    </row>
    <row r="3" spans="1:9">
      <c r="A3" s="3496"/>
      <c r="B3" s="3497" t="s">
        <v>2478</v>
      </c>
      <c r="C3" s="3497"/>
      <c r="D3" s="2472"/>
      <c r="E3" s="2470"/>
      <c r="F3" s="2473"/>
      <c r="G3" s="2473"/>
      <c r="H3" s="2474"/>
      <c r="I3" s="2475">
        <f>ROUND(D3*E3*F3*G3*H3/10000,0)</f>
        <v>0</v>
      </c>
    </row>
    <row r="4" spans="1:9">
      <c r="A4" s="3496"/>
      <c r="B4" s="3497" t="s">
        <v>2479</v>
      </c>
      <c r="C4" s="3497"/>
      <c r="D4" s="2472"/>
      <c r="E4" s="2470"/>
      <c r="F4" s="2473"/>
      <c r="G4" s="2473"/>
      <c r="H4" s="2474"/>
      <c r="I4" s="2475">
        <f t="shared" ref="I4:I9" si="0">ROUND(D4*E4*F4*G4*H4/10000,0)</f>
        <v>0</v>
      </c>
    </row>
    <row r="5" spans="1:9">
      <c r="A5" s="3496"/>
      <c r="B5" s="3497" t="s">
        <v>2480</v>
      </c>
      <c r="C5" s="3497"/>
      <c r="D5" s="2472"/>
      <c r="E5" s="2470"/>
      <c r="F5" s="2473"/>
      <c r="G5" s="2473"/>
      <c r="H5" s="2474"/>
      <c r="I5" s="2475">
        <f t="shared" si="0"/>
        <v>0</v>
      </c>
    </row>
    <row r="6" spans="1:9">
      <c r="A6" s="3496"/>
      <c r="B6" s="3497" t="s">
        <v>2481</v>
      </c>
      <c r="C6" s="3497"/>
      <c r="D6" s="2472"/>
      <c r="E6" s="2470"/>
      <c r="F6" s="2473"/>
      <c r="G6" s="2473"/>
      <c r="H6" s="2474"/>
      <c r="I6" s="2475">
        <f t="shared" si="0"/>
        <v>0</v>
      </c>
    </row>
    <row r="7" spans="1:9">
      <c r="A7" s="3496"/>
      <c r="B7" s="3497" t="s">
        <v>2482</v>
      </c>
      <c r="C7" s="3497"/>
      <c r="D7" s="2472"/>
      <c r="E7" s="2470"/>
      <c r="F7" s="2473"/>
      <c r="G7" s="2473"/>
      <c r="H7" s="2474"/>
      <c r="I7" s="2475">
        <f t="shared" si="0"/>
        <v>0</v>
      </c>
    </row>
    <row r="8" spans="1:9">
      <c r="A8" s="3496"/>
      <c r="B8" s="3497" t="s">
        <v>2483</v>
      </c>
      <c r="C8" s="3497"/>
      <c r="D8" s="2472"/>
      <c r="E8" s="2470"/>
      <c r="F8" s="2473"/>
      <c r="G8" s="2473"/>
      <c r="H8" s="2474"/>
      <c r="I8" s="2475">
        <f t="shared" si="0"/>
        <v>0</v>
      </c>
    </row>
    <row r="9" spans="1:9">
      <c r="A9" s="3496"/>
      <c r="B9" s="3497" t="s">
        <v>2484</v>
      </c>
      <c r="C9" s="3497"/>
      <c r="D9" s="2472"/>
      <c r="E9" s="2470"/>
      <c r="F9" s="2473"/>
      <c r="G9" s="2473"/>
      <c r="H9" s="2474"/>
      <c r="I9" s="2475">
        <f t="shared" si="0"/>
        <v>0</v>
      </c>
    </row>
    <row r="10" spans="1:9">
      <c r="A10" s="3496"/>
      <c r="B10" s="3498" t="s">
        <v>2485</v>
      </c>
      <c r="C10" s="3498"/>
      <c r="D10" s="2476">
        <v>527</v>
      </c>
      <c r="E10" s="2476" t="e">
        <f>ROUND(D1*10000/D10/H9,0)</f>
        <v>#DIV/0!</v>
      </c>
      <c r="F10" s="2477"/>
      <c r="G10" s="2477"/>
      <c r="H10" s="2478"/>
      <c r="I10" s="2479">
        <f>SUM(I3:I9)</f>
        <v>0</v>
      </c>
    </row>
    <row r="11" spans="1:9" ht="14.25">
      <c r="A11" s="3496" t="s">
        <v>2486</v>
      </c>
      <c r="B11" s="3497" t="s">
        <v>2487</v>
      </c>
      <c r="C11" s="3497"/>
      <c r="D11" s="2472" t="s">
        <v>2488</v>
      </c>
      <c r="E11" s="2472" t="s">
        <v>2489</v>
      </c>
      <c r="F11" s="2473" t="s">
        <v>2490</v>
      </c>
      <c r="G11" s="2473" t="s">
        <v>2491</v>
      </c>
      <c r="H11" s="2480" t="s">
        <v>2492</v>
      </c>
      <c r="I11" s="2471" t="s">
        <v>2493</v>
      </c>
    </row>
    <row r="12" spans="1:9">
      <c r="A12" s="3496"/>
      <c r="B12" s="3497" t="s">
        <v>2494</v>
      </c>
      <c r="C12" s="3497"/>
      <c r="D12" s="2472"/>
      <c r="E12" s="2472"/>
      <c r="F12" s="2473"/>
      <c r="G12" s="2474"/>
      <c r="H12" s="2481"/>
      <c r="I12" s="2471">
        <f>ROUND(D12*E12*F12*G12/10000,0)</f>
        <v>0</v>
      </c>
    </row>
    <row r="13" spans="1:9">
      <c r="A13" s="3496"/>
      <c r="B13" s="3497" t="s">
        <v>2495</v>
      </c>
      <c r="C13" s="3497"/>
      <c r="D13" s="2472"/>
      <c r="E13" s="2472"/>
      <c r="F13" s="2473"/>
      <c r="G13" s="2474"/>
      <c r="H13" s="2481"/>
      <c r="I13" s="2471">
        <f>ROUND(D13*E13*F13*G13/10000,0)</f>
        <v>0</v>
      </c>
    </row>
    <row r="14" spans="1:9">
      <c r="A14" s="3496"/>
      <c r="B14" s="3497" t="s">
        <v>2496</v>
      </c>
      <c r="C14" s="3497"/>
      <c r="D14" s="2472"/>
      <c r="E14" s="2472"/>
      <c r="F14" s="2473"/>
      <c r="G14" s="2474"/>
      <c r="H14" s="2481"/>
      <c r="I14" s="2471">
        <f>ROUND(D14*E14*F14*G14/10000,0)</f>
        <v>0</v>
      </c>
    </row>
    <row r="15" spans="1:9">
      <c r="A15" s="3496"/>
      <c r="B15" s="3498" t="s">
        <v>2485</v>
      </c>
      <c r="C15" s="3498"/>
      <c r="D15" s="2476"/>
      <c r="E15" s="2476">
        <f>SUM(E12:E14)</f>
        <v>0</v>
      </c>
      <c r="F15" s="2477"/>
      <c r="G15" s="2474"/>
      <c r="H15" s="2481"/>
      <c r="I15" s="2482">
        <f>SUM(I12:I14)</f>
        <v>0</v>
      </c>
    </row>
    <row r="16" spans="1:9" ht="24">
      <c r="A16" s="3496" t="s">
        <v>2497</v>
      </c>
      <c r="B16" s="3497" t="s">
        <v>2498</v>
      </c>
      <c r="C16" s="3497"/>
      <c r="D16" s="2472" t="s">
        <v>2499</v>
      </c>
      <c r="E16" s="2483" t="s">
        <v>2500</v>
      </c>
      <c r="F16" s="2473" t="s">
        <v>2501</v>
      </c>
      <c r="G16" s="2474" t="s">
        <v>2491</v>
      </c>
      <c r="H16" s="2480" t="s">
        <v>2492</v>
      </c>
      <c r="I16" s="2471" t="s">
        <v>2493</v>
      </c>
    </row>
    <row r="17" spans="1:9" ht="14.25">
      <c r="A17" s="3496"/>
      <c r="B17" s="3497" t="s">
        <v>2502</v>
      </c>
      <c r="C17" s="3497"/>
      <c r="D17" s="2472"/>
      <c r="E17" s="2472"/>
      <c r="F17" s="2473"/>
      <c r="G17" s="2474"/>
      <c r="H17" s="2484"/>
      <c r="I17" s="2485">
        <f>ROUND(D17*E17*F17*G17/10000,0)</f>
        <v>0</v>
      </c>
    </row>
    <row r="18" spans="1:9" ht="14.25">
      <c r="A18" s="3496"/>
      <c r="B18" s="3497" t="s">
        <v>2503</v>
      </c>
      <c r="C18" s="3497"/>
      <c r="D18" s="2472"/>
      <c r="E18" s="2472"/>
      <c r="F18" s="2473"/>
      <c r="G18" s="2474"/>
      <c r="H18" s="2484"/>
      <c r="I18" s="2485">
        <f>ROUND(D18*E18*F18*G18/10000,0)</f>
        <v>0</v>
      </c>
    </row>
    <row r="19" spans="1:9" ht="14.25">
      <c r="A19" s="3496"/>
      <c r="B19" s="3497" t="s">
        <v>2504</v>
      </c>
      <c r="C19" s="3497"/>
      <c r="D19" s="2472"/>
      <c r="E19" s="2472"/>
      <c r="F19" s="2473"/>
      <c r="G19" s="2474"/>
      <c r="H19" s="2484"/>
      <c r="I19" s="2485">
        <f>ROUND(D19*E19*F19*G19/10000,0)</f>
        <v>0</v>
      </c>
    </row>
    <row r="20" spans="1:9">
      <c r="A20" s="3496"/>
      <c r="B20" s="3498" t="s">
        <v>2485</v>
      </c>
      <c r="C20" s="3498"/>
      <c r="D20" s="2476">
        <f>SUM(D17:D19)</f>
        <v>0</v>
      </c>
      <c r="E20" s="2476"/>
      <c r="F20" s="2477"/>
      <c r="G20" s="2474"/>
      <c r="H20" s="2481"/>
      <c r="I20" s="2482">
        <f>SUM(I17:I19)</f>
        <v>0</v>
      </c>
    </row>
    <row r="21" spans="1:9">
      <c r="A21" s="3496" t="s">
        <v>2505</v>
      </c>
      <c r="B21" s="3499"/>
      <c r="C21" s="3499"/>
      <c r="D21" s="3499"/>
      <c r="E21" s="3499"/>
      <c r="F21" s="3499"/>
      <c r="G21" s="3499"/>
      <c r="H21" s="2486">
        <v>0.1</v>
      </c>
      <c r="I21" s="2479">
        <f>ROUND(I10*H21,0)</f>
        <v>0</v>
      </c>
    </row>
    <row r="22" spans="1:9" ht="14.25">
      <c r="A22" s="3500" t="s">
        <v>2506</v>
      </c>
      <c r="B22" s="3501"/>
      <c r="C22" s="3502"/>
      <c r="D22" s="2487" t="s">
        <v>2507</v>
      </c>
      <c r="E22" s="2487" t="s">
        <v>2508</v>
      </c>
      <c r="F22" s="2488" t="s">
        <v>2509</v>
      </c>
      <c r="G22" s="2488" t="s">
        <v>2510</v>
      </c>
      <c r="H22" s="2480" t="s">
        <v>2511</v>
      </c>
      <c r="I22" s="2471" t="s">
        <v>2512</v>
      </c>
    </row>
    <row r="23" spans="1:9" ht="14.25" thickBot="1">
      <c r="A23" s="3503"/>
      <c r="B23" s="3504"/>
      <c r="C23" s="3505"/>
      <c r="D23" s="2489"/>
      <c r="E23" s="2489"/>
      <c r="F23" s="2489"/>
      <c r="G23" s="2490"/>
      <c r="H23" s="2491"/>
      <c r="I23" s="2492">
        <f>ROUND(E23*D23*F23*(1-G23)/10000,0)</f>
        <v>0</v>
      </c>
    </row>
    <row r="26" spans="1:9">
      <c r="A26" s="2493" t="s">
        <v>2513</v>
      </c>
      <c r="B26" s="2493"/>
      <c r="C26" s="2493"/>
      <c r="D26" s="2493"/>
      <c r="E26" s="3493">
        <f>C27-C30-C31-C32</f>
        <v>0</v>
      </c>
      <c r="F26" s="3493"/>
      <c r="G26" s="3493"/>
      <c r="H26" s="2994" t="s">
        <v>2841</v>
      </c>
    </row>
    <row r="27" spans="1:9">
      <c r="A27" s="2494">
        <v>1</v>
      </c>
      <c r="B27" s="2495" t="s">
        <v>2514</v>
      </c>
      <c r="C27" s="2495"/>
      <c r="D27" s="2495"/>
      <c r="E27" s="3494"/>
      <c r="F27" s="3494"/>
      <c r="G27" s="3494"/>
    </row>
    <row r="28" spans="1:9">
      <c r="A28" s="2496" t="s">
        <v>2515</v>
      </c>
      <c r="B28" s="2495" t="s">
        <v>2516</v>
      </c>
      <c r="C28" s="2495"/>
      <c r="D28" s="2495"/>
      <c r="E28" s="3494"/>
      <c r="F28" s="3494"/>
      <c r="G28" s="3494"/>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495"/>
      <c r="F32" s="3495"/>
      <c r="G32" s="3495"/>
    </row>
    <row r="33" spans="1:7" hidden="1">
      <c r="A33" s="3490" t="s">
        <v>2524</v>
      </c>
      <c r="B33" s="3491"/>
      <c r="C33" s="3491"/>
      <c r="D33" s="3492"/>
      <c r="E33" s="3493"/>
      <c r="F33" s="3493"/>
      <c r="G33" s="3493"/>
    </row>
    <row r="34" spans="1:7" hidden="1">
      <c r="A34" s="2498">
        <v>1</v>
      </c>
      <c r="B34" s="2495" t="s">
        <v>2525</v>
      </c>
      <c r="C34" s="2495"/>
      <c r="D34" s="2495"/>
      <c r="E34" s="3494"/>
      <c r="F34" s="3494"/>
      <c r="G34" s="3494"/>
    </row>
    <row r="35" spans="1:7" hidden="1">
      <c r="A35" s="2498">
        <v>2</v>
      </c>
      <c r="B35" s="2495" t="s">
        <v>2526</v>
      </c>
      <c r="C35" s="2495"/>
      <c r="D35" s="2495"/>
      <c r="E35" s="3494"/>
      <c r="F35" s="3494"/>
      <c r="G35" s="3494"/>
    </row>
    <row r="36" spans="1:7" hidden="1">
      <c r="A36" s="2498">
        <v>3</v>
      </c>
      <c r="B36" s="2495" t="s">
        <v>2527</v>
      </c>
      <c r="C36" s="2495"/>
      <c r="D36" s="2495"/>
      <c r="E36" s="3494"/>
      <c r="F36" s="3494"/>
      <c r="G36" s="3494"/>
    </row>
    <row r="37" spans="1:7" hidden="1">
      <c r="A37" s="2498">
        <v>4</v>
      </c>
      <c r="B37" s="2495" t="s">
        <v>2528</v>
      </c>
      <c r="C37" s="2495"/>
      <c r="D37" s="2495"/>
      <c r="E37" s="3494"/>
      <c r="F37" s="3494"/>
      <c r="G37" s="3494"/>
    </row>
    <row r="38" spans="1:7" hidden="1">
      <c r="A38" s="3490" t="s">
        <v>2529</v>
      </c>
      <c r="B38" s="3491"/>
      <c r="C38" s="3491"/>
      <c r="D38" s="3492"/>
      <c r="E38" s="3493"/>
      <c r="F38" s="3493"/>
      <c r="G38" s="34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4"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2439</v>
      </c>
      <c r="B8" s="2435" t="s">
        <v>2441</v>
      </c>
      <c r="C8" s="2436"/>
      <c r="D8" s="749"/>
      <c r="E8" s="750"/>
      <c r="F8" s="750"/>
      <c r="G8" s="751"/>
    </row>
    <row r="9" spans="1:25" s="2167" customFormat="1" ht="13.5" customHeight="1">
      <c r="A9" s="2432" t="s">
        <v>2440</v>
      </c>
      <c r="B9" s="2435" t="s">
        <v>2442</v>
      </c>
      <c r="C9" s="2436"/>
      <c r="D9" s="749"/>
      <c r="E9" s="750"/>
      <c r="F9" s="750"/>
      <c r="G9" s="751"/>
    </row>
    <row r="10" spans="1:25" s="2167" customFormat="1" ht="36">
      <c r="A10" s="2432">
        <v>2</v>
      </c>
      <c r="B10" s="748" t="s">
        <v>612</v>
      </c>
      <c r="C10" s="749">
        <f>C11+C14+C15</f>
        <v>0</v>
      </c>
      <c r="D10" s="760">
        <f>'数据-汇总表'!E3</f>
        <v>321749.09999999998</v>
      </c>
      <c r="E10" s="749">
        <f>'数据-取费表'!B31</f>
        <v>200</v>
      </c>
      <c r="F10" s="761"/>
      <c r="G10" s="759" t="s">
        <v>613</v>
      </c>
    </row>
    <row r="11" spans="1:25" s="2167" customFormat="1" ht="13.5" customHeight="1">
      <c r="A11" s="2432" t="s">
        <v>2439</v>
      </c>
      <c r="B11" s="752" t="s">
        <v>609</v>
      </c>
      <c r="C11" s="753">
        <f>'数据-取费表'!B29</f>
        <v>0</v>
      </c>
      <c r="D11" s="754"/>
      <c r="E11" s="753"/>
      <c r="F11" s="755"/>
      <c r="G11" s="2441" t="s">
        <v>2450</v>
      </c>
    </row>
    <row r="12" spans="1:25" s="2167" customFormat="1" ht="13.5" customHeight="1">
      <c r="A12" s="2439" t="s">
        <v>2447</v>
      </c>
      <c r="B12" s="756" t="s">
        <v>610</v>
      </c>
      <c r="C12" s="757">
        <f>ROUND(D12*E12/10000,0)</f>
        <v>3209</v>
      </c>
      <c r="D12" s="758">
        <f>'数据-汇总表'!E5</f>
        <v>305661.65000000002</v>
      </c>
      <c r="E12" s="757">
        <f>'数据-取费表'!B27</f>
        <v>105</v>
      </c>
      <c r="F12" s="755"/>
      <c r="G12" s="759"/>
    </row>
    <row r="13" spans="1:25" s="2167" customFormat="1" ht="13.5" customHeight="1">
      <c r="A13" s="2439" t="s">
        <v>2446</v>
      </c>
      <c r="B13" s="756" t="s">
        <v>611</v>
      </c>
      <c r="C13" s="757">
        <f>ROUND(D13*E13/10000,0)</f>
        <v>169</v>
      </c>
      <c r="D13" s="758">
        <f>'数据-汇总表'!E6</f>
        <v>16087.449999999953</v>
      </c>
      <c r="E13" s="757">
        <f>'数据-取费表'!B28</f>
        <v>105</v>
      </c>
      <c r="F13" s="755"/>
      <c r="G13" s="759"/>
    </row>
    <row r="14" spans="1:25" s="2167" customFormat="1" ht="13.5" customHeight="1">
      <c r="A14" s="2432" t="s">
        <v>2440</v>
      </c>
      <c r="B14" s="2438" t="s">
        <v>2443</v>
      </c>
      <c r="C14" s="2436"/>
      <c r="D14" s="758"/>
      <c r="E14" s="757"/>
      <c r="F14" s="2437"/>
      <c r="G14" s="2440" t="s">
        <v>2448</v>
      </c>
    </row>
    <row r="15" spans="1:25" s="2167" customFormat="1" ht="13.5" customHeight="1">
      <c r="A15" s="2432" t="s">
        <v>2445</v>
      </c>
      <c r="B15" s="2438" t="s">
        <v>2444</v>
      </c>
      <c r="C15" s="2436"/>
      <c r="D15" s="758"/>
      <c r="E15" s="757"/>
      <c r="F15" s="2437"/>
      <c r="G15" s="2440" t="s">
        <v>2449</v>
      </c>
    </row>
    <row r="16" spans="1:25" s="2168" customFormat="1" ht="48">
      <c r="A16" s="2432">
        <v>3</v>
      </c>
      <c r="B16" s="748" t="s">
        <v>614</v>
      </c>
      <c r="C16" s="2436"/>
      <c r="D16" s="760"/>
      <c r="E16" s="749"/>
      <c r="F16" s="761"/>
      <c r="G16" s="759" t="s">
        <v>2451</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0.25</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32">
        <v>7</v>
      </c>
      <c r="B20" s="748" t="s">
        <v>620</v>
      </c>
      <c r="C20" s="749">
        <f ca="1">ROUND(C19*F20,0)</f>
        <v>0</v>
      </c>
      <c r="D20" s="760"/>
      <c r="E20" s="749"/>
      <c r="F20" s="1343"/>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0.94299999999999995</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A25" zoomScaleNormal="100" workbookViewId="0">
      <selection activeCell="K35" sqref="K35"/>
    </sheetView>
  </sheetViews>
  <sheetFormatPr defaultColWidth="9" defaultRowHeight="14.25"/>
  <cols>
    <col min="1" max="1" width="10.5" style="1331" customWidth="1"/>
    <col min="2" max="2" width="15.75" style="1331" customWidth="1"/>
    <col min="3" max="3" width="15.12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2586" t="s">
        <v>718</v>
      </c>
      <c r="C1" s="2587" t="s">
        <v>719</v>
      </c>
      <c r="D1" s="2588" t="s">
        <v>922</v>
      </c>
      <c r="E1" s="2589"/>
      <c r="F1" s="2761" t="s">
        <v>3141</v>
      </c>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466</v>
      </c>
      <c r="B2" s="2585">
        <f>ROUND(B3*D3/10000,0)</f>
        <v>252110</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518</v>
      </c>
      <c r="B3" s="851">
        <f>C49</f>
        <v>8248</v>
      </c>
      <c r="C3" s="852" t="s">
        <v>721</v>
      </c>
      <c r="D3" s="851">
        <f>SUMIF('数据-汇总表'!$C19:$C33,D1,'数据-汇总表'!$E19:$E33)</f>
        <v>305661.65000000002</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5">
      <c r="A4" s="512" t="s">
        <v>520</v>
      </c>
      <c r="B4" s="513"/>
      <c r="C4" s="3414" t="s">
        <v>521</v>
      </c>
      <c r="D4" s="3415"/>
      <c r="E4" s="3438" t="s">
        <v>522</v>
      </c>
      <c r="F4" s="3439"/>
      <c r="G4" s="3414" t="s">
        <v>523</v>
      </c>
      <c r="H4" s="3415"/>
      <c r="I4" s="3414" t="s">
        <v>524</v>
      </c>
      <c r="J4" s="3415"/>
      <c r="K4" s="853" t="s">
        <v>525</v>
      </c>
      <c r="L4" s="2117"/>
      <c r="M4" s="2118"/>
      <c r="N4" s="2118"/>
      <c r="O4" s="2118"/>
      <c r="P4" s="3416" t="s">
        <v>526</v>
      </c>
      <c r="Q4" s="3417"/>
      <c r="R4" s="3402" t="s">
        <v>522</v>
      </c>
      <c r="S4" s="3403"/>
      <c r="T4" s="3402" t="s">
        <v>523</v>
      </c>
      <c r="U4" s="3403"/>
      <c r="V4" s="3422" t="s">
        <v>524</v>
      </c>
      <c r="W4" s="3422"/>
      <c r="X4" s="1552"/>
      <c r="Y4" s="3402" t="s">
        <v>526</v>
      </c>
      <c r="Z4" s="3403"/>
      <c r="AA4" s="3397" t="s">
        <v>522</v>
      </c>
      <c r="AB4" s="3397" t="s">
        <v>523</v>
      </c>
      <c r="AC4" s="3397" t="s">
        <v>524</v>
      </c>
    </row>
    <row r="5" spans="1:29" ht="15">
      <c r="A5" s="515"/>
      <c r="B5" s="516"/>
      <c r="C5" s="3425" t="s">
        <v>2919</v>
      </c>
      <c r="D5" s="3426"/>
      <c r="E5" s="3511" t="s">
        <v>3142</v>
      </c>
      <c r="F5" s="3441"/>
      <c r="G5" s="3512" t="s">
        <v>3208</v>
      </c>
      <c r="H5" s="3426"/>
      <c r="I5" s="3512" t="s">
        <v>3181</v>
      </c>
      <c r="J5" s="3426"/>
      <c r="K5" s="854"/>
      <c r="L5" s="2117"/>
      <c r="M5" s="2118"/>
      <c r="N5" s="2118"/>
      <c r="O5" s="2118"/>
      <c r="P5" s="3418"/>
      <c r="Q5" s="3419"/>
      <c r="R5" s="3404"/>
      <c r="S5" s="3405"/>
      <c r="T5" s="3404"/>
      <c r="U5" s="3405"/>
      <c r="V5" s="3422"/>
      <c r="W5" s="3422"/>
      <c r="X5" s="1552"/>
      <c r="Y5" s="3404"/>
      <c r="Z5" s="3405"/>
      <c r="AA5" s="3398"/>
      <c r="AB5" s="3398"/>
      <c r="AC5" s="3398"/>
    </row>
    <row r="6" spans="1:29" ht="15.75" thickBot="1">
      <c r="A6" s="517"/>
      <c r="B6" s="518"/>
      <c r="C6" s="3423" t="s">
        <v>2923</v>
      </c>
      <c r="D6" s="3424"/>
      <c r="E6" s="3423" t="s">
        <v>2923</v>
      </c>
      <c r="F6" s="3424"/>
      <c r="G6" s="3423" t="s">
        <v>2923</v>
      </c>
      <c r="H6" s="3424"/>
      <c r="I6" s="3423" t="s">
        <v>2923</v>
      </c>
      <c r="J6" s="3424"/>
      <c r="K6" s="854" t="s">
        <v>527</v>
      </c>
      <c r="L6" s="2117"/>
      <c r="M6" s="2118"/>
      <c r="N6" s="2118"/>
      <c r="O6" s="2118"/>
      <c r="P6" s="3420"/>
      <c r="Q6" s="3421"/>
      <c r="R6" s="3404"/>
      <c r="S6" s="3405"/>
      <c r="T6" s="3406"/>
      <c r="U6" s="3407"/>
      <c r="V6" s="3422"/>
      <c r="W6" s="3422"/>
      <c r="X6" s="1552"/>
      <c r="Y6" s="3406"/>
      <c r="Z6" s="3407"/>
      <c r="AA6" s="3399"/>
      <c r="AB6" s="3399"/>
      <c r="AC6" s="3399"/>
    </row>
    <row r="7" spans="1:29" s="1216" customFormat="1" ht="15.75" thickBot="1">
      <c r="A7" s="2866"/>
      <c r="B7" s="2873"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19"/>
      <c r="M7" s="2120"/>
      <c r="N7" s="2120"/>
      <c r="O7" s="2120"/>
      <c r="P7" s="3400" t="s">
        <v>529</v>
      </c>
      <c r="Q7" s="3409"/>
      <c r="R7" s="1553" t="s">
        <v>13</v>
      </c>
      <c r="S7" s="1554">
        <f t="shared" ref="S7:S15" si="0">F7</f>
        <v>100</v>
      </c>
      <c r="T7" s="1553" t="s">
        <v>13</v>
      </c>
      <c r="U7" s="1554">
        <f t="shared" ref="U7:U15" si="1">H7</f>
        <v>100</v>
      </c>
      <c r="V7" s="1553" t="s">
        <v>13</v>
      </c>
      <c r="W7" s="1554">
        <f t="shared" ref="W7:W15" si="2">J7</f>
        <v>100</v>
      </c>
      <c r="X7" s="1555"/>
      <c r="Y7" s="3400" t="s">
        <v>529</v>
      </c>
      <c r="Z7" s="3401"/>
      <c r="AA7" s="1556">
        <f>D7/F7</f>
        <v>1</v>
      </c>
      <c r="AB7" s="1556">
        <f>D7/H7</f>
        <v>1</v>
      </c>
      <c r="AC7" s="1556">
        <f>D7/J7</f>
        <v>1</v>
      </c>
    </row>
    <row r="8" spans="1:29" s="1216" customFormat="1" ht="15.75" thickBot="1">
      <c r="A8" s="2867"/>
      <c r="B8" s="2874"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19"/>
      <c r="M8" s="2120"/>
      <c r="N8" s="2120"/>
      <c r="O8" s="2120"/>
      <c r="P8" s="3400" t="s">
        <v>532</v>
      </c>
      <c r="Q8" s="3401"/>
      <c r="R8" s="1553" t="s">
        <v>13</v>
      </c>
      <c r="S8" s="1554">
        <f t="shared" si="0"/>
        <v>100</v>
      </c>
      <c r="T8" s="1553" t="s">
        <v>13</v>
      </c>
      <c r="U8" s="1554">
        <f t="shared" si="1"/>
        <v>100</v>
      </c>
      <c r="V8" s="1553" t="s">
        <v>13</v>
      </c>
      <c r="W8" s="1554">
        <f t="shared" si="2"/>
        <v>100</v>
      </c>
      <c r="X8" s="1555"/>
      <c r="Y8" s="3400" t="s">
        <v>532</v>
      </c>
      <c r="Z8" s="3401"/>
      <c r="AA8" s="1556">
        <f t="shared" ref="AA8:AA46" si="3">D8/F8</f>
        <v>1</v>
      </c>
      <c r="AB8" s="1556">
        <f t="shared" ref="AB8:AB46" si="4">D8/H8</f>
        <v>1</v>
      </c>
      <c r="AC8" s="1556">
        <f t="shared" ref="AC8:AC46" si="5">D8/J8</f>
        <v>1</v>
      </c>
    </row>
    <row r="9" spans="1:29" s="1216" customFormat="1" ht="15">
      <c r="A9" s="2868"/>
      <c r="B9" s="2875" t="s">
        <v>2754</v>
      </c>
      <c r="C9" s="3200" t="s">
        <v>3143</v>
      </c>
      <c r="D9" s="254">
        <v>100</v>
      </c>
      <c r="E9" s="858" t="s">
        <v>922</v>
      </c>
      <c r="F9" s="859">
        <f>SUMIF(63:63,E9,64:64)-SUMIF(63:63,C9,64:64)+100</f>
        <v>100</v>
      </c>
      <c r="G9" s="860" t="s">
        <v>922</v>
      </c>
      <c r="H9" s="254">
        <f>SUMIF(63:63,G9,64:64)-SUMIF(63:63,C9,64:64)+100</f>
        <v>100</v>
      </c>
      <c r="I9" s="3209" t="s">
        <v>3184</v>
      </c>
      <c r="J9" s="254">
        <f>SUMIF(63:63,I9,64:64)-SUMIF(63:63,C9,64:64)+100</f>
        <v>100</v>
      </c>
      <c r="K9" s="855"/>
      <c r="L9" s="2119"/>
      <c r="M9" s="2120"/>
      <c r="N9" s="2120"/>
      <c r="O9" s="2121"/>
      <c r="P9" s="3408" t="s">
        <v>534</v>
      </c>
      <c r="Q9" s="1147" t="str">
        <f t="shared" ref="Q9:Q15" si="6">B9</f>
        <v>用途</v>
      </c>
      <c r="R9" s="1553" t="s">
        <v>8</v>
      </c>
      <c r="S9" s="1554">
        <f t="shared" si="0"/>
        <v>100</v>
      </c>
      <c r="T9" s="1553" t="s">
        <v>8</v>
      </c>
      <c r="U9" s="1554">
        <f t="shared" si="1"/>
        <v>100</v>
      </c>
      <c r="V9" s="1553" t="s">
        <v>8</v>
      </c>
      <c r="W9" s="1554">
        <f t="shared" si="2"/>
        <v>100</v>
      </c>
      <c r="X9" s="1555"/>
      <c r="Y9" s="3365" t="s">
        <v>535</v>
      </c>
      <c r="Z9" s="1146" t="str">
        <f t="shared" ref="Z9:Z15" si="7">Q9</f>
        <v>用途</v>
      </c>
      <c r="AA9" s="1556">
        <f t="shared" si="3"/>
        <v>1</v>
      </c>
      <c r="AB9" s="1556">
        <f t="shared" si="4"/>
        <v>1</v>
      </c>
      <c r="AC9" s="1556">
        <f t="shared" si="5"/>
        <v>1</v>
      </c>
    </row>
    <row r="10" spans="1:29" s="1332" customFormat="1" ht="27">
      <c r="A10" s="2869"/>
      <c r="B10" s="2874" t="s">
        <v>2755</v>
      </c>
      <c r="C10" s="861" t="s">
        <v>3144</v>
      </c>
      <c r="D10" s="255">
        <v>100</v>
      </c>
      <c r="E10" s="862" t="s">
        <v>3144</v>
      </c>
      <c r="F10" s="863">
        <f>SUMIF(65:65,E10,66:66)-SUMIF(65:65,C10,66:66)+100</f>
        <v>100</v>
      </c>
      <c r="G10" s="861" t="s">
        <v>3144</v>
      </c>
      <c r="H10" s="255">
        <f>SUMIF(65:65,G10,66:66)-SUMIF(65:65,C10,66:66)+100</f>
        <v>100</v>
      </c>
      <c r="I10" s="861" t="s">
        <v>3144</v>
      </c>
      <c r="J10" s="255">
        <f>SUMIF(65:65,I10,66:66)-SUMIF(65:65,C10,66:66)+100</f>
        <v>100</v>
      </c>
      <c r="K10" s="864">
        <v>2</v>
      </c>
      <c r="L10" s="2122"/>
      <c r="M10" s="2162"/>
      <c r="N10" s="2162"/>
      <c r="O10" s="2123"/>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0"/>
      <c r="B11" s="3221" t="s">
        <v>2756</v>
      </c>
      <c r="C11" s="533">
        <v>0</v>
      </c>
      <c r="D11" s="255">
        <v>100</v>
      </c>
      <c r="E11" s="534">
        <v>0</v>
      </c>
      <c r="F11" s="863">
        <f>LOOKUP(E11,68:68,69:69)-LOOKUP(C11,68:68,69:69)+100</f>
        <v>100</v>
      </c>
      <c r="G11" s="533">
        <v>0</v>
      </c>
      <c r="H11" s="255">
        <f>LOOKUP(G11,68:68,69:69)-LOOKUP(C11,68:68,69:69)+100</f>
        <v>100</v>
      </c>
      <c r="I11" s="533">
        <v>0</v>
      </c>
      <c r="J11" s="255">
        <f>LOOKUP(I11,68:68,69:69)-LOOKUP(C11,68:68,69:69)+100</f>
        <v>100</v>
      </c>
      <c r="K11" s="864">
        <v>2</v>
      </c>
      <c r="L11" s="2124"/>
      <c r="M11" s="2118"/>
      <c r="N11" s="2118"/>
      <c r="O11" s="2125"/>
      <c r="P11" s="3408"/>
      <c r="Q11" s="1147" t="str">
        <f t="shared" si="6"/>
        <v>容积率</v>
      </c>
      <c r="R11" s="1553" t="s">
        <v>11</v>
      </c>
      <c r="S11" s="1554">
        <f t="shared" si="0"/>
        <v>100</v>
      </c>
      <c r="T11" s="1553" t="s">
        <v>11</v>
      </c>
      <c r="U11" s="1554">
        <f t="shared" si="1"/>
        <v>100</v>
      </c>
      <c r="V11" s="1553" t="s">
        <v>11</v>
      </c>
      <c r="W11" s="1554">
        <f t="shared" si="2"/>
        <v>100</v>
      </c>
      <c r="X11" s="1555"/>
      <c r="Y11" s="3365"/>
      <c r="Z11" s="1146" t="str">
        <f t="shared" si="7"/>
        <v>容积率</v>
      </c>
      <c r="AA11" s="1556">
        <f t="shared" si="3"/>
        <v>1</v>
      </c>
      <c r="AB11" s="1556">
        <f t="shared" si="4"/>
        <v>1</v>
      </c>
      <c r="AC11" s="1556">
        <f t="shared" si="5"/>
        <v>1</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408"/>
      <c r="Q12" s="1147">
        <f t="shared" si="6"/>
        <v>111</v>
      </c>
      <c r="R12" s="1553" t="s">
        <v>11</v>
      </c>
      <c r="S12" s="1554">
        <f t="shared" si="0"/>
        <v>100</v>
      </c>
      <c r="T12" s="1553" t="s">
        <v>11</v>
      </c>
      <c r="U12" s="1554">
        <f t="shared" si="1"/>
        <v>100</v>
      </c>
      <c r="V12" s="1553" t="s">
        <v>11</v>
      </c>
      <c r="W12" s="1554">
        <f t="shared" si="2"/>
        <v>100</v>
      </c>
      <c r="X12" s="1555"/>
      <c r="Y12" s="3365"/>
      <c r="Z12" s="1146">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408"/>
      <c r="Q13" s="1147">
        <f t="shared" si="6"/>
        <v>111</v>
      </c>
      <c r="R13" s="1553" t="s">
        <v>11</v>
      </c>
      <c r="S13" s="1554">
        <f t="shared" si="0"/>
        <v>100</v>
      </c>
      <c r="T13" s="1553" t="s">
        <v>11</v>
      </c>
      <c r="U13" s="1554">
        <f t="shared" si="1"/>
        <v>100</v>
      </c>
      <c r="V13" s="1553" t="s">
        <v>11</v>
      </c>
      <c r="W13" s="1554">
        <f t="shared" si="2"/>
        <v>100</v>
      </c>
      <c r="X13" s="1555"/>
      <c r="Y13" s="3365"/>
      <c r="Z13" s="1146">
        <f t="shared" si="7"/>
        <v>111</v>
      </c>
      <c r="AA13" s="1556">
        <f t="shared" si="3"/>
        <v>1</v>
      </c>
      <c r="AB13" s="1556">
        <f t="shared" si="4"/>
        <v>1</v>
      </c>
      <c r="AC13" s="1556">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408"/>
      <c r="Q14" s="1147">
        <f t="shared" si="6"/>
        <v>111</v>
      </c>
      <c r="R14" s="1553" t="s">
        <v>11</v>
      </c>
      <c r="S14" s="1554">
        <f t="shared" si="0"/>
        <v>100</v>
      </c>
      <c r="T14" s="1553" t="s">
        <v>11</v>
      </c>
      <c r="U14" s="1554">
        <f t="shared" si="1"/>
        <v>100</v>
      </c>
      <c r="V14" s="1553" t="s">
        <v>11</v>
      </c>
      <c r="W14" s="1554">
        <f t="shared" si="2"/>
        <v>100</v>
      </c>
      <c r="X14" s="1555"/>
      <c r="Y14" s="3365"/>
      <c r="Z14" s="1146">
        <f t="shared" si="7"/>
        <v>111</v>
      </c>
      <c r="AA14" s="1556">
        <f t="shared" si="3"/>
        <v>1</v>
      </c>
      <c r="AB14" s="1556">
        <f t="shared" si="4"/>
        <v>1</v>
      </c>
      <c r="AC14" s="1556">
        <f t="shared" si="5"/>
        <v>1</v>
      </c>
    </row>
    <row r="15" spans="1:29" ht="15">
      <c r="A15" s="2864" t="s">
        <v>2752</v>
      </c>
      <c r="B15" s="166" t="s">
        <v>295</v>
      </c>
      <c r="C15" s="867" t="str">
        <f>估价对象房地状况!C3</f>
        <v>较好</v>
      </c>
      <c r="D15" s="549">
        <v>100</v>
      </c>
      <c r="E15" s="550"/>
      <c r="F15" s="551">
        <f>SUMIF(76:76,E16,77:77)-SUMIF(76:76,C16,77:77)+100</f>
        <v>103</v>
      </c>
      <c r="G15" s="552"/>
      <c r="H15" s="549">
        <f>SUMIF(76:76,G16,77:77)-SUMIF(76:76,C16,77:77)+100</f>
        <v>100</v>
      </c>
      <c r="I15" s="550"/>
      <c r="J15" s="549">
        <f>SUMIF(76:76,I16,77:77)-SUMIF(76:76,C16,77:77)+100</f>
        <v>103</v>
      </c>
      <c r="K15" s="868">
        <v>3</v>
      </c>
      <c r="L15" s="2126"/>
      <c r="M15" s="2118"/>
      <c r="N15" s="2118"/>
      <c r="O15" s="2125"/>
      <c r="P15" s="3410" t="s">
        <v>539</v>
      </c>
      <c r="Q15" s="1557" t="str">
        <f t="shared" si="6"/>
        <v>居住社区成熟度</v>
      </c>
      <c r="R15" s="1558" t="s">
        <v>11</v>
      </c>
      <c r="S15" s="1559">
        <f t="shared" si="0"/>
        <v>103</v>
      </c>
      <c r="T15" s="1558" t="s">
        <v>11</v>
      </c>
      <c r="U15" s="1559">
        <f t="shared" si="1"/>
        <v>100</v>
      </c>
      <c r="V15" s="1558" t="s">
        <v>11</v>
      </c>
      <c r="W15" s="1559">
        <f t="shared" si="2"/>
        <v>103</v>
      </c>
      <c r="X15" s="1552"/>
      <c r="Y15" s="3410" t="s">
        <v>539</v>
      </c>
      <c r="Z15" s="1560" t="str">
        <f t="shared" si="7"/>
        <v>居住社区成熟度</v>
      </c>
      <c r="AA15" s="1561">
        <f t="shared" si="3"/>
        <v>0.970873786407767</v>
      </c>
      <c r="AB15" s="1561">
        <f t="shared" si="4"/>
        <v>1</v>
      </c>
      <c r="AC15" s="1561">
        <f t="shared" si="5"/>
        <v>0.970873786407767</v>
      </c>
    </row>
    <row r="16" spans="1:29" ht="15">
      <c r="A16" s="532"/>
      <c r="B16" s="869"/>
      <c r="C16" s="576" t="s">
        <v>3145</v>
      </c>
      <c r="D16" s="555"/>
      <c r="E16" s="556" t="s">
        <v>3146</v>
      </c>
      <c r="F16" s="557"/>
      <c r="G16" s="558" t="s">
        <v>3145</v>
      </c>
      <c r="H16" s="559"/>
      <c r="I16" s="556" t="s">
        <v>3146</v>
      </c>
      <c r="J16" s="555"/>
      <c r="K16" s="870"/>
      <c r="L16" s="2126"/>
      <c r="M16" s="2118"/>
      <c r="N16" s="2118"/>
      <c r="O16" s="2125"/>
      <c r="P16" s="3411"/>
      <c r="Q16" s="1557"/>
      <c r="R16" s="1558"/>
      <c r="S16" s="1559"/>
      <c r="T16" s="1558"/>
      <c r="U16" s="1559"/>
      <c r="V16" s="1558"/>
      <c r="W16" s="1559"/>
      <c r="X16" s="1552"/>
      <c r="Y16" s="3411"/>
      <c r="Z16" s="1560"/>
      <c r="AA16" s="1561">
        <v>1</v>
      </c>
      <c r="AB16" s="1561">
        <v>1</v>
      </c>
      <c r="AC16" s="1561">
        <v>1</v>
      </c>
    </row>
    <row r="17" spans="1:29" ht="15">
      <c r="A17" s="532"/>
      <c r="B17" s="871" t="s">
        <v>296</v>
      </c>
      <c r="C17" s="872" t="str">
        <f>估价对象房地状况!C6</f>
        <v>较好</v>
      </c>
      <c r="D17" s="559">
        <v>100</v>
      </c>
      <c r="E17" s="562"/>
      <c r="F17" s="563">
        <f>SUMIF(78:78,E18,79:79)-SUMIF(78:78,C18,79:79)+100</f>
        <v>103</v>
      </c>
      <c r="G17" s="564"/>
      <c r="H17" s="565">
        <f>SUMIF(78:78,G18,79:79)-SUMIF(78:78,C18,79:79)+100</f>
        <v>100</v>
      </c>
      <c r="I17" s="562"/>
      <c r="J17" s="565">
        <f>SUMIF(78:78,I18,79:79)-SUMIF(78:78,C18,79:79)+100</f>
        <v>103</v>
      </c>
      <c r="K17" s="868">
        <v>3</v>
      </c>
      <c r="L17" s="2126"/>
      <c r="M17" s="2118"/>
      <c r="N17" s="2118"/>
      <c r="O17" s="2125"/>
      <c r="P17" s="3411"/>
      <c r="Q17" s="1557" t="str">
        <f>B17</f>
        <v>交通便捷度</v>
      </c>
      <c r="R17" s="1558" t="s">
        <v>11</v>
      </c>
      <c r="S17" s="1559">
        <f>F17</f>
        <v>103</v>
      </c>
      <c r="T17" s="1558" t="s">
        <v>11</v>
      </c>
      <c r="U17" s="1559">
        <f>H17</f>
        <v>100</v>
      </c>
      <c r="V17" s="1558" t="s">
        <v>11</v>
      </c>
      <c r="W17" s="1559">
        <f>J17</f>
        <v>103</v>
      </c>
      <c r="X17" s="1552"/>
      <c r="Y17" s="3411"/>
      <c r="Z17" s="1560" t="str">
        <f>Q17</f>
        <v>交通便捷度</v>
      </c>
      <c r="AA17" s="1561">
        <f t="shared" si="3"/>
        <v>0.970873786407767</v>
      </c>
      <c r="AB17" s="1561">
        <f t="shared" si="4"/>
        <v>1</v>
      </c>
      <c r="AC17" s="1561">
        <f t="shared" si="5"/>
        <v>0.970873786407767</v>
      </c>
    </row>
    <row r="18" spans="1:29" ht="15">
      <c r="A18" s="532"/>
      <c r="B18" s="595"/>
      <c r="C18" s="873" t="s">
        <v>3145</v>
      </c>
      <c r="D18" s="559"/>
      <c r="E18" s="568" t="s">
        <v>3146</v>
      </c>
      <c r="F18" s="563"/>
      <c r="G18" s="569" t="s">
        <v>3145</v>
      </c>
      <c r="H18" s="555"/>
      <c r="I18" s="568" t="s">
        <v>3146</v>
      </c>
      <c r="J18" s="555"/>
      <c r="K18" s="870"/>
      <c r="L18" s="2126"/>
      <c r="M18" s="2118"/>
      <c r="N18" s="2118"/>
      <c r="O18" s="2125"/>
      <c r="P18" s="3411"/>
      <c r="Q18" s="1557"/>
      <c r="R18" s="1558"/>
      <c r="S18" s="1559"/>
      <c r="T18" s="1558"/>
      <c r="U18" s="1559"/>
      <c r="V18" s="1558"/>
      <c r="W18" s="1559"/>
      <c r="X18" s="1552"/>
      <c r="Y18" s="3411"/>
      <c r="Z18" s="1560"/>
      <c r="AA18" s="1561">
        <v>1</v>
      </c>
      <c r="AB18" s="1561">
        <v>1</v>
      </c>
      <c r="AC18" s="1561">
        <v>1</v>
      </c>
    </row>
    <row r="19" spans="1:29" ht="15">
      <c r="A19" s="532"/>
      <c r="B19" s="2563" t="s">
        <v>2544</v>
      </c>
      <c r="C19" s="872" t="str">
        <f>估价对象房地状况!C7</f>
        <v>较好</v>
      </c>
      <c r="D19" s="565">
        <v>100</v>
      </c>
      <c r="E19" s="570"/>
      <c r="F19" s="571">
        <f>SUMIF(80:80,E20,81:81)-SUMIF(80:80,C20,81:81)+100</f>
        <v>103</v>
      </c>
      <c r="G19" s="572"/>
      <c r="H19" s="559">
        <f>SUMIF(80:80,G20,81:81)-SUMIF(80:80,C20,81:81)+100</f>
        <v>100</v>
      </c>
      <c r="I19" s="570"/>
      <c r="J19" s="559">
        <f>SUMIF(80:80,I20,81:81)-SUMIF(80:80,C20,81:81)+100</f>
        <v>103</v>
      </c>
      <c r="K19" s="868">
        <v>3</v>
      </c>
      <c r="L19" s="2126"/>
      <c r="M19" s="2118"/>
      <c r="N19" s="2118"/>
      <c r="O19" s="2125"/>
      <c r="P19" s="3411"/>
      <c r="Q19" s="1557" t="str">
        <f>B19</f>
        <v>公共配套设施</v>
      </c>
      <c r="R19" s="1558" t="s">
        <v>11</v>
      </c>
      <c r="S19" s="1559">
        <f>F19</f>
        <v>103</v>
      </c>
      <c r="T19" s="1558" t="s">
        <v>11</v>
      </c>
      <c r="U19" s="1559">
        <f>H19</f>
        <v>100</v>
      </c>
      <c r="V19" s="1558" t="s">
        <v>11</v>
      </c>
      <c r="W19" s="1559">
        <f>J19</f>
        <v>103</v>
      </c>
      <c r="X19" s="1552"/>
      <c r="Y19" s="3411"/>
      <c r="Z19" s="1560" t="str">
        <f>Q19</f>
        <v>公共配套设施</v>
      </c>
      <c r="AA19" s="1561">
        <f t="shared" si="3"/>
        <v>0.970873786407767</v>
      </c>
      <c r="AB19" s="1561">
        <f t="shared" si="4"/>
        <v>1</v>
      </c>
      <c r="AC19" s="1561">
        <f t="shared" si="5"/>
        <v>0.970873786407767</v>
      </c>
    </row>
    <row r="20" spans="1:29" ht="15">
      <c r="A20" s="532"/>
      <c r="B20" s="595"/>
      <c r="C20" s="576" t="s">
        <v>3145</v>
      </c>
      <c r="D20" s="555"/>
      <c r="E20" s="556" t="s">
        <v>3146</v>
      </c>
      <c r="F20" s="557"/>
      <c r="G20" s="558" t="s">
        <v>3145</v>
      </c>
      <c r="H20" s="555"/>
      <c r="I20" s="556" t="s">
        <v>3146</v>
      </c>
      <c r="J20" s="555"/>
      <c r="K20" s="870"/>
      <c r="L20" s="2126"/>
      <c r="M20" s="2118"/>
      <c r="N20" s="2118"/>
      <c r="O20" s="2125"/>
      <c r="P20" s="3411"/>
      <c r="Q20" s="1557"/>
      <c r="R20" s="1558"/>
      <c r="S20" s="1559"/>
      <c r="T20" s="1558"/>
      <c r="U20" s="1559"/>
      <c r="V20" s="1558"/>
      <c r="W20" s="1559"/>
      <c r="X20" s="1552"/>
      <c r="Y20" s="3411"/>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6"/>
      <c r="M21" s="2118"/>
      <c r="N21" s="2118"/>
      <c r="O21" s="2125"/>
      <c r="P21" s="3411"/>
      <c r="Q21" s="2542" t="str">
        <f>B21</f>
        <v>基础设施水平</v>
      </c>
      <c r="R21" s="1558" t="s">
        <v>11</v>
      </c>
      <c r="S21" s="1559">
        <f>F21</f>
        <v>100</v>
      </c>
      <c r="T21" s="1558" t="s">
        <v>11</v>
      </c>
      <c r="U21" s="1559">
        <f>H21</f>
        <v>100</v>
      </c>
      <c r="V21" s="1558" t="s">
        <v>11</v>
      </c>
      <c r="W21" s="1559">
        <f>J21</f>
        <v>100</v>
      </c>
      <c r="X21" s="2544"/>
      <c r="Y21" s="3411"/>
      <c r="Z21" s="2543" t="str">
        <f>Q21</f>
        <v>基础设施水平</v>
      </c>
      <c r="AA21" s="1561">
        <f t="shared" ref="AA21" si="8">D21/F21</f>
        <v>1</v>
      </c>
      <c r="AB21" s="1561">
        <f t="shared" ref="AB21" si="9">D21/H21</f>
        <v>1</v>
      </c>
      <c r="AC21" s="1561">
        <f t="shared" ref="AC21" si="10">D21/J21</f>
        <v>1</v>
      </c>
    </row>
    <row r="22" spans="1:29" ht="15">
      <c r="A22" s="532"/>
      <c r="B22" s="922"/>
      <c r="C22" s="873" t="s">
        <v>3147</v>
      </c>
      <c r="D22" s="555"/>
      <c r="E22" s="576" t="s">
        <v>3147</v>
      </c>
      <c r="F22" s="557"/>
      <c r="G22" s="576" t="s">
        <v>3147</v>
      </c>
      <c r="H22" s="555"/>
      <c r="I22" s="576" t="s">
        <v>3147</v>
      </c>
      <c r="J22" s="555"/>
      <c r="K22" s="2562"/>
      <c r="L22" s="2126"/>
      <c r="M22" s="2118"/>
      <c r="N22" s="2118"/>
      <c r="O22" s="2125"/>
      <c r="P22" s="3411"/>
      <c r="Q22" s="2542"/>
      <c r="R22" s="1558"/>
      <c r="S22" s="1559"/>
      <c r="T22" s="1558"/>
      <c r="U22" s="1559"/>
      <c r="V22" s="1558"/>
      <c r="W22" s="1559"/>
      <c r="X22" s="2544"/>
      <c r="Y22" s="3411"/>
      <c r="Z22" s="2543"/>
      <c r="AA22" s="1561">
        <v>1</v>
      </c>
      <c r="AB22" s="1561">
        <v>1</v>
      </c>
      <c r="AC22" s="156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102</v>
      </c>
      <c r="K23" s="868">
        <v>2</v>
      </c>
      <c r="L23" s="2126"/>
      <c r="M23" s="2118"/>
      <c r="N23" s="2118"/>
      <c r="O23" s="2125"/>
      <c r="P23" s="3411"/>
      <c r="Q23" s="1557" t="str">
        <f>B23</f>
        <v>自然及人文环境</v>
      </c>
      <c r="R23" s="1558" t="s">
        <v>11</v>
      </c>
      <c r="S23" s="1559">
        <f>F23</f>
        <v>100</v>
      </c>
      <c r="T23" s="1558" t="s">
        <v>11</v>
      </c>
      <c r="U23" s="1559">
        <f>H23</f>
        <v>100</v>
      </c>
      <c r="V23" s="1558" t="s">
        <v>11</v>
      </c>
      <c r="W23" s="1559">
        <f>J23</f>
        <v>102</v>
      </c>
      <c r="X23" s="1552"/>
      <c r="Y23" s="3411"/>
      <c r="Z23" s="1560" t="str">
        <f>Q23</f>
        <v>自然及人文环境</v>
      </c>
      <c r="AA23" s="1561">
        <f t="shared" si="3"/>
        <v>1</v>
      </c>
      <c r="AB23" s="1561">
        <f t="shared" si="4"/>
        <v>1</v>
      </c>
      <c r="AC23" s="1561">
        <f t="shared" si="5"/>
        <v>0.98039215686274506</v>
      </c>
    </row>
    <row r="24" spans="1:29" ht="15">
      <c r="A24" s="532"/>
      <c r="B24" s="595"/>
      <c r="C24" s="576" t="s">
        <v>3145</v>
      </c>
      <c r="D24" s="555"/>
      <c r="E24" s="556" t="s">
        <v>3145</v>
      </c>
      <c r="F24" s="557"/>
      <c r="G24" s="558" t="s">
        <v>3145</v>
      </c>
      <c r="H24" s="555"/>
      <c r="I24" s="556" t="s">
        <v>3146</v>
      </c>
      <c r="J24" s="555"/>
      <c r="K24" s="870"/>
      <c r="L24" s="2126"/>
      <c r="M24" s="2118"/>
      <c r="N24" s="2118"/>
      <c r="O24" s="2125"/>
      <c r="P24" s="3411"/>
      <c r="Q24" s="1557"/>
      <c r="R24" s="1558"/>
      <c r="S24" s="1559"/>
      <c r="T24" s="1558"/>
      <c r="U24" s="1559"/>
      <c r="V24" s="1558"/>
      <c r="W24" s="1559"/>
      <c r="X24" s="1552"/>
      <c r="Y24" s="3411"/>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11"/>
      <c r="Q25" s="1557" t="str">
        <f t="shared" ref="Q25:Q46" si="11">B25</f>
        <v>楼层-1</v>
      </c>
      <c r="R25" s="1558" t="s">
        <v>11</v>
      </c>
      <c r="S25" s="1559">
        <f>F25</f>
        <v>100</v>
      </c>
      <c r="T25" s="1558" t="s">
        <v>11</v>
      </c>
      <c r="U25" s="1559">
        <f>H25</f>
        <v>100</v>
      </c>
      <c r="V25" s="1558" t="s">
        <v>11</v>
      </c>
      <c r="W25" s="1559">
        <f>J25</f>
        <v>100</v>
      </c>
      <c r="X25" s="1552"/>
      <c r="Y25" s="3411"/>
      <c r="Z25" s="1560" t="str">
        <f>Q25</f>
        <v>楼层-1</v>
      </c>
      <c r="AA25" s="1561">
        <f t="shared" si="3"/>
        <v>1</v>
      </c>
      <c r="AB25" s="1561">
        <f t="shared" si="4"/>
        <v>1</v>
      </c>
      <c r="AC25" s="1561">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11"/>
      <c r="Q26" s="1557" t="str">
        <f t="shared" si="11"/>
        <v>朝向</v>
      </c>
      <c r="R26" s="1558" t="s">
        <v>11</v>
      </c>
      <c r="S26" s="1559">
        <f>F26</f>
        <v>100</v>
      </c>
      <c r="T26" s="1558" t="s">
        <v>11</v>
      </c>
      <c r="U26" s="1559">
        <f>H26</f>
        <v>100</v>
      </c>
      <c r="V26" s="1558" t="s">
        <v>11</v>
      </c>
      <c r="W26" s="1559">
        <f>J26</f>
        <v>100</v>
      </c>
      <c r="X26" s="1552"/>
      <c r="Y26" s="3411"/>
      <c r="Z26" s="1560" t="str">
        <f>Q26</f>
        <v>朝向</v>
      </c>
      <c r="AA26" s="1561">
        <f t="shared" si="3"/>
        <v>1</v>
      </c>
      <c r="AB26" s="1561">
        <f t="shared" si="4"/>
        <v>1</v>
      </c>
      <c r="AC26" s="1561">
        <f t="shared" si="5"/>
        <v>1</v>
      </c>
    </row>
    <row r="27" spans="1:29" s="1216" customFormat="1" ht="15">
      <c r="A27" s="536"/>
      <c r="B27" s="537" t="s">
        <v>723</v>
      </c>
      <c r="C27" s="3531" t="s">
        <v>3229</v>
      </c>
      <c r="D27" s="875">
        <v>100</v>
      </c>
      <c r="E27" s="3211" t="s">
        <v>3230</v>
      </c>
      <c r="F27" s="876">
        <f>SUMIF(90:90,E27,91:91)-SUMIF(90:90,C27,91:91)+100</f>
        <v>101</v>
      </c>
      <c r="G27" s="3212" t="s">
        <v>3231</v>
      </c>
      <c r="H27" s="875">
        <f>SUMIF(90:90,G27,91:91)-SUMIF(90:90,C27,91:91)+100</f>
        <v>102</v>
      </c>
      <c r="I27" s="3211" t="s">
        <v>3232</v>
      </c>
      <c r="J27" s="875">
        <f>SUMIF(90:90,I27,91:91)-SUMIF(90:90,C27,91:91)+100</f>
        <v>102</v>
      </c>
      <c r="K27" s="865"/>
      <c r="L27" s="2119"/>
      <c r="M27" s="2120"/>
      <c r="N27" s="2120"/>
      <c r="O27" s="2121"/>
      <c r="P27" s="3411"/>
      <c r="Q27" s="1147" t="str">
        <f t="shared" si="11"/>
        <v>道路级别</v>
      </c>
      <c r="R27" s="1553" t="s">
        <v>11</v>
      </c>
      <c r="S27" s="1554">
        <f>F27</f>
        <v>101</v>
      </c>
      <c r="T27" s="1553" t="s">
        <v>11</v>
      </c>
      <c r="U27" s="1554">
        <f>H27</f>
        <v>102</v>
      </c>
      <c r="V27" s="1553" t="s">
        <v>11</v>
      </c>
      <c r="W27" s="1554">
        <f>J27</f>
        <v>102</v>
      </c>
      <c r="X27" s="1555"/>
      <c r="Y27" s="3411"/>
      <c r="Z27" s="1146" t="str">
        <f>Q27</f>
        <v>道路级别</v>
      </c>
      <c r="AA27" s="1561">
        <f>D27/F27</f>
        <v>0.99009900990099009</v>
      </c>
      <c r="AB27" s="1561">
        <f>D27/H27</f>
        <v>0.98039215686274506</v>
      </c>
      <c r="AC27" s="1561">
        <f>D27/J27</f>
        <v>0.98039215686274506</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11"/>
      <c r="Q28" s="1557">
        <f t="shared" si="11"/>
        <v>111</v>
      </c>
      <c r="R28" s="1558" t="s">
        <v>11</v>
      </c>
      <c r="S28" s="1559">
        <f t="shared" ref="S28:S46" si="12">F28</f>
        <v>100</v>
      </c>
      <c r="T28" s="1558" t="s">
        <v>11</v>
      </c>
      <c r="U28" s="1559">
        <f t="shared" ref="U28:U46" si="13">H28</f>
        <v>100</v>
      </c>
      <c r="V28" s="1558" t="s">
        <v>11</v>
      </c>
      <c r="W28" s="1559">
        <f t="shared" ref="W28:W46" si="14">J28</f>
        <v>100</v>
      </c>
      <c r="X28" s="1552"/>
      <c r="Y28" s="3411"/>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11"/>
      <c r="Q29" s="1557">
        <f t="shared" si="11"/>
        <v>111</v>
      </c>
      <c r="R29" s="1558" t="s">
        <v>11</v>
      </c>
      <c r="S29" s="1559">
        <f t="shared" si="12"/>
        <v>100</v>
      </c>
      <c r="T29" s="1558" t="s">
        <v>11</v>
      </c>
      <c r="U29" s="1559">
        <f t="shared" si="13"/>
        <v>100</v>
      </c>
      <c r="V29" s="1558" t="s">
        <v>11</v>
      </c>
      <c r="W29" s="1559">
        <f t="shared" si="14"/>
        <v>100</v>
      </c>
      <c r="X29" s="1552"/>
      <c r="Y29" s="3411"/>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11"/>
      <c r="Q30" s="1557">
        <f t="shared" si="11"/>
        <v>111</v>
      </c>
      <c r="R30" s="1558" t="s">
        <v>11</v>
      </c>
      <c r="S30" s="1559">
        <f t="shared" si="12"/>
        <v>100</v>
      </c>
      <c r="T30" s="1558" t="s">
        <v>11</v>
      </c>
      <c r="U30" s="1559">
        <f t="shared" si="13"/>
        <v>100</v>
      </c>
      <c r="V30" s="1558" t="s">
        <v>11</v>
      </c>
      <c r="W30" s="1559">
        <f t="shared" si="14"/>
        <v>100</v>
      </c>
      <c r="X30" s="1552"/>
      <c r="Y30" s="3411"/>
      <c r="Z30" s="1560">
        <f t="shared" si="15"/>
        <v>111</v>
      </c>
      <c r="AA30" s="1561">
        <f t="shared" si="3"/>
        <v>1</v>
      </c>
      <c r="AB30" s="1561">
        <f t="shared" si="4"/>
        <v>1</v>
      </c>
      <c r="AC30" s="1561">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11"/>
      <c r="Q31" s="1557">
        <f t="shared" si="11"/>
        <v>111</v>
      </c>
      <c r="R31" s="1558" t="s">
        <v>11</v>
      </c>
      <c r="S31" s="1559">
        <f t="shared" si="12"/>
        <v>100</v>
      </c>
      <c r="T31" s="1558" t="s">
        <v>11</v>
      </c>
      <c r="U31" s="1559">
        <f t="shared" si="13"/>
        <v>100</v>
      </c>
      <c r="V31" s="1558" t="s">
        <v>11</v>
      </c>
      <c r="W31" s="1559">
        <f t="shared" si="14"/>
        <v>100</v>
      </c>
      <c r="X31" s="1552"/>
      <c r="Y31" s="3411"/>
      <c r="Z31" s="1560">
        <f t="shared" si="15"/>
        <v>111</v>
      </c>
      <c r="AA31" s="1561">
        <f t="shared" si="3"/>
        <v>1</v>
      </c>
      <c r="AB31" s="1561">
        <f t="shared" si="4"/>
        <v>1</v>
      </c>
      <c r="AC31" s="1561">
        <f t="shared" si="5"/>
        <v>1</v>
      </c>
    </row>
    <row r="32" spans="1:29" ht="15">
      <c r="A32" s="2861" t="s">
        <v>2753</v>
      </c>
      <c r="B32" s="172" t="s">
        <v>724</v>
      </c>
      <c r="C32" s="878" t="s">
        <v>3150</v>
      </c>
      <c r="D32" s="597">
        <v>100</v>
      </c>
      <c r="E32" s="879" t="s">
        <v>3150</v>
      </c>
      <c r="F32" s="575">
        <f>SUMIF(100:100,E32,101:101)-SUMIF(100:100,C32,101:101)+100</f>
        <v>100</v>
      </c>
      <c r="G32" s="878" t="s">
        <v>3150</v>
      </c>
      <c r="H32" s="597">
        <f>SUMIF(100:100,G32,101:101)-SUMIF(100:100,C32,101:101)+100</f>
        <v>100</v>
      </c>
      <c r="I32" s="879" t="s">
        <v>3150</v>
      </c>
      <c r="J32" s="540">
        <f>SUMIF(100:100,I32,101:101)-SUMIF(100:100,C32,101:101)+100</f>
        <v>100</v>
      </c>
      <c r="K32" s="864"/>
      <c r="L32" s="2126"/>
      <c r="M32" s="2118"/>
      <c r="N32" s="2118"/>
      <c r="O32" s="2125"/>
      <c r="P32" s="3412" t="s">
        <v>549</v>
      </c>
      <c r="Q32" s="1557" t="str">
        <f t="shared" si="11"/>
        <v>建筑类型</v>
      </c>
      <c r="R32" s="1558" t="s">
        <v>11</v>
      </c>
      <c r="S32" s="1559">
        <f t="shared" si="12"/>
        <v>100</v>
      </c>
      <c r="T32" s="1558" t="s">
        <v>11</v>
      </c>
      <c r="U32" s="1559">
        <f t="shared" si="13"/>
        <v>100</v>
      </c>
      <c r="V32" s="1558" t="s">
        <v>11</v>
      </c>
      <c r="W32" s="1559">
        <f t="shared" si="14"/>
        <v>100</v>
      </c>
      <c r="X32" s="1552"/>
      <c r="Y32" s="3413" t="s">
        <v>549</v>
      </c>
      <c r="Z32" s="1560" t="str">
        <f t="shared" si="15"/>
        <v>建筑类型</v>
      </c>
      <c r="AA32" s="1561">
        <f t="shared" si="3"/>
        <v>1</v>
      </c>
      <c r="AB32" s="1561">
        <f t="shared" si="4"/>
        <v>1</v>
      </c>
      <c r="AC32" s="1561">
        <f t="shared" si="5"/>
        <v>1</v>
      </c>
    </row>
    <row r="33" spans="1:29" s="1333" customFormat="1" ht="15">
      <c r="A33" s="603"/>
      <c r="B33" s="3225" t="s">
        <v>725</v>
      </c>
      <c r="C33" s="3205">
        <f>'数据-基础表'!B3</f>
        <v>321749.09999999998</v>
      </c>
      <c r="D33" s="255">
        <v>100</v>
      </c>
      <c r="E33" s="3206">
        <v>184446.2</v>
      </c>
      <c r="F33" s="863">
        <f>LOOKUP(E33,103:103,104:104)-LOOKUP(C33,103:103,104:104)+100</f>
        <v>98</v>
      </c>
      <c r="G33" s="3207">
        <v>110433</v>
      </c>
      <c r="H33" s="255">
        <f>LOOKUP(G33,103:103,104:104)-LOOKUP(C33,103:103,104:104)+100</f>
        <v>98</v>
      </c>
      <c r="I33" s="3206">
        <v>245500</v>
      </c>
      <c r="J33" s="255">
        <f>LOOKUP(I33,103:103,104:104)-LOOKUP(C33,103:103,104:104)+100</f>
        <v>99</v>
      </c>
      <c r="K33" s="865"/>
      <c r="L33" s="2124"/>
      <c r="M33" s="2155"/>
      <c r="N33" s="2155"/>
      <c r="O33" s="2127"/>
      <c r="P33" s="3413"/>
      <c r="Q33" s="1589" t="str">
        <f t="shared" si="11"/>
        <v>项目建筑规模</v>
      </c>
      <c r="R33" s="1562" t="s">
        <v>11</v>
      </c>
      <c r="S33" s="1563">
        <f t="shared" si="12"/>
        <v>98</v>
      </c>
      <c r="T33" s="1562" t="s">
        <v>11</v>
      </c>
      <c r="U33" s="1563">
        <f t="shared" si="13"/>
        <v>98</v>
      </c>
      <c r="V33" s="1562" t="s">
        <v>11</v>
      </c>
      <c r="W33" s="1563">
        <f t="shared" si="14"/>
        <v>99</v>
      </c>
      <c r="X33" s="1564"/>
      <c r="Y33" s="3413"/>
      <c r="Z33" s="1565" t="str">
        <f t="shared" si="15"/>
        <v>项目建筑规模</v>
      </c>
      <c r="AA33" s="1561">
        <f t="shared" si="3"/>
        <v>1.0204081632653061</v>
      </c>
      <c r="AB33" s="1561">
        <f t="shared" si="4"/>
        <v>1.0204081632653061</v>
      </c>
      <c r="AC33" s="1561">
        <f t="shared" si="5"/>
        <v>1.0101010101010102</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6"/>
      <c r="M34" s="2118"/>
      <c r="N34" s="2118"/>
      <c r="O34" s="2125"/>
      <c r="P34" s="3413"/>
      <c r="Q34" s="1557" t="str">
        <f t="shared" si="11"/>
        <v>建筑结构</v>
      </c>
      <c r="R34" s="1558" t="s">
        <v>11</v>
      </c>
      <c r="S34" s="1559">
        <f t="shared" si="12"/>
        <v>100</v>
      </c>
      <c r="T34" s="1558" t="s">
        <v>11</v>
      </c>
      <c r="U34" s="1559">
        <f t="shared" si="13"/>
        <v>100</v>
      </c>
      <c r="V34" s="1558" t="s">
        <v>11</v>
      </c>
      <c r="W34" s="1559">
        <f t="shared" si="14"/>
        <v>100</v>
      </c>
      <c r="X34" s="1552"/>
      <c r="Y34" s="3413"/>
      <c r="Z34" s="1560" t="str">
        <f t="shared" si="15"/>
        <v>建筑结构</v>
      </c>
      <c r="AA34" s="1561">
        <f t="shared" si="3"/>
        <v>1</v>
      </c>
      <c r="AB34" s="1561">
        <f t="shared" si="4"/>
        <v>1</v>
      </c>
      <c r="AC34" s="1561">
        <f t="shared" si="5"/>
        <v>1</v>
      </c>
    </row>
    <row r="35" spans="1:29" ht="15">
      <c r="A35" s="594"/>
      <c r="B35" s="527" t="s">
        <v>727</v>
      </c>
      <c r="C35" s="599" t="s">
        <v>3178</v>
      </c>
      <c r="D35" s="540">
        <v>100</v>
      </c>
      <c r="E35" s="874" t="s">
        <v>3145</v>
      </c>
      <c r="F35" s="575">
        <f>SUMIF(107:107,E35,108:108)-SUMIF(107:107,C35,108:108)+100</f>
        <v>108</v>
      </c>
      <c r="G35" s="599" t="s">
        <v>3178</v>
      </c>
      <c r="H35" s="540">
        <f>SUMIF(107:107,G35,108:108)-SUMIF(107:107,C35,108:108)+100</f>
        <v>100</v>
      </c>
      <c r="I35" s="874" t="s">
        <v>3145</v>
      </c>
      <c r="J35" s="540">
        <f>SUMIF(107:107,I35,108:108)-SUMIF(107:107,C35,108:108)+100</f>
        <v>108</v>
      </c>
      <c r="K35" s="864">
        <v>8</v>
      </c>
      <c r="L35" s="2126"/>
      <c r="M35" s="2118"/>
      <c r="N35" s="2118"/>
      <c r="O35" s="2125"/>
      <c r="P35" s="3413"/>
      <c r="Q35" s="1557" t="str">
        <f t="shared" si="11"/>
        <v>建筑品质</v>
      </c>
      <c r="R35" s="1558" t="s">
        <v>11</v>
      </c>
      <c r="S35" s="1559">
        <f t="shared" si="12"/>
        <v>108</v>
      </c>
      <c r="T35" s="1558" t="s">
        <v>11</v>
      </c>
      <c r="U35" s="1559">
        <f t="shared" si="13"/>
        <v>100</v>
      </c>
      <c r="V35" s="1558" t="s">
        <v>11</v>
      </c>
      <c r="W35" s="1559">
        <f t="shared" si="14"/>
        <v>108</v>
      </c>
      <c r="X35" s="1552"/>
      <c r="Y35" s="3413"/>
      <c r="Z35" s="1560" t="str">
        <f t="shared" si="15"/>
        <v>建筑品质</v>
      </c>
      <c r="AA35" s="1561">
        <f t="shared" si="3"/>
        <v>0.92592592592592593</v>
      </c>
      <c r="AB35" s="1561">
        <f t="shared" si="4"/>
        <v>1</v>
      </c>
      <c r="AC35" s="1561">
        <f t="shared" si="5"/>
        <v>0.92592592592592593</v>
      </c>
    </row>
    <row r="36" spans="1:29" ht="15">
      <c r="A36" s="594"/>
      <c r="B36" s="527" t="s">
        <v>728</v>
      </c>
      <c r="C36" s="599" t="s">
        <v>3155</v>
      </c>
      <c r="D36" s="540">
        <v>100</v>
      </c>
      <c r="E36" s="874" t="s">
        <v>3155</v>
      </c>
      <c r="F36" s="575">
        <f>SUMIF(109:109,E36,110:110)-SUMIF(109:109,C36,110:110)+100</f>
        <v>100</v>
      </c>
      <c r="G36" s="599" t="s">
        <v>3155</v>
      </c>
      <c r="H36" s="540">
        <f>SUMIF(109:109,G36,110:110)-SUMIF(109:109,C36,110:110)+100</f>
        <v>100</v>
      </c>
      <c r="I36" s="874" t="s">
        <v>3155</v>
      </c>
      <c r="J36" s="540">
        <f>SUMIF(109:109,I36,110:110)-SUMIF(109:109,C36,110:110)+100</f>
        <v>100</v>
      </c>
      <c r="K36" s="864">
        <v>2</v>
      </c>
      <c r="L36" s="2126"/>
      <c r="M36" s="2118"/>
      <c r="N36" s="2118"/>
      <c r="O36" s="2125"/>
      <c r="P36" s="3413"/>
      <c r="Q36" s="1557" t="str">
        <f t="shared" si="11"/>
        <v>公共部分装修</v>
      </c>
      <c r="R36" s="1558" t="s">
        <v>11</v>
      </c>
      <c r="S36" s="1559">
        <f t="shared" si="12"/>
        <v>100</v>
      </c>
      <c r="T36" s="1558" t="s">
        <v>11</v>
      </c>
      <c r="U36" s="1559">
        <f t="shared" si="13"/>
        <v>100</v>
      </c>
      <c r="V36" s="1558" t="s">
        <v>11</v>
      </c>
      <c r="W36" s="1559">
        <f t="shared" si="14"/>
        <v>100</v>
      </c>
      <c r="X36" s="1552"/>
      <c r="Y36" s="3413"/>
      <c r="Z36" s="1560" t="str">
        <f t="shared" si="15"/>
        <v>公共部分装修</v>
      </c>
      <c r="AA36" s="1561">
        <f t="shared" si="3"/>
        <v>1</v>
      </c>
      <c r="AB36" s="1561">
        <f t="shared" si="4"/>
        <v>1</v>
      </c>
      <c r="AC36" s="1561">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19"/>
      <c r="M37" s="2120"/>
      <c r="N37" s="2120"/>
      <c r="O37" s="2121"/>
      <c r="P37" s="3413"/>
      <c r="Q37" s="1147" t="str">
        <f t="shared" si="11"/>
        <v>成新度</v>
      </c>
      <c r="R37" s="1553" t="s">
        <v>11</v>
      </c>
      <c r="S37" s="1554">
        <f t="shared" si="12"/>
        <v>100</v>
      </c>
      <c r="T37" s="1553" t="s">
        <v>11</v>
      </c>
      <c r="U37" s="1554">
        <f t="shared" si="13"/>
        <v>100</v>
      </c>
      <c r="V37" s="1553" t="s">
        <v>11</v>
      </c>
      <c r="W37" s="1554">
        <f t="shared" si="14"/>
        <v>100</v>
      </c>
      <c r="X37" s="1555"/>
      <c r="Y37" s="3413"/>
      <c r="Z37" s="1146" t="str">
        <f t="shared" si="15"/>
        <v>成新度</v>
      </c>
      <c r="AA37" s="1556">
        <f t="shared" si="3"/>
        <v>1</v>
      </c>
      <c r="AB37" s="1556">
        <f t="shared" si="4"/>
        <v>1</v>
      </c>
      <c r="AC37" s="1556">
        <f t="shared" si="5"/>
        <v>1</v>
      </c>
    </row>
    <row r="38" spans="1:29" ht="15">
      <c r="A38" s="594"/>
      <c r="B38" s="527" t="s">
        <v>730</v>
      </c>
      <c r="C38" s="599" t="s">
        <v>3159</v>
      </c>
      <c r="D38" s="540">
        <v>100</v>
      </c>
      <c r="E38" s="874" t="s">
        <v>3159</v>
      </c>
      <c r="F38" s="575">
        <f>SUMIF(114:114,E38,115:115)-SUMIF(114:114,C38,115:115)+100</f>
        <v>100</v>
      </c>
      <c r="G38" s="599" t="s">
        <v>3159</v>
      </c>
      <c r="H38" s="540">
        <f>SUMIF(114:114,G38,115:115)-SUMIF(114:114,C38,115:115)+100</f>
        <v>100</v>
      </c>
      <c r="I38" s="874" t="s">
        <v>3159</v>
      </c>
      <c r="J38" s="540">
        <f>SUMIF(114:114,I38,115:115)-SUMIF(114:114,C38,115:115)+100</f>
        <v>100</v>
      </c>
      <c r="K38" s="864">
        <v>5</v>
      </c>
      <c r="L38" s="2126"/>
      <c r="M38" s="2118"/>
      <c r="N38" s="2118"/>
      <c r="O38" s="2125"/>
      <c r="P38" s="3413" t="s">
        <v>549</v>
      </c>
      <c r="Q38" s="1557" t="str">
        <f t="shared" si="11"/>
        <v>物业管理</v>
      </c>
      <c r="R38" s="1558" t="s">
        <v>11</v>
      </c>
      <c r="S38" s="1559">
        <f t="shared" si="12"/>
        <v>100</v>
      </c>
      <c r="T38" s="1558" t="s">
        <v>11</v>
      </c>
      <c r="U38" s="1559">
        <f t="shared" si="13"/>
        <v>100</v>
      </c>
      <c r="V38" s="1558" t="s">
        <v>11</v>
      </c>
      <c r="W38" s="1559">
        <f t="shared" si="14"/>
        <v>100</v>
      </c>
      <c r="X38" s="1552"/>
      <c r="Y38" s="3413" t="s">
        <v>549</v>
      </c>
      <c r="Z38" s="1560" t="str">
        <f t="shared" si="15"/>
        <v>物业管理</v>
      </c>
      <c r="AA38" s="1561">
        <f t="shared" si="3"/>
        <v>1</v>
      </c>
      <c r="AB38" s="1561">
        <f t="shared" si="4"/>
        <v>1</v>
      </c>
      <c r="AC38" s="1561">
        <f t="shared" si="5"/>
        <v>1</v>
      </c>
    </row>
    <row r="39" spans="1:29" ht="15">
      <c r="A39" s="594"/>
      <c r="B39" s="1879" t="s">
        <v>2562</v>
      </c>
      <c r="C39" s="599" t="s">
        <v>3147</v>
      </c>
      <c r="D39" s="540">
        <v>100</v>
      </c>
      <c r="E39" s="874" t="s">
        <v>3147</v>
      </c>
      <c r="F39" s="575">
        <f>SUMIF(116:116,E39,117:117)-SUMIF(116:116,C39,117:117)+100</f>
        <v>100</v>
      </c>
      <c r="G39" s="599" t="s">
        <v>3147</v>
      </c>
      <c r="H39" s="540">
        <f>SUMIF(116:116,G39,117:117)-SUMIF(116:116,C39,117:117)+100</f>
        <v>100</v>
      </c>
      <c r="I39" s="874" t="s">
        <v>3147</v>
      </c>
      <c r="J39" s="540">
        <f>SUMIF(116:116,I39,117:117)-SUMIF(116:116,C39,117:117)+100</f>
        <v>100</v>
      </c>
      <c r="K39" s="864">
        <v>1</v>
      </c>
      <c r="L39" s="2126"/>
      <c r="M39" s="2118"/>
      <c r="N39" s="2118"/>
      <c r="O39" s="2125"/>
      <c r="P39" s="3413"/>
      <c r="Q39" s="1557" t="str">
        <f t="shared" si="11"/>
        <v>市政基础设施</v>
      </c>
      <c r="R39" s="1558" t="s">
        <v>11</v>
      </c>
      <c r="S39" s="1559">
        <f t="shared" si="12"/>
        <v>100</v>
      </c>
      <c r="T39" s="1558" t="s">
        <v>11</v>
      </c>
      <c r="U39" s="1559">
        <f t="shared" si="13"/>
        <v>100</v>
      </c>
      <c r="V39" s="1558" t="s">
        <v>11</v>
      </c>
      <c r="W39" s="1559">
        <f t="shared" si="14"/>
        <v>100</v>
      </c>
      <c r="X39" s="1552"/>
      <c r="Y39" s="3413"/>
      <c r="Z39" s="1560" t="str">
        <f t="shared" si="15"/>
        <v>市政基础设施</v>
      </c>
      <c r="AA39" s="1561">
        <f t="shared" si="3"/>
        <v>1</v>
      </c>
      <c r="AB39" s="1561">
        <f t="shared" si="4"/>
        <v>1</v>
      </c>
      <c r="AC39" s="1561">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13"/>
      <c r="Q40" s="1557" t="str">
        <f t="shared" si="11"/>
        <v>房型</v>
      </c>
      <c r="R40" s="1558" t="s">
        <v>11</v>
      </c>
      <c r="S40" s="1559">
        <f t="shared" si="12"/>
        <v>100</v>
      </c>
      <c r="T40" s="1558" t="s">
        <v>11</v>
      </c>
      <c r="U40" s="1559">
        <f t="shared" si="13"/>
        <v>100</v>
      </c>
      <c r="V40" s="1558" t="s">
        <v>11</v>
      </c>
      <c r="W40" s="1559">
        <f t="shared" si="14"/>
        <v>100</v>
      </c>
      <c r="X40" s="1552"/>
      <c r="Y40" s="3413"/>
      <c r="Z40" s="1560" t="str">
        <f t="shared" si="15"/>
        <v>房型</v>
      </c>
      <c r="AA40" s="1561">
        <f t="shared" si="3"/>
        <v>1</v>
      </c>
      <c r="AB40" s="1561">
        <f t="shared" si="4"/>
        <v>1</v>
      </c>
      <c r="AC40" s="1561">
        <f t="shared" si="5"/>
        <v>1</v>
      </c>
    </row>
    <row r="41" spans="1:29" s="1333" customFormat="1" ht="28.5">
      <c r="A41" s="603"/>
      <c r="B41" s="527" t="s">
        <v>732</v>
      </c>
      <c r="C41" s="3205"/>
      <c r="D41" s="255">
        <v>100</v>
      </c>
      <c r="E41" s="3206"/>
      <c r="F41" s="863">
        <f>SUMIF(120:120,E41,121:121)-SUMIF(120:120,C41,121:121)+100</f>
        <v>100</v>
      </c>
      <c r="G41" s="3207"/>
      <c r="H41" s="255">
        <f>SUMIF(120:120,G41,121:121)-SUMIF(120:120,C41,121:121)+100</f>
        <v>100</v>
      </c>
      <c r="I41" s="3208"/>
      <c r="J41" s="540">
        <f>SUMIF(120:120,I41,121:121)-SUMIF(120:120,C41,121:121)+100</f>
        <v>100</v>
      </c>
      <c r="K41" s="865"/>
      <c r="L41" s="2124"/>
      <c r="M41" s="2155"/>
      <c r="N41" s="2155"/>
      <c r="O41" s="2127"/>
      <c r="P41" s="3413"/>
      <c r="Q41" s="1589" t="str">
        <f t="shared" si="11"/>
        <v>单套/主力户型建筑面积</v>
      </c>
      <c r="R41" s="1562" t="s">
        <v>11</v>
      </c>
      <c r="S41" s="1563">
        <f t="shared" si="12"/>
        <v>100</v>
      </c>
      <c r="T41" s="1562" t="s">
        <v>11</v>
      </c>
      <c r="U41" s="1563">
        <f t="shared" si="13"/>
        <v>100</v>
      </c>
      <c r="V41" s="1562" t="s">
        <v>11</v>
      </c>
      <c r="W41" s="1563">
        <f t="shared" si="14"/>
        <v>100</v>
      </c>
      <c r="X41" s="1564"/>
      <c r="Y41" s="3413"/>
      <c r="Z41" s="1565" t="str">
        <f t="shared" si="15"/>
        <v>单套/主力户型建筑面积</v>
      </c>
      <c r="AA41" s="1561">
        <f t="shared" si="3"/>
        <v>1</v>
      </c>
      <c r="AB41" s="1561">
        <f t="shared" si="4"/>
        <v>1</v>
      </c>
      <c r="AC41" s="1561">
        <f t="shared" si="5"/>
        <v>1</v>
      </c>
    </row>
    <row r="42" spans="1:29" ht="15">
      <c r="A42" s="594"/>
      <c r="B42" s="527" t="s">
        <v>733</v>
      </c>
      <c r="C42" s="599" t="s">
        <v>3167</v>
      </c>
      <c r="D42" s="540">
        <v>100</v>
      </c>
      <c r="E42" s="874" t="s">
        <v>3167</v>
      </c>
      <c r="F42" s="575">
        <f>SUMIF(122:122,E42,123:123)-SUMIF(122:122,C42,123:123)+100</f>
        <v>100</v>
      </c>
      <c r="G42" s="599" t="s">
        <v>3167</v>
      </c>
      <c r="H42" s="540">
        <f>SUMIF(122:122,G42,123:123)-SUMIF(122:122,C42,123:123)+100</f>
        <v>100</v>
      </c>
      <c r="I42" s="874" t="s">
        <v>3155</v>
      </c>
      <c r="J42" s="540">
        <f>SUMIF(122:122,I42,123:123)-SUMIF(122:122,C42,123:123)+100</f>
        <v>106</v>
      </c>
      <c r="K42" s="864">
        <v>2</v>
      </c>
      <c r="L42" s="2126"/>
      <c r="M42" s="2118"/>
      <c r="N42" s="2118"/>
      <c r="O42" s="2125"/>
      <c r="P42" s="3413"/>
      <c r="Q42" s="1557" t="str">
        <f t="shared" si="11"/>
        <v>内部装修</v>
      </c>
      <c r="R42" s="1558" t="s">
        <v>11</v>
      </c>
      <c r="S42" s="1559">
        <f t="shared" si="12"/>
        <v>100</v>
      </c>
      <c r="T42" s="1558" t="s">
        <v>11</v>
      </c>
      <c r="U42" s="1559">
        <f t="shared" si="13"/>
        <v>100</v>
      </c>
      <c r="V42" s="1558" t="s">
        <v>11</v>
      </c>
      <c r="W42" s="1559">
        <f t="shared" si="14"/>
        <v>106</v>
      </c>
      <c r="X42" s="1552"/>
      <c r="Y42" s="3413"/>
      <c r="Z42" s="1560" t="str">
        <f t="shared" si="15"/>
        <v>内部装修</v>
      </c>
      <c r="AA42" s="1561">
        <f t="shared" si="3"/>
        <v>1</v>
      </c>
      <c r="AB42" s="1561">
        <f t="shared" si="4"/>
        <v>1</v>
      </c>
      <c r="AC42" s="1561">
        <f t="shared" si="5"/>
        <v>0.94339622641509435</v>
      </c>
    </row>
    <row r="43" spans="1:29" ht="27">
      <c r="A43" s="594"/>
      <c r="B43" s="527" t="s">
        <v>734</v>
      </c>
      <c r="C43" s="599" t="s">
        <v>3145</v>
      </c>
      <c r="D43" s="540">
        <v>100</v>
      </c>
      <c r="E43" s="874" t="s">
        <v>3145</v>
      </c>
      <c r="F43" s="575">
        <f>SUMIF(124:124,E43,125:125)-SUMIF(124:124,C43,125:125)+100</f>
        <v>100</v>
      </c>
      <c r="G43" s="599" t="s">
        <v>3145</v>
      </c>
      <c r="H43" s="540">
        <f>SUMIF(124:124,G43,125:125)-SUMIF(124:124,C43,125:125)+100</f>
        <v>100</v>
      </c>
      <c r="I43" s="874" t="s">
        <v>3145</v>
      </c>
      <c r="J43" s="540">
        <f>SUMIF(124:124,I43,125:125)-SUMIF(124:124,C43,125:125)+100</f>
        <v>100</v>
      </c>
      <c r="K43" s="864">
        <v>2</v>
      </c>
      <c r="L43" s="2126"/>
      <c r="M43" s="2118"/>
      <c r="N43" s="2118"/>
      <c r="O43" s="2125"/>
      <c r="P43" s="3413"/>
      <c r="Q43" s="1557" t="str">
        <f t="shared" si="11"/>
        <v>内部装修维护情况</v>
      </c>
      <c r="R43" s="1558" t="s">
        <v>11</v>
      </c>
      <c r="S43" s="1559">
        <f t="shared" si="12"/>
        <v>100</v>
      </c>
      <c r="T43" s="1558" t="s">
        <v>11</v>
      </c>
      <c r="U43" s="1559">
        <f t="shared" si="13"/>
        <v>100</v>
      </c>
      <c r="V43" s="1558" t="s">
        <v>11</v>
      </c>
      <c r="W43" s="1559">
        <f t="shared" si="14"/>
        <v>100</v>
      </c>
      <c r="X43" s="1552"/>
      <c r="Y43" s="3413"/>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13"/>
      <c r="Q44" s="1147">
        <f t="shared" si="11"/>
        <v>111</v>
      </c>
      <c r="R44" s="1553" t="s">
        <v>11</v>
      </c>
      <c r="S44" s="1554">
        <f t="shared" si="12"/>
        <v>100</v>
      </c>
      <c r="T44" s="1553" t="s">
        <v>11</v>
      </c>
      <c r="U44" s="1554">
        <f t="shared" si="13"/>
        <v>100</v>
      </c>
      <c r="V44" s="1553" t="s">
        <v>11</v>
      </c>
      <c r="W44" s="1554">
        <f t="shared" si="14"/>
        <v>100</v>
      </c>
      <c r="X44" s="1555"/>
      <c r="Y44" s="3413"/>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13"/>
      <c r="Q45" s="1557">
        <f t="shared" si="11"/>
        <v>111</v>
      </c>
      <c r="R45" s="1558" t="s">
        <v>11</v>
      </c>
      <c r="S45" s="1559">
        <f t="shared" si="12"/>
        <v>100</v>
      </c>
      <c r="T45" s="1558" t="s">
        <v>11</v>
      </c>
      <c r="U45" s="1559">
        <f t="shared" si="13"/>
        <v>100</v>
      </c>
      <c r="V45" s="1558" t="s">
        <v>11</v>
      </c>
      <c r="W45" s="1559">
        <f t="shared" si="14"/>
        <v>100</v>
      </c>
      <c r="X45" s="1552"/>
      <c r="Y45" s="3413"/>
      <c r="Z45" s="1560">
        <f t="shared" si="15"/>
        <v>111</v>
      </c>
      <c r="AA45" s="1561">
        <f t="shared" si="3"/>
        <v>1</v>
      </c>
      <c r="AB45" s="1561">
        <f t="shared" si="4"/>
        <v>1</v>
      </c>
      <c r="AC45" s="1561">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15"/>
      <c r="Q46" s="1557">
        <f t="shared" si="11"/>
        <v>111</v>
      </c>
      <c r="R46" s="1558" t="s">
        <v>10</v>
      </c>
      <c r="S46" s="1559">
        <f t="shared" si="12"/>
        <v>100</v>
      </c>
      <c r="T46" s="1558" t="s">
        <v>10</v>
      </c>
      <c r="U46" s="1559">
        <f t="shared" si="13"/>
        <v>100</v>
      </c>
      <c r="V46" s="1558" t="s">
        <v>10</v>
      </c>
      <c r="W46" s="1559">
        <f t="shared" si="14"/>
        <v>100</v>
      </c>
      <c r="X46" s="1552"/>
      <c r="Y46" s="3515"/>
      <c r="Z46" s="1560">
        <f t="shared" si="15"/>
        <v>111</v>
      </c>
      <c r="AA46" s="1561">
        <f t="shared" si="3"/>
        <v>1</v>
      </c>
      <c r="AB46" s="1561">
        <f t="shared" si="4"/>
        <v>1</v>
      </c>
      <c r="AC46" s="1561">
        <f t="shared" si="5"/>
        <v>1</v>
      </c>
    </row>
    <row r="47" spans="1:29" ht="15">
      <c r="A47" s="607" t="s">
        <v>735</v>
      </c>
      <c r="B47" s="887"/>
      <c r="C47" s="2590" t="s">
        <v>9</v>
      </c>
      <c r="D47" s="2591"/>
      <c r="E47" s="2592">
        <v>9000</v>
      </c>
      <c r="F47" s="2593"/>
      <c r="G47" s="2594">
        <v>8500</v>
      </c>
      <c r="H47" s="2595"/>
      <c r="I47" s="2592">
        <v>11000</v>
      </c>
      <c r="J47" s="2595"/>
      <c r="K47" s="1590"/>
      <c r="L47" s="2128"/>
      <c r="M47" s="2129"/>
      <c r="N47" s="2118"/>
      <c r="O47" s="2129"/>
      <c r="P47" s="3408" t="str">
        <f>A47</f>
        <v>成交单价（元/平方米）</v>
      </c>
      <c r="Q47" s="3408"/>
      <c r="R47" s="3514">
        <f>E47</f>
        <v>9000</v>
      </c>
      <c r="S47" s="3514"/>
      <c r="T47" s="3514">
        <f>G47</f>
        <v>8500</v>
      </c>
      <c r="U47" s="3514"/>
      <c r="V47" s="3514">
        <f>I47</f>
        <v>11000</v>
      </c>
      <c r="W47" s="3514"/>
      <c r="X47" s="1544"/>
      <c r="Y47" s="1566"/>
      <c r="Z47" s="1544"/>
      <c r="AA47" s="1544"/>
      <c r="AB47" s="1544"/>
      <c r="AC47" s="1544"/>
    </row>
    <row r="48" spans="1:29" ht="15.75" thickBot="1">
      <c r="A48" s="615" t="s">
        <v>2758</v>
      </c>
      <c r="B48" s="888"/>
      <c r="C48" s="2596">
        <f>R49</f>
        <v>8248</v>
      </c>
      <c r="D48" s="2597"/>
      <c r="E48" s="2598">
        <f>R48</f>
        <v>7705</v>
      </c>
      <c r="F48" s="2598"/>
      <c r="G48" s="2596">
        <f>T48</f>
        <v>8503</v>
      </c>
      <c r="H48" s="2597"/>
      <c r="I48" s="2598">
        <f>V48</f>
        <v>8537</v>
      </c>
      <c r="J48" s="2597"/>
      <c r="K48" s="1591"/>
      <c r="L48" s="2128"/>
      <c r="M48" s="2129"/>
      <c r="N48" s="2129"/>
      <c r="O48" s="2129"/>
      <c r="P48" s="3408" t="str">
        <f>A48</f>
        <v>比较价格（元/平方米）</v>
      </c>
      <c r="Q48" s="3408"/>
      <c r="R48" s="3514">
        <f>IF(F1="售价",ROUND(PRODUCT(R47,AA7:AA46),0),ROUND(PRODUCT(R47,AA7:AA46),1))</f>
        <v>7705</v>
      </c>
      <c r="S48" s="3514"/>
      <c r="T48" s="3514">
        <f>IF(F1="售价",ROUND(PRODUCT(T47,AB7:AB46),0),ROUND(PRODUCT(T47,AB7:AB46),1))</f>
        <v>8503</v>
      </c>
      <c r="U48" s="3514"/>
      <c r="V48" s="3514">
        <f>IF(F1="售价",ROUND(PRODUCT(V47,AC7:AC46),0),ROUND(PRODUCT(V47,AC7:AC46),1))</f>
        <v>8537</v>
      </c>
      <c r="W48" s="3514"/>
      <c r="X48" s="1544"/>
      <c r="Y48" s="1544"/>
      <c r="Z48" s="1544"/>
      <c r="AA48" s="1544"/>
      <c r="AB48" s="1544"/>
      <c r="AC48" s="1544"/>
    </row>
    <row r="49" spans="1:29" ht="15.75" thickBot="1">
      <c r="A49" s="621" t="s">
        <v>2925</v>
      </c>
      <c r="B49" s="622"/>
      <c r="C49" s="2599">
        <f>R49</f>
        <v>8248</v>
      </c>
      <c r="D49" s="2599"/>
      <c r="E49" s="2599"/>
      <c r="F49" s="2599"/>
      <c r="G49" s="2599"/>
      <c r="H49" s="2599"/>
      <c r="I49" s="2599"/>
      <c r="J49" s="2599"/>
      <c r="K49" s="1592"/>
      <c r="L49" s="2128"/>
      <c r="M49" s="2129"/>
      <c r="N49" s="2129"/>
      <c r="O49" s="2129"/>
      <c r="P49" s="3429" t="str">
        <f>A49</f>
        <v>估价对象XX用房的比较价格（楼面单价，元/平方米）</v>
      </c>
      <c r="Q49" s="3430"/>
      <c r="R49" s="3513">
        <f>IF(F1="售价",ROUND(AVERAGE(R48:V48),0),ROUND(AVERAGE(R48:V48),1))</f>
        <v>8248</v>
      </c>
      <c r="S49" s="3513"/>
      <c r="T49" s="3513"/>
      <c r="U49" s="3513"/>
      <c r="V49" s="3513"/>
      <c r="W49" s="3513"/>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f>IF(E47&lt;E48,E48/E47-1,E47/E48-1)</f>
        <v>0.16807268007787157</v>
      </c>
      <c r="F52" s="627" t="str">
        <f>IF(OR(E52&gt;=0.3,E52&lt;=-0.3),"超过30%","")</f>
        <v/>
      </c>
      <c r="G52" s="626">
        <f>IF(G47&lt;G48,G48/G47-1,G47/G48-1)</f>
        <v>3.5294117647066692E-4</v>
      </c>
      <c r="H52" s="627" t="str">
        <f>IF(OR(G52&gt;=0.3,G52&lt;=-0.3),"超过30%","")</f>
        <v/>
      </c>
      <c r="I52" s="626">
        <f>IF(I47&lt;I48,I48/I47-1,I47/I48-1)</f>
        <v>0.28850884385615561</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f>IF(E48&lt;G48,G48/E48-1,E48/G48-1)</f>
        <v>0.10356911096690458</v>
      </c>
      <c r="F53" s="627" t="str">
        <f>IF(OR(E53&gt;=0.2,E53&lt;=-0.2),"超过20%","")</f>
        <v/>
      </c>
      <c r="G53" s="626">
        <f>IF(G48&lt;I48,I48/G48-1,G48/I48-1)</f>
        <v>3.9985887333882086E-3</v>
      </c>
      <c r="H53" s="627" t="str">
        <f>IF(OR(G53&gt;=0.2,G53&lt;=-0.2),"超过20%","")</f>
        <v/>
      </c>
      <c r="I53" s="626">
        <f>IF(I48&lt;E48,E48/I48-1,I48/E48-1)</f>
        <v>0.10798182998053218</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f>IF(E47&lt;G47,G47/E47-1,E47/G47-1)</f>
        <v>5.8823529411764719E-2</v>
      </c>
      <c r="F54" s="627" t="str">
        <f>IF(OR(E54&gt;=0.3,E54&lt;=-0.3),"超过30%","")</f>
        <v/>
      </c>
      <c r="G54" s="626">
        <f>IF(G47&lt;I47,I47/G47-1,G47/I47-1)</f>
        <v>0.29411764705882359</v>
      </c>
      <c r="H54" s="627" t="str">
        <f>IF(OR(G54&gt;=0.3,G54&lt;=-0.3),"超过30%","")</f>
        <v/>
      </c>
      <c r="I54" s="626">
        <f>IF(I47&lt;E47,E47/I47-1,I47/E47-1)</f>
        <v>0.22222222222222232</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v>100</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c r="A63" s="664" t="s">
        <v>576</v>
      </c>
      <c r="B63" s="665" t="s">
        <v>533</v>
      </c>
      <c r="C63" s="704" t="str">
        <f>C9</f>
        <v>住宅</v>
      </c>
      <c r="D63" s="3201" t="s">
        <v>3183</v>
      </c>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v>90</v>
      </c>
      <c r="D64" s="671">
        <v>100</v>
      </c>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v>0</v>
      </c>
      <c r="D68" s="541">
        <v>1</v>
      </c>
      <c r="E68" s="541">
        <v>2</v>
      </c>
      <c r="F68" s="541">
        <v>3</v>
      </c>
      <c r="G68" s="541">
        <v>4</v>
      </c>
      <c r="H68" s="541">
        <v>5</v>
      </c>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98</v>
      </c>
      <c r="E83" s="679">
        <f>D83-$K21</f>
        <v>96</v>
      </c>
      <c r="F83" s="679">
        <f>E83-$K21</f>
        <v>94</v>
      </c>
      <c r="G83" s="679">
        <f>F83-$K21</f>
        <v>92</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98</v>
      </c>
      <c r="E85" s="679">
        <f>D85-$K23</f>
        <v>96</v>
      </c>
      <c r="F85" s="679">
        <f>E85-$K23</f>
        <v>94</v>
      </c>
      <c r="G85" s="679">
        <f>F85-$K23</f>
        <v>92</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1880" t="s">
        <v>2256</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道路级别</v>
      </c>
      <c r="C90" s="3202" t="s">
        <v>3172</v>
      </c>
      <c r="D90" s="3202" t="s">
        <v>3173</v>
      </c>
      <c r="E90" s="3202" t="s">
        <v>3174</v>
      </c>
      <c r="F90" s="3202" t="s">
        <v>3175</v>
      </c>
      <c r="G90" s="3202" t="s">
        <v>3176</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5.75"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746</v>
      </c>
      <c r="C100" s="3201" t="s">
        <v>3148</v>
      </c>
      <c r="D100" s="3201" t="s">
        <v>3149</v>
      </c>
      <c r="E100" s="3201" t="s">
        <v>3151</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0(含)-10000</v>
      </c>
      <c r="D102" s="708" t="str">
        <f t="shared" ref="D102:L102" si="23">D103&amp;"(含)"&amp;"-"&amp;E103</f>
        <v>10000(含)-30000</v>
      </c>
      <c r="E102" s="708" t="str">
        <f t="shared" si="23"/>
        <v>30000(含)-50000</v>
      </c>
      <c r="F102" s="708" t="str">
        <f t="shared" si="23"/>
        <v>50000(含)-100000</v>
      </c>
      <c r="G102" s="708" t="str">
        <f t="shared" si="23"/>
        <v>100000(含)-200000</v>
      </c>
      <c r="H102" s="708" t="str">
        <f t="shared" si="23"/>
        <v>200000(含)-300000</v>
      </c>
      <c r="I102" s="708" t="str">
        <f t="shared" si="23"/>
        <v>300000(含)-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3204">
        <v>0</v>
      </c>
      <c r="D103" s="3204">
        <v>10000</v>
      </c>
      <c r="E103" s="3204">
        <v>30000</v>
      </c>
      <c r="F103" s="730">
        <v>50000</v>
      </c>
      <c r="G103" s="730">
        <v>100000</v>
      </c>
      <c r="H103" s="730">
        <v>200000</v>
      </c>
      <c r="I103" s="730">
        <v>300000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v>94</v>
      </c>
      <c r="D104" s="671">
        <v>95</v>
      </c>
      <c r="E104" s="671">
        <v>96</v>
      </c>
      <c r="F104" s="671">
        <v>97</v>
      </c>
      <c r="G104" s="671">
        <v>98</v>
      </c>
      <c r="H104" s="671">
        <v>99</v>
      </c>
      <c r="I104" s="671">
        <v>100</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3202" t="s">
        <v>3152</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3203" t="s">
        <v>3153</v>
      </c>
      <c r="D107" s="3203" t="s">
        <v>3154</v>
      </c>
      <c r="E107" s="3203" t="s">
        <v>3179</v>
      </c>
      <c r="F107" s="3203" t="s">
        <v>3180</v>
      </c>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3202" t="s">
        <v>3156</v>
      </c>
      <c r="D109" s="3202" t="s">
        <v>3157</v>
      </c>
      <c r="E109" s="3202" t="s">
        <v>3158</v>
      </c>
      <c r="F109" s="718"/>
      <c r="G109" s="3203"/>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3202" t="s">
        <v>3160</v>
      </c>
      <c r="D114" s="3202" t="s">
        <v>3161</v>
      </c>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3202" t="s">
        <v>3162</v>
      </c>
      <c r="D116" s="3202" t="s">
        <v>3163</v>
      </c>
      <c r="E116" s="3202" t="s">
        <v>3164</v>
      </c>
      <c r="F116" s="3202" t="s">
        <v>3165</v>
      </c>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8.5" thickTop="1">
      <c r="A120" s="728"/>
      <c r="B120" s="673" t="s">
        <v>732</v>
      </c>
      <c r="C120" s="688" t="s">
        <v>3169</v>
      </c>
      <c r="D120" s="688" t="s">
        <v>3170</v>
      </c>
      <c r="E120" s="688" t="s">
        <v>3171</v>
      </c>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692">
        <v>100</v>
      </c>
      <c r="D121" s="671">
        <v>98</v>
      </c>
      <c r="E121" s="671">
        <v>96</v>
      </c>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3202" t="s">
        <v>3166</v>
      </c>
      <c r="D122" s="3202" t="s">
        <v>3157</v>
      </c>
      <c r="E122" s="3202" t="s">
        <v>3158</v>
      </c>
      <c r="F122" s="3203" t="s">
        <v>3168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756</v>
      </c>
      <c r="C1" s="504" t="s">
        <v>719</v>
      </c>
      <c r="D1" s="2333"/>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5">
      <c r="A4" s="512" t="s">
        <v>520</v>
      </c>
      <c r="B4" s="513"/>
      <c r="C4" s="3414" t="s">
        <v>521</v>
      </c>
      <c r="D4" s="3415"/>
      <c r="E4" s="3438" t="s">
        <v>522</v>
      </c>
      <c r="F4" s="3439"/>
      <c r="G4" s="3414" t="s">
        <v>523</v>
      </c>
      <c r="H4" s="3415"/>
      <c r="I4" s="3414" t="s">
        <v>524</v>
      </c>
      <c r="J4" s="3415"/>
      <c r="K4" s="514" t="s">
        <v>525</v>
      </c>
      <c r="L4" s="2117"/>
      <c r="M4" s="2118"/>
      <c r="N4" s="2118"/>
      <c r="O4" s="2118"/>
      <c r="P4" s="3416" t="s">
        <v>526</v>
      </c>
      <c r="Q4" s="3417"/>
      <c r="R4" s="3402" t="s">
        <v>522</v>
      </c>
      <c r="S4" s="3403"/>
      <c r="T4" s="3402" t="s">
        <v>523</v>
      </c>
      <c r="U4" s="3403"/>
      <c r="V4" s="3422" t="s">
        <v>524</v>
      </c>
      <c r="W4" s="3422"/>
      <c r="X4" s="1552"/>
      <c r="Y4" s="3402" t="s">
        <v>526</v>
      </c>
      <c r="Z4" s="3403"/>
      <c r="AA4" s="3397" t="s">
        <v>522</v>
      </c>
      <c r="AB4" s="3422" t="s">
        <v>523</v>
      </c>
      <c r="AC4" s="3397" t="s">
        <v>524</v>
      </c>
    </row>
    <row r="5" spans="1:29" ht="15">
      <c r="A5" s="515"/>
      <c r="B5" s="516"/>
      <c r="C5" s="3425" t="s">
        <v>2919</v>
      </c>
      <c r="D5" s="3426"/>
      <c r="E5" s="3440" t="s">
        <v>2920</v>
      </c>
      <c r="F5" s="3441"/>
      <c r="G5" s="3425" t="s">
        <v>2921</v>
      </c>
      <c r="H5" s="3426"/>
      <c r="I5" s="3425" t="s">
        <v>2922</v>
      </c>
      <c r="J5" s="3426"/>
      <c r="K5" s="514"/>
      <c r="L5" s="2117"/>
      <c r="M5" s="2118"/>
      <c r="N5" s="2118"/>
      <c r="O5" s="2118"/>
      <c r="P5" s="3418"/>
      <c r="Q5" s="3419"/>
      <c r="R5" s="3404"/>
      <c r="S5" s="3405"/>
      <c r="T5" s="3404"/>
      <c r="U5" s="3405"/>
      <c r="V5" s="3422"/>
      <c r="W5" s="3422"/>
      <c r="X5" s="1552"/>
      <c r="Y5" s="3404"/>
      <c r="Z5" s="3405"/>
      <c r="AA5" s="3398"/>
      <c r="AB5" s="3422"/>
      <c r="AC5" s="3398"/>
    </row>
    <row r="6" spans="1:29" ht="15.75" thickBot="1">
      <c r="A6" s="517"/>
      <c r="B6" s="518"/>
      <c r="C6" s="3423" t="s">
        <v>2923</v>
      </c>
      <c r="D6" s="3424"/>
      <c r="E6" s="3442" t="s">
        <v>2923</v>
      </c>
      <c r="F6" s="3443"/>
      <c r="G6" s="3423" t="s">
        <v>2923</v>
      </c>
      <c r="H6" s="3424"/>
      <c r="I6" s="3423" t="s">
        <v>2923</v>
      </c>
      <c r="J6" s="3424"/>
      <c r="K6" s="514" t="s">
        <v>527</v>
      </c>
      <c r="L6" s="2117"/>
      <c r="M6" s="2118"/>
      <c r="N6" s="2118"/>
      <c r="O6" s="2118"/>
      <c r="P6" s="3420"/>
      <c r="Q6" s="3421"/>
      <c r="R6" s="3404"/>
      <c r="S6" s="3405"/>
      <c r="T6" s="3406"/>
      <c r="U6" s="3407"/>
      <c r="V6" s="3422"/>
      <c r="W6" s="3422"/>
      <c r="X6" s="1552"/>
      <c r="Y6" s="3406"/>
      <c r="Z6" s="3407"/>
      <c r="AA6" s="3399"/>
      <c r="AB6" s="3422"/>
      <c r="AC6" s="3399"/>
    </row>
    <row r="7" spans="1:29" s="1216" customFormat="1" ht="15.75" thickBot="1">
      <c r="A7" s="2866"/>
      <c r="B7" s="2873"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00" t="s">
        <v>529</v>
      </c>
      <c r="Q7" s="3409"/>
      <c r="R7" s="1553" t="s">
        <v>8</v>
      </c>
      <c r="S7" s="1554">
        <f t="shared" ref="S7:S15" si="0">F7</f>
        <v>0</v>
      </c>
      <c r="T7" s="1553" t="s">
        <v>8</v>
      </c>
      <c r="U7" s="1554">
        <f t="shared" ref="U7:U15" si="1">H7</f>
        <v>0</v>
      </c>
      <c r="V7" s="1553" t="s">
        <v>8</v>
      </c>
      <c r="W7" s="1554">
        <f t="shared" ref="W7:W15" si="2">J7</f>
        <v>0</v>
      </c>
      <c r="X7" s="1555"/>
      <c r="Y7" s="3400" t="s">
        <v>529</v>
      </c>
      <c r="Z7" s="3401"/>
      <c r="AA7" s="1556" t="e">
        <f>D7/F7</f>
        <v>#DIV/0!</v>
      </c>
      <c r="AB7" s="1556" t="e">
        <f>D7/H7</f>
        <v>#DIV/0!</v>
      </c>
      <c r="AC7" s="1556" t="e">
        <f>D7/J7</f>
        <v>#DIV/0!</v>
      </c>
    </row>
    <row r="8" spans="1:29" s="1216" customFormat="1" ht="15.7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00" t="s">
        <v>532</v>
      </c>
      <c r="Q8" s="3401"/>
      <c r="R8" s="1553" t="s">
        <v>8</v>
      </c>
      <c r="S8" s="1554">
        <f t="shared" si="0"/>
        <v>0</v>
      </c>
      <c r="T8" s="1553" t="s">
        <v>8</v>
      </c>
      <c r="U8" s="1554">
        <f t="shared" si="1"/>
        <v>0</v>
      </c>
      <c r="V8" s="1553" t="s">
        <v>8</v>
      </c>
      <c r="W8" s="1554">
        <f t="shared" si="2"/>
        <v>0</v>
      </c>
      <c r="X8" s="1555"/>
      <c r="Y8" s="3400" t="s">
        <v>532</v>
      </c>
      <c r="Z8" s="3401"/>
      <c r="AA8" s="1556" t="e">
        <f t="shared" ref="AA8:AA46" si="3">D8/F8</f>
        <v>#DIV/0!</v>
      </c>
      <c r="AB8" s="1556" t="e">
        <f t="shared" ref="AB8:AB46" si="4">D8/H8</f>
        <v>#DIV/0!</v>
      </c>
      <c r="AC8" s="1556" t="e">
        <f t="shared" ref="AC8:AC46" si="5">D8/J8</f>
        <v>#DIV/0!</v>
      </c>
    </row>
    <row r="9" spans="1:29" s="1216" customFormat="1" ht="15">
      <c r="A9" s="2868"/>
      <c r="B9" s="2875" t="s">
        <v>2754</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408" t="s">
        <v>534</v>
      </c>
      <c r="Q9" s="1147" t="str">
        <f t="shared" ref="Q9:Q15" si="6">B9</f>
        <v>用途</v>
      </c>
      <c r="R9" s="1553" t="s">
        <v>8</v>
      </c>
      <c r="S9" s="1554">
        <f t="shared" si="0"/>
        <v>100</v>
      </c>
      <c r="T9" s="1553" t="s">
        <v>8</v>
      </c>
      <c r="U9" s="1554">
        <f t="shared" si="1"/>
        <v>100</v>
      </c>
      <c r="V9" s="1553" t="s">
        <v>8</v>
      </c>
      <c r="W9" s="1554">
        <f t="shared" si="2"/>
        <v>100</v>
      </c>
      <c r="X9" s="1555"/>
      <c r="Y9" s="3365"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408"/>
      <c r="Q11" s="1147" t="str">
        <f t="shared" si="6"/>
        <v>容积率</v>
      </c>
      <c r="R11" s="1553" t="s">
        <v>8</v>
      </c>
      <c r="S11" s="1554" t="e">
        <f t="shared" si="0"/>
        <v>#N/A</v>
      </c>
      <c r="T11" s="1553" t="s">
        <v>8</v>
      </c>
      <c r="U11" s="1554" t="e">
        <f t="shared" si="1"/>
        <v>#N/A</v>
      </c>
      <c r="V11" s="1553" t="s">
        <v>8</v>
      </c>
      <c r="W11" s="1554" t="e">
        <f t="shared" si="2"/>
        <v>#N/A</v>
      </c>
      <c r="X11" s="1555"/>
      <c r="Y11" s="3365"/>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408"/>
      <c r="Q12" s="1147">
        <f t="shared" si="6"/>
        <v>111</v>
      </c>
      <c r="R12" s="1553" t="s">
        <v>8</v>
      </c>
      <c r="S12" s="1554">
        <f t="shared" si="0"/>
        <v>100</v>
      </c>
      <c r="T12" s="1553" t="s">
        <v>8</v>
      </c>
      <c r="U12" s="1554">
        <f t="shared" si="1"/>
        <v>100</v>
      </c>
      <c r="V12" s="1553" t="s">
        <v>8</v>
      </c>
      <c r="W12" s="1554">
        <f t="shared" si="2"/>
        <v>100</v>
      </c>
      <c r="X12" s="1555"/>
      <c r="Y12" s="3365"/>
      <c r="Z12" s="1146">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408"/>
      <c r="Q13" s="1147">
        <f t="shared" si="6"/>
        <v>111</v>
      </c>
      <c r="R13" s="1553" t="s">
        <v>8</v>
      </c>
      <c r="S13" s="1554">
        <f t="shared" si="0"/>
        <v>100</v>
      </c>
      <c r="T13" s="1553" t="s">
        <v>8</v>
      </c>
      <c r="U13" s="1554">
        <f t="shared" si="1"/>
        <v>100</v>
      </c>
      <c r="V13" s="1553" t="s">
        <v>8</v>
      </c>
      <c r="W13" s="1554">
        <f t="shared" si="2"/>
        <v>100</v>
      </c>
      <c r="X13" s="1555"/>
      <c r="Y13" s="3365"/>
      <c r="Z13" s="1146">
        <f t="shared" si="7"/>
        <v>111</v>
      </c>
      <c r="AA13" s="1556">
        <f t="shared" si="3"/>
        <v>1</v>
      </c>
      <c r="AB13" s="1556">
        <f t="shared" si="4"/>
        <v>1</v>
      </c>
      <c r="AC13" s="1556">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408"/>
      <c r="Q14" s="1147">
        <f t="shared" si="6"/>
        <v>111</v>
      </c>
      <c r="R14" s="1553" t="s">
        <v>8</v>
      </c>
      <c r="S14" s="1554">
        <f t="shared" si="0"/>
        <v>100</v>
      </c>
      <c r="T14" s="1553" t="s">
        <v>8</v>
      </c>
      <c r="U14" s="1554">
        <f t="shared" si="1"/>
        <v>100</v>
      </c>
      <c r="V14" s="1553" t="s">
        <v>8</v>
      </c>
      <c r="W14" s="1554">
        <f t="shared" si="2"/>
        <v>100</v>
      </c>
      <c r="X14" s="1555"/>
      <c r="Y14" s="3365"/>
      <c r="Z14" s="1146">
        <f t="shared" si="7"/>
        <v>111</v>
      </c>
      <c r="AA14" s="1556">
        <f t="shared" si="3"/>
        <v>1</v>
      </c>
      <c r="AB14" s="1556">
        <f t="shared" si="4"/>
        <v>1</v>
      </c>
      <c r="AC14" s="1556">
        <f t="shared" si="5"/>
        <v>1</v>
      </c>
    </row>
    <row r="15" spans="1:29" ht="15">
      <c r="A15" s="2864" t="s">
        <v>2752</v>
      </c>
      <c r="B15" s="166" t="s">
        <v>540</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10" t="s">
        <v>539</v>
      </c>
      <c r="Q15" s="1557" t="str">
        <f t="shared" si="6"/>
        <v>商业繁华度</v>
      </c>
      <c r="R15" s="1558" t="s">
        <v>8</v>
      </c>
      <c r="S15" s="1559">
        <f t="shared" si="0"/>
        <v>100</v>
      </c>
      <c r="T15" s="1558" t="s">
        <v>8</v>
      </c>
      <c r="U15" s="1559">
        <f t="shared" si="1"/>
        <v>100</v>
      </c>
      <c r="V15" s="1558" t="s">
        <v>8</v>
      </c>
      <c r="W15" s="1559">
        <f t="shared" si="2"/>
        <v>100</v>
      </c>
      <c r="X15" s="1552"/>
      <c r="Y15" s="3410" t="s">
        <v>539</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1"/>
      <c r="Q16" s="1557"/>
      <c r="R16" s="1558"/>
      <c r="S16" s="1559"/>
      <c r="T16" s="1558"/>
      <c r="U16" s="1559"/>
      <c r="V16" s="1558"/>
      <c r="W16" s="1559"/>
      <c r="X16" s="1552"/>
      <c r="Y16" s="3411"/>
      <c r="Z16" s="1560"/>
      <c r="AA16" s="1561">
        <v>1</v>
      </c>
      <c r="AB16" s="1561">
        <v>1</v>
      </c>
      <c r="AC16" s="1561">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11"/>
      <c r="Q17" s="1557" t="str">
        <f>B17</f>
        <v>交通便捷度</v>
      </c>
      <c r="R17" s="1558" t="s">
        <v>8</v>
      </c>
      <c r="S17" s="1559">
        <f>F17</f>
        <v>100</v>
      </c>
      <c r="T17" s="1558" t="s">
        <v>8</v>
      </c>
      <c r="U17" s="1559">
        <f>H17</f>
        <v>100</v>
      </c>
      <c r="V17" s="1558" t="s">
        <v>8</v>
      </c>
      <c r="W17" s="1559">
        <f>J17</f>
        <v>100</v>
      </c>
      <c r="X17" s="1552"/>
      <c r="Y17" s="3411"/>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1"/>
      <c r="Q18" s="1557"/>
      <c r="R18" s="1558"/>
      <c r="S18" s="1559"/>
      <c r="T18" s="1558"/>
      <c r="U18" s="1559"/>
      <c r="V18" s="1558"/>
      <c r="W18" s="1559"/>
      <c r="X18" s="1552"/>
      <c r="Y18" s="3411"/>
      <c r="Z18" s="1560"/>
      <c r="AA18" s="1561">
        <v>1</v>
      </c>
      <c r="AB18" s="1561">
        <v>1</v>
      </c>
      <c r="AC18" s="1561">
        <v>1</v>
      </c>
    </row>
    <row r="19" spans="1:29" ht="15">
      <c r="A19" s="532"/>
      <c r="B19" s="2563" t="s">
        <v>2544</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11"/>
      <c r="Q19" s="1557" t="str">
        <f>B19</f>
        <v>公共配套设施</v>
      </c>
      <c r="R19" s="1558" t="s">
        <v>8</v>
      </c>
      <c r="S19" s="1559">
        <f>F19</f>
        <v>100</v>
      </c>
      <c r="T19" s="1558" t="s">
        <v>8</v>
      </c>
      <c r="U19" s="1559">
        <f>H19</f>
        <v>100</v>
      </c>
      <c r="V19" s="1558" t="s">
        <v>8</v>
      </c>
      <c r="W19" s="1559">
        <f>J19</f>
        <v>100</v>
      </c>
      <c r="X19" s="1552"/>
      <c r="Y19" s="3411"/>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9"/>
      <c r="L20" s="2126"/>
      <c r="M20" s="2118"/>
      <c r="N20" s="2118"/>
      <c r="O20" s="2125"/>
      <c r="P20" s="3411"/>
      <c r="Q20" s="1557"/>
      <c r="R20" s="1558"/>
      <c r="S20" s="1559"/>
      <c r="T20" s="1558"/>
      <c r="U20" s="1559"/>
      <c r="V20" s="1558"/>
      <c r="W20" s="1559"/>
      <c r="X20" s="1552"/>
      <c r="Y20" s="3411"/>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11"/>
      <c r="Q21" s="2542" t="str">
        <f>B21</f>
        <v>基础设施水平</v>
      </c>
      <c r="R21" s="1558" t="s">
        <v>8</v>
      </c>
      <c r="S21" s="1559">
        <f>F21</f>
        <v>100</v>
      </c>
      <c r="T21" s="1558" t="s">
        <v>8</v>
      </c>
      <c r="U21" s="1559">
        <f>H21</f>
        <v>100</v>
      </c>
      <c r="V21" s="1558" t="s">
        <v>8</v>
      </c>
      <c r="W21" s="1559">
        <f>J21</f>
        <v>100</v>
      </c>
      <c r="X21" s="2544"/>
      <c r="Y21" s="3411"/>
      <c r="Z21" s="2543" t="str">
        <f>Q21</f>
        <v>基础设施水平</v>
      </c>
      <c r="AA21" s="1561">
        <f t="shared" ref="AA21" si="8">D21/F21</f>
        <v>1</v>
      </c>
      <c r="AB21" s="1561">
        <f t="shared" ref="AB21" si="9">D21/H21</f>
        <v>1</v>
      </c>
      <c r="AC21" s="1561">
        <f t="shared" ref="AC21" si="10">D21/J21</f>
        <v>1</v>
      </c>
    </row>
    <row r="22" spans="1:29" ht="15">
      <c r="A22" s="532"/>
      <c r="B22" s="922"/>
      <c r="C22" s="873"/>
      <c r="D22" s="555"/>
      <c r="E22" s="576"/>
      <c r="F22" s="557"/>
      <c r="G22" s="576"/>
      <c r="H22" s="555"/>
      <c r="I22" s="576"/>
      <c r="J22" s="555"/>
      <c r="K22" s="2565"/>
      <c r="L22" s="2126"/>
      <c r="M22" s="2118"/>
      <c r="N22" s="2118"/>
      <c r="O22" s="2125"/>
      <c r="P22" s="3411"/>
      <c r="Q22" s="2542"/>
      <c r="R22" s="1558"/>
      <c r="S22" s="1559"/>
      <c r="T22" s="1558"/>
      <c r="U22" s="1559"/>
      <c r="V22" s="1558"/>
      <c r="W22" s="1559"/>
      <c r="X22" s="2544"/>
      <c r="Y22" s="3411"/>
      <c r="Z22" s="2543"/>
      <c r="AA22" s="1561">
        <v>1</v>
      </c>
      <c r="AB22" s="1561">
        <v>1</v>
      </c>
      <c r="AC22" s="1561">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11"/>
      <c r="Q23" s="1557" t="str">
        <f>B23</f>
        <v>自然及人文环境</v>
      </c>
      <c r="R23" s="1558" t="s">
        <v>8</v>
      </c>
      <c r="S23" s="1559">
        <f>F23</f>
        <v>100</v>
      </c>
      <c r="T23" s="1558" t="s">
        <v>8</v>
      </c>
      <c r="U23" s="1559">
        <f>H23</f>
        <v>100</v>
      </c>
      <c r="V23" s="1558" t="s">
        <v>8</v>
      </c>
      <c r="W23" s="1559">
        <f>J23</f>
        <v>100</v>
      </c>
      <c r="X23" s="1552"/>
      <c r="Y23" s="3411"/>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9"/>
      <c r="L24" s="2126"/>
      <c r="M24" s="2118"/>
      <c r="N24" s="2118"/>
      <c r="O24" s="2125"/>
      <c r="P24" s="3411"/>
      <c r="Q24" s="1557"/>
      <c r="R24" s="1558"/>
      <c r="S24" s="1559"/>
      <c r="T24" s="1558"/>
      <c r="U24" s="1559"/>
      <c r="V24" s="1558"/>
      <c r="W24" s="1559"/>
      <c r="X24" s="1552"/>
      <c r="Y24" s="3411"/>
      <c r="Z24" s="1560"/>
      <c r="AA24" s="1561">
        <v>1</v>
      </c>
      <c r="AB24" s="1561">
        <v>1</v>
      </c>
      <c r="AC24" s="1561">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11"/>
      <c r="Q25" s="1557" t="str">
        <f t="shared" ref="Q25:Q46" si="11">B25</f>
        <v>临街状况</v>
      </c>
      <c r="R25" s="1558" t="s">
        <v>8</v>
      </c>
      <c r="S25" s="1559">
        <f>F25</f>
        <v>100</v>
      </c>
      <c r="T25" s="1558" t="s">
        <v>8</v>
      </c>
      <c r="U25" s="1559">
        <f>H25</f>
        <v>100</v>
      </c>
      <c r="V25" s="1558" t="s">
        <v>8</v>
      </c>
      <c r="W25" s="1559">
        <f>J25</f>
        <v>100</v>
      </c>
      <c r="X25" s="1552"/>
      <c r="Y25" s="3411"/>
      <c r="Z25" s="1560" t="str">
        <f>Q25</f>
        <v>临街状况</v>
      </c>
      <c r="AA25" s="1561">
        <f t="shared" si="3"/>
        <v>1</v>
      </c>
      <c r="AB25" s="1561">
        <f t="shared" si="4"/>
        <v>1</v>
      </c>
      <c r="AC25" s="1561">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11"/>
      <c r="Q26" s="1557" t="str">
        <f t="shared" si="11"/>
        <v>平面位置/可视性</v>
      </c>
      <c r="R26" s="1558" t="s">
        <v>8</v>
      </c>
      <c r="S26" s="1559">
        <f>F26</f>
        <v>100</v>
      </c>
      <c r="T26" s="1558" t="s">
        <v>8</v>
      </c>
      <c r="U26" s="1559">
        <f>H26</f>
        <v>100</v>
      </c>
      <c r="V26" s="1558" t="s">
        <v>8</v>
      </c>
      <c r="W26" s="1559">
        <f>J26</f>
        <v>100</v>
      </c>
      <c r="X26" s="1552"/>
      <c r="Y26" s="3411"/>
      <c r="Z26" s="1560" t="str">
        <f>Q26</f>
        <v>平面位置/可视性</v>
      </c>
      <c r="AA26" s="1561">
        <f t="shared" si="3"/>
        <v>1</v>
      </c>
      <c r="AB26" s="1561">
        <f t="shared" si="4"/>
        <v>1</v>
      </c>
      <c r="AC26" s="1561">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11"/>
      <c r="Q27" s="1147" t="str">
        <f t="shared" si="11"/>
        <v>人流量</v>
      </c>
      <c r="R27" s="1553" t="s">
        <v>8</v>
      </c>
      <c r="S27" s="1554">
        <f>F27</f>
        <v>100</v>
      </c>
      <c r="T27" s="1553" t="s">
        <v>8</v>
      </c>
      <c r="U27" s="1554">
        <f>H27</f>
        <v>100</v>
      </c>
      <c r="V27" s="1553" t="s">
        <v>8</v>
      </c>
      <c r="W27" s="1554">
        <f>J27</f>
        <v>100</v>
      </c>
      <c r="X27" s="1555"/>
      <c r="Y27" s="3411"/>
      <c r="Z27" s="1146" t="str">
        <f>Q27</f>
        <v>人流量</v>
      </c>
      <c r="AA27" s="1561">
        <f>D27/F27</f>
        <v>1</v>
      </c>
      <c r="AB27" s="1561">
        <f>D27/H27</f>
        <v>1</v>
      </c>
      <c r="AC27" s="1561">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11"/>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11"/>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11"/>
      <c r="Q29" s="1557">
        <f t="shared" si="11"/>
        <v>111</v>
      </c>
      <c r="R29" s="1558" t="s">
        <v>8</v>
      </c>
      <c r="S29" s="1559">
        <f t="shared" si="12"/>
        <v>100</v>
      </c>
      <c r="T29" s="1558" t="s">
        <v>8</v>
      </c>
      <c r="U29" s="1559">
        <f t="shared" si="13"/>
        <v>100</v>
      </c>
      <c r="V29" s="1558" t="s">
        <v>8</v>
      </c>
      <c r="W29" s="1559">
        <f t="shared" si="14"/>
        <v>100</v>
      </c>
      <c r="X29" s="1552"/>
      <c r="Y29" s="3411"/>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11"/>
      <c r="Q30" s="1557">
        <f t="shared" si="11"/>
        <v>111</v>
      </c>
      <c r="R30" s="1558" t="s">
        <v>8</v>
      </c>
      <c r="S30" s="1559">
        <f t="shared" si="12"/>
        <v>100</v>
      </c>
      <c r="T30" s="1558" t="s">
        <v>8</v>
      </c>
      <c r="U30" s="1559">
        <f t="shared" si="13"/>
        <v>100</v>
      </c>
      <c r="V30" s="1558" t="s">
        <v>8</v>
      </c>
      <c r="W30" s="1559">
        <f t="shared" si="14"/>
        <v>100</v>
      </c>
      <c r="X30" s="1552"/>
      <c r="Y30" s="3411"/>
      <c r="Z30" s="1560">
        <f t="shared" si="15"/>
        <v>111</v>
      </c>
      <c r="AA30" s="1561">
        <f t="shared" si="3"/>
        <v>1</v>
      </c>
      <c r="AB30" s="1561">
        <f t="shared" si="4"/>
        <v>1</v>
      </c>
      <c r="AC30" s="1561">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11"/>
      <c r="Q31" s="1557">
        <f t="shared" si="11"/>
        <v>111</v>
      </c>
      <c r="R31" s="1558" t="s">
        <v>8</v>
      </c>
      <c r="S31" s="1559">
        <f t="shared" si="12"/>
        <v>100</v>
      </c>
      <c r="T31" s="1558" t="s">
        <v>8</v>
      </c>
      <c r="U31" s="1559">
        <f t="shared" si="13"/>
        <v>100</v>
      </c>
      <c r="V31" s="1558" t="s">
        <v>8</v>
      </c>
      <c r="W31" s="1559">
        <f t="shared" si="14"/>
        <v>100</v>
      </c>
      <c r="X31" s="1552"/>
      <c r="Y31" s="3411"/>
      <c r="Z31" s="1560">
        <f t="shared" si="15"/>
        <v>111</v>
      </c>
      <c r="AA31" s="1561">
        <f t="shared" si="3"/>
        <v>1</v>
      </c>
      <c r="AB31" s="1561">
        <f t="shared" si="4"/>
        <v>1</v>
      </c>
      <c r="AC31" s="1561">
        <f t="shared" si="5"/>
        <v>1</v>
      </c>
    </row>
    <row r="32" spans="1:29" ht="15">
      <c r="A32" s="2861"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12" t="s">
        <v>549</v>
      </c>
      <c r="Q32" s="1557" t="str">
        <f t="shared" si="11"/>
        <v>商业类型</v>
      </c>
      <c r="R32" s="1558" t="s">
        <v>8</v>
      </c>
      <c r="S32" s="1559">
        <f t="shared" si="12"/>
        <v>100</v>
      </c>
      <c r="T32" s="1558" t="s">
        <v>8</v>
      </c>
      <c r="U32" s="1559">
        <f t="shared" si="13"/>
        <v>100</v>
      </c>
      <c r="V32" s="1558" t="s">
        <v>8</v>
      </c>
      <c r="W32" s="1559">
        <f t="shared" si="14"/>
        <v>100</v>
      </c>
      <c r="X32" s="1552"/>
      <c r="Y32" s="3413" t="s">
        <v>549</v>
      </c>
      <c r="Z32" s="1560" t="str">
        <f t="shared" si="15"/>
        <v>商业类型</v>
      </c>
      <c r="AA32" s="1561">
        <f t="shared" si="3"/>
        <v>1</v>
      </c>
      <c r="AB32" s="1561">
        <f t="shared" si="4"/>
        <v>1</v>
      </c>
      <c r="AC32" s="1561">
        <f t="shared" si="5"/>
        <v>1</v>
      </c>
    </row>
    <row r="33" spans="1:29" s="1333"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13"/>
      <c r="Q33" s="1589" t="str">
        <f t="shared" si="11"/>
        <v>项目建筑规模</v>
      </c>
      <c r="R33" s="1562" t="s">
        <v>8</v>
      </c>
      <c r="S33" s="1563" t="e">
        <f t="shared" si="12"/>
        <v>#N/A</v>
      </c>
      <c r="T33" s="1562" t="s">
        <v>8</v>
      </c>
      <c r="U33" s="1563" t="e">
        <f t="shared" si="13"/>
        <v>#N/A</v>
      </c>
      <c r="V33" s="1562" t="s">
        <v>8</v>
      </c>
      <c r="W33" s="1563" t="e">
        <f t="shared" si="14"/>
        <v>#N/A</v>
      </c>
      <c r="X33" s="1564"/>
      <c r="Y33" s="3413"/>
      <c r="Z33" s="1565" t="str">
        <f t="shared" si="15"/>
        <v>项目建筑规模</v>
      </c>
      <c r="AA33" s="1561" t="e">
        <f t="shared" si="3"/>
        <v>#N/A</v>
      </c>
      <c r="AB33" s="1561" t="e">
        <f t="shared" si="4"/>
        <v>#N/A</v>
      </c>
      <c r="AC33" s="1561"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13"/>
      <c r="Q34" s="1557" t="str">
        <f t="shared" si="11"/>
        <v>建筑结构</v>
      </c>
      <c r="R34" s="1558" t="s">
        <v>8</v>
      </c>
      <c r="S34" s="1559">
        <f t="shared" si="12"/>
        <v>100</v>
      </c>
      <c r="T34" s="1558" t="s">
        <v>8</v>
      </c>
      <c r="U34" s="1559">
        <f t="shared" si="13"/>
        <v>100</v>
      </c>
      <c r="V34" s="1558" t="s">
        <v>8</v>
      </c>
      <c r="W34" s="1559">
        <f t="shared" si="14"/>
        <v>100</v>
      </c>
      <c r="X34" s="1552"/>
      <c r="Y34" s="3413"/>
      <c r="Z34" s="1560" t="str">
        <f t="shared" si="15"/>
        <v>建筑结构</v>
      </c>
      <c r="AA34" s="1561">
        <f t="shared" si="3"/>
        <v>1</v>
      </c>
      <c r="AB34" s="1561">
        <f t="shared" si="4"/>
        <v>1</v>
      </c>
      <c r="AC34" s="1561">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13"/>
      <c r="Q35" s="1557" t="str">
        <f t="shared" si="11"/>
        <v>公共部分装修</v>
      </c>
      <c r="R35" s="1558" t="s">
        <v>8</v>
      </c>
      <c r="S35" s="1559">
        <f t="shared" si="12"/>
        <v>100</v>
      </c>
      <c r="T35" s="1558" t="s">
        <v>8</v>
      </c>
      <c r="U35" s="1559">
        <f t="shared" si="13"/>
        <v>100</v>
      </c>
      <c r="V35" s="1558" t="s">
        <v>8</v>
      </c>
      <c r="W35" s="1559">
        <f t="shared" si="14"/>
        <v>100</v>
      </c>
      <c r="X35" s="1552"/>
      <c r="Y35" s="3413"/>
      <c r="Z35" s="1560" t="str">
        <f t="shared" si="15"/>
        <v>公共部分装修</v>
      </c>
      <c r="AA35" s="1561">
        <f t="shared" si="3"/>
        <v>1</v>
      </c>
      <c r="AB35" s="1561">
        <f t="shared" si="4"/>
        <v>1</v>
      </c>
      <c r="AC35" s="1561">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13"/>
      <c r="Q36" s="1557" t="str">
        <f t="shared" si="11"/>
        <v>成新度</v>
      </c>
      <c r="R36" s="1558" t="s">
        <v>8</v>
      </c>
      <c r="S36" s="1559" t="e">
        <f t="shared" si="12"/>
        <v>#N/A</v>
      </c>
      <c r="T36" s="1558" t="s">
        <v>8</v>
      </c>
      <c r="U36" s="1559" t="e">
        <f t="shared" si="13"/>
        <v>#N/A</v>
      </c>
      <c r="V36" s="1558" t="s">
        <v>8</v>
      </c>
      <c r="W36" s="1559" t="e">
        <f t="shared" si="14"/>
        <v>#N/A</v>
      </c>
      <c r="X36" s="1552"/>
      <c r="Y36" s="3413"/>
      <c r="Z36" s="1560" t="str">
        <f t="shared" si="15"/>
        <v>成新度</v>
      </c>
      <c r="AA36" s="1561" t="e">
        <f t="shared" si="3"/>
        <v>#N/A</v>
      </c>
      <c r="AB36" s="1561" t="e">
        <f t="shared" si="4"/>
        <v>#N/A</v>
      </c>
      <c r="AC36" s="1561" t="e">
        <f t="shared" si="5"/>
        <v>#N/A</v>
      </c>
    </row>
    <row r="37" spans="1:29" s="1216"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13"/>
      <c r="Q37" s="1147" t="str">
        <f t="shared" si="11"/>
        <v>市政基础设施</v>
      </c>
      <c r="R37" s="1553" t="s">
        <v>8</v>
      </c>
      <c r="S37" s="1554">
        <f t="shared" si="12"/>
        <v>100</v>
      </c>
      <c r="T37" s="1553" t="s">
        <v>8</v>
      </c>
      <c r="U37" s="1554">
        <f t="shared" si="13"/>
        <v>100</v>
      </c>
      <c r="V37" s="1553" t="s">
        <v>8</v>
      </c>
      <c r="W37" s="1554">
        <f t="shared" si="14"/>
        <v>100</v>
      </c>
      <c r="X37" s="1555"/>
      <c r="Y37" s="3413"/>
      <c r="Z37" s="1146" t="str">
        <f t="shared" si="15"/>
        <v>市政基础设施</v>
      </c>
      <c r="AA37" s="1556">
        <f t="shared" si="3"/>
        <v>1</v>
      </c>
      <c r="AB37" s="1556">
        <f t="shared" si="4"/>
        <v>1</v>
      </c>
      <c r="AC37" s="1556">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13" t="s">
        <v>765</v>
      </c>
      <c r="Q38" s="1557" t="str">
        <f t="shared" si="11"/>
        <v>业态</v>
      </c>
      <c r="R38" s="1558" t="s">
        <v>8</v>
      </c>
      <c r="S38" s="1559">
        <f t="shared" si="12"/>
        <v>100</v>
      </c>
      <c r="T38" s="1558" t="s">
        <v>8</v>
      </c>
      <c r="U38" s="1559">
        <f t="shared" si="13"/>
        <v>100</v>
      </c>
      <c r="V38" s="1558" t="s">
        <v>8</v>
      </c>
      <c r="W38" s="1559">
        <f t="shared" si="14"/>
        <v>100</v>
      </c>
      <c r="X38" s="1552"/>
      <c r="Y38" s="3413" t="s">
        <v>765</v>
      </c>
      <c r="Z38" s="1560" t="str">
        <f t="shared" si="15"/>
        <v>业态</v>
      </c>
      <c r="AA38" s="1561">
        <f t="shared" si="3"/>
        <v>1</v>
      </c>
      <c r="AB38" s="1561">
        <f t="shared" si="4"/>
        <v>1</v>
      </c>
      <c r="AC38" s="1561">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3"/>
      <c r="Q39" s="1557" t="str">
        <f t="shared" si="11"/>
        <v>层高</v>
      </c>
      <c r="R39" s="1558" t="s">
        <v>8</v>
      </c>
      <c r="S39" s="1559">
        <f t="shared" si="12"/>
        <v>100</v>
      </c>
      <c r="T39" s="1558" t="s">
        <v>8</v>
      </c>
      <c r="U39" s="1559">
        <f t="shared" si="13"/>
        <v>100</v>
      </c>
      <c r="V39" s="1558" t="s">
        <v>8</v>
      </c>
      <c r="W39" s="1559">
        <f t="shared" si="14"/>
        <v>100</v>
      </c>
      <c r="X39" s="1552"/>
      <c r="Y39" s="3413"/>
      <c r="Z39" s="1560" t="str">
        <f t="shared" si="15"/>
        <v>层高</v>
      </c>
      <c r="AA39" s="1561">
        <f t="shared" si="3"/>
        <v>1</v>
      </c>
      <c r="AB39" s="1561">
        <f t="shared" si="4"/>
        <v>1</v>
      </c>
      <c r="AC39" s="1561">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13"/>
      <c r="Q40" s="1557" t="str">
        <f t="shared" si="11"/>
        <v>单套建筑面积</v>
      </c>
      <c r="R40" s="1558" t="s">
        <v>8</v>
      </c>
      <c r="S40" s="1559">
        <f t="shared" si="12"/>
        <v>100</v>
      </c>
      <c r="T40" s="1558" t="s">
        <v>8</v>
      </c>
      <c r="U40" s="1559">
        <f t="shared" si="13"/>
        <v>100</v>
      </c>
      <c r="V40" s="1558" t="s">
        <v>8</v>
      </c>
      <c r="W40" s="1559">
        <f t="shared" si="14"/>
        <v>100</v>
      </c>
      <c r="X40" s="1552"/>
      <c r="Y40" s="3413"/>
      <c r="Z40" s="1560" t="str">
        <f t="shared" si="15"/>
        <v>单套建筑面积</v>
      </c>
      <c r="AA40" s="1561">
        <f t="shared" si="3"/>
        <v>1</v>
      </c>
      <c r="AB40" s="1561">
        <f t="shared" si="4"/>
        <v>1</v>
      </c>
      <c r="AC40" s="1561">
        <f t="shared" si="5"/>
        <v>1</v>
      </c>
    </row>
    <row r="41" spans="1:29" s="1333"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13"/>
      <c r="Q41" s="1589" t="str">
        <f t="shared" si="11"/>
        <v>进深比</v>
      </c>
      <c r="R41" s="1562" t="s">
        <v>8</v>
      </c>
      <c r="S41" s="1563">
        <f t="shared" si="12"/>
        <v>100</v>
      </c>
      <c r="T41" s="1562" t="s">
        <v>8</v>
      </c>
      <c r="U41" s="1563">
        <f t="shared" si="13"/>
        <v>100</v>
      </c>
      <c r="V41" s="1562" t="s">
        <v>8</v>
      </c>
      <c r="W41" s="1563">
        <f t="shared" si="14"/>
        <v>100</v>
      </c>
      <c r="X41" s="1564"/>
      <c r="Y41" s="3413"/>
      <c r="Z41" s="1565" t="str">
        <f t="shared" si="15"/>
        <v>进深比</v>
      </c>
      <c r="AA41" s="1561">
        <f t="shared" si="3"/>
        <v>1</v>
      </c>
      <c r="AB41" s="1561">
        <f t="shared" si="4"/>
        <v>1</v>
      </c>
      <c r="AC41" s="1561">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13"/>
      <c r="Q42" s="1557" t="str">
        <f t="shared" si="11"/>
        <v>内部装修</v>
      </c>
      <c r="R42" s="1558" t="s">
        <v>8</v>
      </c>
      <c r="S42" s="1559">
        <f t="shared" si="12"/>
        <v>100</v>
      </c>
      <c r="T42" s="1558" t="s">
        <v>8</v>
      </c>
      <c r="U42" s="1559">
        <f t="shared" si="13"/>
        <v>100</v>
      </c>
      <c r="V42" s="1558" t="s">
        <v>8</v>
      </c>
      <c r="W42" s="1559">
        <f t="shared" si="14"/>
        <v>100</v>
      </c>
      <c r="X42" s="1552"/>
      <c r="Y42" s="3413"/>
      <c r="Z42" s="1560" t="str">
        <f t="shared" si="15"/>
        <v>内部装修</v>
      </c>
      <c r="AA42" s="1561">
        <f t="shared" si="3"/>
        <v>1</v>
      </c>
      <c r="AB42" s="1561">
        <f t="shared" si="4"/>
        <v>1</v>
      </c>
      <c r="AC42" s="1561">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13"/>
      <c r="Q43" s="1557" t="str">
        <f t="shared" si="11"/>
        <v>内部装修维护情况</v>
      </c>
      <c r="R43" s="1558" t="s">
        <v>8</v>
      </c>
      <c r="S43" s="1559">
        <f t="shared" si="12"/>
        <v>100</v>
      </c>
      <c r="T43" s="1558" t="s">
        <v>8</v>
      </c>
      <c r="U43" s="1559">
        <f t="shared" si="13"/>
        <v>100</v>
      </c>
      <c r="V43" s="1558" t="s">
        <v>8</v>
      </c>
      <c r="W43" s="1559">
        <f t="shared" si="14"/>
        <v>100</v>
      </c>
      <c r="X43" s="1552"/>
      <c r="Y43" s="3413"/>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13"/>
      <c r="Q44" s="1147">
        <f t="shared" si="11"/>
        <v>111</v>
      </c>
      <c r="R44" s="1553" t="s">
        <v>8</v>
      </c>
      <c r="S44" s="1554">
        <f t="shared" si="12"/>
        <v>100</v>
      </c>
      <c r="T44" s="1553" t="s">
        <v>8</v>
      </c>
      <c r="U44" s="1554">
        <f t="shared" si="13"/>
        <v>100</v>
      </c>
      <c r="V44" s="1553" t="s">
        <v>8</v>
      </c>
      <c r="W44" s="1554">
        <f t="shared" si="14"/>
        <v>100</v>
      </c>
      <c r="X44" s="1555"/>
      <c r="Y44" s="3413"/>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13"/>
      <c r="Q45" s="1557">
        <f t="shared" si="11"/>
        <v>111</v>
      </c>
      <c r="R45" s="1558" t="s">
        <v>8</v>
      </c>
      <c r="S45" s="1559">
        <f t="shared" si="12"/>
        <v>100</v>
      </c>
      <c r="T45" s="1558" t="s">
        <v>8</v>
      </c>
      <c r="U45" s="1559">
        <f t="shared" si="13"/>
        <v>100</v>
      </c>
      <c r="V45" s="1558" t="s">
        <v>8</v>
      </c>
      <c r="W45" s="1559">
        <f t="shared" si="14"/>
        <v>100</v>
      </c>
      <c r="X45" s="1552"/>
      <c r="Y45" s="3413"/>
      <c r="Z45" s="1560">
        <f t="shared" si="15"/>
        <v>111</v>
      </c>
      <c r="AA45" s="1561">
        <f t="shared" si="3"/>
        <v>1</v>
      </c>
      <c r="AB45" s="1561">
        <f t="shared" si="4"/>
        <v>1</v>
      </c>
      <c r="AC45" s="1561">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15"/>
      <c r="Q46" s="1557">
        <f t="shared" si="11"/>
        <v>111</v>
      </c>
      <c r="R46" s="1558" t="s">
        <v>8</v>
      </c>
      <c r="S46" s="1559">
        <f t="shared" si="12"/>
        <v>100</v>
      </c>
      <c r="T46" s="1558" t="s">
        <v>8</v>
      </c>
      <c r="U46" s="1559">
        <f t="shared" si="13"/>
        <v>100</v>
      </c>
      <c r="V46" s="1558" t="s">
        <v>8</v>
      </c>
      <c r="W46" s="1559">
        <f t="shared" si="14"/>
        <v>100</v>
      </c>
      <c r="X46" s="1552"/>
      <c r="Y46" s="3515"/>
      <c r="Z46" s="1560">
        <f t="shared" si="15"/>
        <v>111</v>
      </c>
      <c r="AA46" s="1561">
        <f t="shared" si="3"/>
        <v>1</v>
      </c>
      <c r="AB46" s="1561">
        <f t="shared" si="4"/>
        <v>1</v>
      </c>
      <c r="AC46" s="1561">
        <f t="shared" si="5"/>
        <v>1</v>
      </c>
    </row>
    <row r="47" spans="1:29" ht="15">
      <c r="A47" s="607" t="s">
        <v>735</v>
      </c>
      <c r="B47" s="887"/>
      <c r="C47" s="2590" t="s">
        <v>1</v>
      </c>
      <c r="D47" s="2591"/>
      <c r="E47" s="2592"/>
      <c r="F47" s="2593"/>
      <c r="G47" s="2594"/>
      <c r="H47" s="2595"/>
      <c r="I47" s="2592"/>
      <c r="J47" s="2595"/>
      <c r="K47" s="1595"/>
      <c r="L47" s="2128"/>
      <c r="M47" s="2129"/>
      <c r="N47" s="2118"/>
      <c r="O47" s="2129"/>
      <c r="P47" s="3408" t="str">
        <f>A47</f>
        <v>成交单价（元/平方米）</v>
      </c>
      <c r="Q47" s="3408"/>
      <c r="R47" s="3514">
        <f>E47</f>
        <v>0</v>
      </c>
      <c r="S47" s="3514"/>
      <c r="T47" s="3514">
        <f>G47</f>
        <v>0</v>
      </c>
      <c r="U47" s="3514"/>
      <c r="V47" s="3514">
        <f>I47</f>
        <v>0</v>
      </c>
      <c r="W47" s="3514"/>
      <c r="X47" s="1544"/>
      <c r="Y47" s="1566"/>
      <c r="Z47" s="1544"/>
      <c r="AA47" s="1544"/>
      <c r="AB47" s="1544"/>
      <c r="AC47" s="1544"/>
    </row>
    <row r="48" spans="1:29" ht="15.75" thickBot="1">
      <c r="A48" s="615" t="s">
        <v>2758</v>
      </c>
      <c r="B48" s="888"/>
      <c r="C48" s="2596" t="e">
        <f>R49</f>
        <v>#DIV/0!</v>
      </c>
      <c r="D48" s="2597"/>
      <c r="E48" s="2598" t="e">
        <f>R48</f>
        <v>#DIV/0!</v>
      </c>
      <c r="F48" s="2598"/>
      <c r="G48" s="2596" t="e">
        <f>T48</f>
        <v>#DIV/0!</v>
      </c>
      <c r="H48" s="2597"/>
      <c r="I48" s="2598" t="e">
        <f>V48</f>
        <v>#DIV/0!</v>
      </c>
      <c r="J48" s="2597"/>
      <c r="K48" s="1596"/>
      <c r="L48" s="2128"/>
      <c r="M48" s="2129"/>
      <c r="N48" s="2118"/>
      <c r="O48" s="2129"/>
      <c r="P48" s="3408" t="str">
        <f>A48</f>
        <v>比较价格（元/平方米）</v>
      </c>
      <c r="Q48" s="3408"/>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1544"/>
      <c r="Y48" s="1544"/>
      <c r="Z48" s="1544"/>
      <c r="AA48" s="1544"/>
      <c r="AB48" s="1544"/>
      <c r="AC48" s="1544"/>
    </row>
    <row r="49" spans="1:29" ht="15.75" thickBot="1">
      <c r="A49" s="621" t="s">
        <v>2925</v>
      </c>
      <c r="B49" s="622"/>
      <c r="C49" s="2599" t="e">
        <f>R49</f>
        <v>#DIV/0!</v>
      </c>
      <c r="D49" s="2599"/>
      <c r="E49" s="2599"/>
      <c r="F49" s="2599"/>
      <c r="G49" s="2599"/>
      <c r="H49" s="2599"/>
      <c r="I49" s="2599"/>
      <c r="J49" s="2599"/>
      <c r="K49" s="1597"/>
      <c r="L49" s="2128"/>
      <c r="M49" s="2129"/>
      <c r="N49" s="2118"/>
      <c r="O49" s="2129"/>
      <c r="P49" s="3429" t="str">
        <f>A49</f>
        <v>估价对象XX用房的比较价格（楼面单价，元/平方米）</v>
      </c>
      <c r="Q49" s="3430"/>
      <c r="R49" s="3513" t="e">
        <f>IF(F1="售价",ROUND(AVERAGE(R48:V48),0),ROUND(AVERAGE(R48:V48),1))</f>
        <v>#DIV/0!</v>
      </c>
      <c r="S49" s="3513"/>
      <c r="T49" s="3513"/>
      <c r="U49" s="3513"/>
      <c r="V49" s="3513"/>
      <c r="W49" s="3513"/>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5">
      <c r="A58" s="645" t="s">
        <v>528</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ht="15">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7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5">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5.75"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5.75"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5.75"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5.75"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5.75"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5.75"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5.75"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5.75"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7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7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7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7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5.75"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5.75"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5.75"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5.75"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5.75"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5.75"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5.75"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5.75"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5.75"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5.75"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5.75"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5.75"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5"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5.75"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5"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5.75"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5"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5.75"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2205"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776</v>
      </c>
      <c r="C1" s="504" t="s">
        <v>719</v>
      </c>
      <c r="D1" s="849"/>
      <c r="E1" s="506"/>
      <c r="F1" s="2761"/>
      <c r="G1" s="1585" t="s">
        <v>720</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512" t="s">
        <v>520</v>
      </c>
      <c r="B4" s="513"/>
      <c r="C4" s="3414" t="s">
        <v>521</v>
      </c>
      <c r="D4" s="3415"/>
      <c r="E4" s="3438" t="s">
        <v>522</v>
      </c>
      <c r="F4" s="3439"/>
      <c r="G4" s="3414" t="s">
        <v>523</v>
      </c>
      <c r="H4" s="3415"/>
      <c r="I4" s="3414" t="s">
        <v>524</v>
      </c>
      <c r="J4" s="3415"/>
      <c r="K4" s="514" t="s">
        <v>525</v>
      </c>
      <c r="L4" s="2117"/>
      <c r="M4" s="2118"/>
      <c r="N4" s="2118"/>
      <c r="O4" s="2118"/>
      <c r="P4" s="3516" t="s">
        <v>526</v>
      </c>
      <c r="Q4" s="3417"/>
      <c r="R4" s="3402" t="s">
        <v>522</v>
      </c>
      <c r="S4" s="3403"/>
      <c r="T4" s="3402" t="s">
        <v>523</v>
      </c>
      <c r="U4" s="3403"/>
      <c r="V4" s="3422" t="s">
        <v>524</v>
      </c>
      <c r="W4" s="3422"/>
      <c r="X4" s="1552"/>
      <c r="Y4" s="3402" t="s">
        <v>526</v>
      </c>
      <c r="Z4" s="3403"/>
      <c r="AA4" s="3397" t="s">
        <v>522</v>
      </c>
      <c r="AB4" s="3397" t="s">
        <v>523</v>
      </c>
      <c r="AC4" s="3397" t="s">
        <v>524</v>
      </c>
    </row>
    <row r="5" spans="1:29" ht="15">
      <c r="A5" s="515"/>
      <c r="B5" s="516"/>
      <c r="C5" s="3425" t="s">
        <v>2919</v>
      </c>
      <c r="D5" s="3426"/>
      <c r="E5" s="3440" t="s">
        <v>2920</v>
      </c>
      <c r="F5" s="3441"/>
      <c r="G5" s="3425" t="s">
        <v>2921</v>
      </c>
      <c r="H5" s="3426"/>
      <c r="I5" s="3425" t="s">
        <v>2922</v>
      </c>
      <c r="J5" s="3426"/>
      <c r="K5" s="514"/>
      <c r="L5" s="2117"/>
      <c r="M5" s="2118"/>
      <c r="N5" s="2118"/>
      <c r="O5" s="2118"/>
      <c r="P5" s="3517"/>
      <c r="Q5" s="3419"/>
      <c r="R5" s="3404"/>
      <c r="S5" s="3405"/>
      <c r="T5" s="3404"/>
      <c r="U5" s="3405"/>
      <c r="V5" s="3422"/>
      <c r="W5" s="3422"/>
      <c r="X5" s="1552"/>
      <c r="Y5" s="3404"/>
      <c r="Z5" s="3405"/>
      <c r="AA5" s="3398"/>
      <c r="AB5" s="3398"/>
      <c r="AC5" s="3398"/>
    </row>
    <row r="6" spans="1:29" ht="15.75" thickBot="1">
      <c r="A6" s="517"/>
      <c r="B6" s="518"/>
      <c r="C6" s="3423" t="s">
        <v>2923</v>
      </c>
      <c r="D6" s="3424"/>
      <c r="E6" s="3442" t="s">
        <v>2923</v>
      </c>
      <c r="F6" s="3443"/>
      <c r="G6" s="3423" t="s">
        <v>2923</v>
      </c>
      <c r="H6" s="3424"/>
      <c r="I6" s="3423" t="s">
        <v>2923</v>
      </c>
      <c r="J6" s="3424"/>
      <c r="K6" s="514" t="s">
        <v>527</v>
      </c>
      <c r="L6" s="2117"/>
      <c r="M6" s="2118"/>
      <c r="N6" s="2118"/>
      <c r="O6" s="2118"/>
      <c r="P6" s="3518"/>
      <c r="Q6" s="3421"/>
      <c r="R6" s="3404"/>
      <c r="S6" s="3405"/>
      <c r="T6" s="3406"/>
      <c r="U6" s="3407"/>
      <c r="V6" s="3422"/>
      <c r="W6" s="3422"/>
      <c r="X6" s="1552"/>
      <c r="Y6" s="3406"/>
      <c r="Z6" s="3407"/>
      <c r="AA6" s="3399"/>
      <c r="AB6" s="3399"/>
      <c r="AC6" s="3399"/>
    </row>
    <row r="7" spans="1:29" s="1216" customFormat="1" ht="15.75" thickBot="1">
      <c r="A7" s="2866"/>
      <c r="B7" s="2873"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09" t="s">
        <v>529</v>
      </c>
      <c r="Q7" s="3409"/>
      <c r="R7" s="1553" t="s">
        <v>8</v>
      </c>
      <c r="S7" s="1554">
        <f t="shared" ref="S7:S15" si="0">F7</f>
        <v>0</v>
      </c>
      <c r="T7" s="1553" t="s">
        <v>8</v>
      </c>
      <c r="U7" s="1554">
        <f t="shared" ref="U7:U15" si="1">H7</f>
        <v>0</v>
      </c>
      <c r="V7" s="1553" t="s">
        <v>8</v>
      </c>
      <c r="W7" s="1554">
        <f t="shared" ref="W7:W15" si="2">J7</f>
        <v>0</v>
      </c>
      <c r="X7" s="1555"/>
      <c r="Y7" s="3400" t="s">
        <v>529</v>
      </c>
      <c r="Z7" s="3401"/>
      <c r="AA7" s="1556" t="e">
        <f>D7/F7</f>
        <v>#DIV/0!</v>
      </c>
      <c r="AB7" s="1556" t="e">
        <f>D7/H7</f>
        <v>#DIV/0!</v>
      </c>
      <c r="AC7" s="1556" t="e">
        <f>D7/J7</f>
        <v>#DIV/0!</v>
      </c>
    </row>
    <row r="8" spans="1:29" s="1216" customFormat="1" ht="15.7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09" t="s">
        <v>532</v>
      </c>
      <c r="Q8" s="3401"/>
      <c r="R8" s="1553" t="s">
        <v>8</v>
      </c>
      <c r="S8" s="1554">
        <f t="shared" si="0"/>
        <v>0</v>
      </c>
      <c r="T8" s="1553" t="s">
        <v>8</v>
      </c>
      <c r="U8" s="1554">
        <f t="shared" si="1"/>
        <v>0</v>
      </c>
      <c r="V8" s="1553" t="s">
        <v>8</v>
      </c>
      <c r="W8" s="1554">
        <f t="shared" si="2"/>
        <v>0</v>
      </c>
      <c r="X8" s="1555"/>
      <c r="Y8" s="3400" t="s">
        <v>532</v>
      </c>
      <c r="Z8" s="3401"/>
      <c r="AA8" s="1556" t="e">
        <f t="shared" ref="AA8:AA47" si="3">D8/F8</f>
        <v>#DIV/0!</v>
      </c>
      <c r="AB8" s="1556" t="e">
        <f t="shared" ref="AB8:AB47" si="4">D8/H8</f>
        <v>#DIV/0!</v>
      </c>
      <c r="AC8" s="1556" t="e">
        <f t="shared" ref="AC8:AC47" si="5">D8/J8</f>
        <v>#DIV/0!</v>
      </c>
    </row>
    <row r="9" spans="1:29" s="1216" customFormat="1" ht="15">
      <c r="A9" s="2868"/>
      <c r="B9" s="2875" t="s">
        <v>2754</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408" t="s">
        <v>534</v>
      </c>
      <c r="Q9" s="1147" t="str">
        <f t="shared" ref="Q9:Q15" si="6">B9</f>
        <v>用途</v>
      </c>
      <c r="R9" s="1553" t="s">
        <v>8</v>
      </c>
      <c r="S9" s="1554">
        <f t="shared" si="0"/>
        <v>100</v>
      </c>
      <c r="T9" s="1553" t="s">
        <v>8</v>
      </c>
      <c r="U9" s="1554">
        <f t="shared" si="1"/>
        <v>100</v>
      </c>
      <c r="V9" s="1553" t="s">
        <v>8</v>
      </c>
      <c r="W9" s="1554">
        <f t="shared" si="2"/>
        <v>100</v>
      </c>
      <c r="X9" s="1555"/>
      <c r="Y9" s="3365"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408"/>
      <c r="Q11" s="1147" t="str">
        <f t="shared" si="6"/>
        <v>容积率</v>
      </c>
      <c r="R11" s="1553" t="s">
        <v>8</v>
      </c>
      <c r="S11" s="1554" t="e">
        <f t="shared" si="0"/>
        <v>#N/A</v>
      </c>
      <c r="T11" s="1553" t="s">
        <v>8</v>
      </c>
      <c r="U11" s="1554" t="e">
        <f t="shared" si="1"/>
        <v>#N/A</v>
      </c>
      <c r="V11" s="1553" t="s">
        <v>8</v>
      </c>
      <c r="W11" s="1554" t="e">
        <f t="shared" si="2"/>
        <v>#N/A</v>
      </c>
      <c r="X11" s="1555"/>
      <c r="Y11" s="3365"/>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408"/>
      <c r="Q12" s="1147">
        <f t="shared" si="6"/>
        <v>111</v>
      </c>
      <c r="R12" s="1553" t="s">
        <v>8</v>
      </c>
      <c r="S12" s="1554">
        <f t="shared" si="0"/>
        <v>100</v>
      </c>
      <c r="T12" s="1553" t="s">
        <v>8</v>
      </c>
      <c r="U12" s="1554">
        <f t="shared" si="1"/>
        <v>100</v>
      </c>
      <c r="V12" s="1553" t="s">
        <v>8</v>
      </c>
      <c r="W12" s="1554">
        <f t="shared" si="2"/>
        <v>100</v>
      </c>
      <c r="X12" s="1555"/>
      <c r="Y12" s="3365"/>
      <c r="Z12" s="1146">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408"/>
      <c r="Q13" s="1147">
        <f t="shared" si="6"/>
        <v>111</v>
      </c>
      <c r="R13" s="1553" t="s">
        <v>8</v>
      </c>
      <c r="S13" s="1554">
        <f t="shared" si="0"/>
        <v>100</v>
      </c>
      <c r="T13" s="1553" t="s">
        <v>8</v>
      </c>
      <c r="U13" s="1554">
        <f t="shared" si="1"/>
        <v>100</v>
      </c>
      <c r="V13" s="1553" t="s">
        <v>8</v>
      </c>
      <c r="W13" s="1554">
        <f t="shared" si="2"/>
        <v>100</v>
      </c>
      <c r="X13" s="1555"/>
      <c r="Y13" s="3365"/>
      <c r="Z13" s="1146">
        <f t="shared" si="7"/>
        <v>111</v>
      </c>
      <c r="AA13" s="1556">
        <f t="shared" si="3"/>
        <v>1</v>
      </c>
      <c r="AB13" s="1556">
        <f t="shared" si="4"/>
        <v>1</v>
      </c>
      <c r="AC13" s="1556">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408"/>
      <c r="Q14" s="1147">
        <f t="shared" si="6"/>
        <v>111</v>
      </c>
      <c r="R14" s="1553" t="s">
        <v>8</v>
      </c>
      <c r="S14" s="1554">
        <f t="shared" si="0"/>
        <v>100</v>
      </c>
      <c r="T14" s="1553" t="s">
        <v>8</v>
      </c>
      <c r="U14" s="1554">
        <f t="shared" si="1"/>
        <v>100</v>
      </c>
      <c r="V14" s="1553" t="s">
        <v>8</v>
      </c>
      <c r="W14" s="1554">
        <f t="shared" si="2"/>
        <v>100</v>
      </c>
      <c r="X14" s="1555"/>
      <c r="Y14" s="3365"/>
      <c r="Z14" s="1146">
        <f t="shared" si="7"/>
        <v>111</v>
      </c>
      <c r="AA14" s="1556">
        <f t="shared" si="3"/>
        <v>1</v>
      </c>
      <c r="AB14" s="1556">
        <f t="shared" si="4"/>
        <v>1</v>
      </c>
      <c r="AC14" s="1556">
        <f t="shared" si="5"/>
        <v>1</v>
      </c>
    </row>
    <row r="15" spans="1:29" ht="15">
      <c r="A15" s="2864"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10" t="s">
        <v>539</v>
      </c>
      <c r="Q15" s="1557" t="str">
        <f t="shared" si="6"/>
        <v>办公集聚程度</v>
      </c>
      <c r="R15" s="1558" t="s">
        <v>8</v>
      </c>
      <c r="S15" s="1559">
        <f t="shared" si="0"/>
        <v>100</v>
      </c>
      <c r="T15" s="1558" t="s">
        <v>8</v>
      </c>
      <c r="U15" s="1559">
        <f t="shared" si="1"/>
        <v>100</v>
      </c>
      <c r="V15" s="1558" t="s">
        <v>8</v>
      </c>
      <c r="W15" s="1559">
        <f t="shared" si="2"/>
        <v>100</v>
      </c>
      <c r="X15" s="1552"/>
      <c r="Y15" s="3410" t="s">
        <v>539</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9"/>
      <c r="L16" s="2126"/>
      <c r="M16" s="2118"/>
      <c r="N16" s="2118"/>
      <c r="O16" s="2118"/>
      <c r="P16" s="3411"/>
      <c r="Q16" s="1557"/>
      <c r="R16" s="1558"/>
      <c r="S16" s="1559"/>
      <c r="T16" s="1558"/>
      <c r="U16" s="1559"/>
      <c r="V16" s="1558"/>
      <c r="W16" s="1559"/>
      <c r="X16" s="1552"/>
      <c r="Y16" s="3411"/>
      <c r="Z16" s="1560"/>
      <c r="AA16" s="1561">
        <v>1</v>
      </c>
      <c r="AB16" s="1561">
        <v>1</v>
      </c>
      <c r="AC16" s="1561">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11"/>
      <c r="Q17" s="1557" t="str">
        <f>B17</f>
        <v>交通便捷度</v>
      </c>
      <c r="R17" s="1558" t="s">
        <v>8</v>
      </c>
      <c r="S17" s="1559">
        <f>F17</f>
        <v>100</v>
      </c>
      <c r="T17" s="1558" t="s">
        <v>8</v>
      </c>
      <c r="U17" s="1559">
        <f>H17</f>
        <v>100</v>
      </c>
      <c r="V17" s="1558" t="s">
        <v>8</v>
      </c>
      <c r="W17" s="1559">
        <f>J17</f>
        <v>100</v>
      </c>
      <c r="X17" s="1552"/>
      <c r="Y17" s="3411"/>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9"/>
      <c r="L18" s="2126"/>
      <c r="M18" s="2118"/>
      <c r="N18" s="2118"/>
      <c r="O18" s="2118"/>
      <c r="P18" s="3411"/>
      <c r="Q18" s="1557"/>
      <c r="R18" s="1558"/>
      <c r="S18" s="1559"/>
      <c r="T18" s="1558"/>
      <c r="U18" s="1559"/>
      <c r="V18" s="1558"/>
      <c r="W18" s="1559"/>
      <c r="X18" s="1552"/>
      <c r="Y18" s="3411"/>
      <c r="Z18" s="1560"/>
      <c r="AA18" s="1561">
        <v>1</v>
      </c>
      <c r="AB18" s="1561">
        <v>1</v>
      </c>
      <c r="AC18" s="1561">
        <v>1</v>
      </c>
    </row>
    <row r="19" spans="1:29" ht="15">
      <c r="A19" s="532"/>
      <c r="B19" s="2566" t="s">
        <v>2544</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11"/>
      <c r="Q19" s="1557" t="str">
        <f>B19</f>
        <v>公共配套设施</v>
      </c>
      <c r="R19" s="1558" t="s">
        <v>8</v>
      </c>
      <c r="S19" s="1559">
        <f>F19</f>
        <v>100</v>
      </c>
      <c r="T19" s="1558" t="s">
        <v>8</v>
      </c>
      <c r="U19" s="1559">
        <f>H19</f>
        <v>100</v>
      </c>
      <c r="V19" s="1558" t="s">
        <v>8</v>
      </c>
      <c r="W19" s="1559">
        <f>J19</f>
        <v>100</v>
      </c>
      <c r="X19" s="1552"/>
      <c r="Y19" s="3411"/>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9"/>
      <c r="L20" s="2126"/>
      <c r="M20" s="2118"/>
      <c r="N20" s="2118"/>
      <c r="O20" s="2118"/>
      <c r="P20" s="3411"/>
      <c r="Q20" s="1557"/>
      <c r="R20" s="1558"/>
      <c r="S20" s="1559"/>
      <c r="T20" s="1558"/>
      <c r="U20" s="1559"/>
      <c r="V20" s="1558"/>
      <c r="W20" s="1559"/>
      <c r="X20" s="1552"/>
      <c r="Y20" s="3411"/>
      <c r="Z20" s="1560"/>
      <c r="AA20" s="1561">
        <v>1</v>
      </c>
      <c r="AB20" s="1561">
        <v>1</v>
      </c>
      <c r="AC20" s="1561">
        <v>1</v>
      </c>
    </row>
    <row r="21" spans="1:29" ht="15">
      <c r="A21" s="532"/>
      <c r="B21" s="2554" t="s">
        <v>2556</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11"/>
      <c r="Q21" s="2542" t="str">
        <f>B21</f>
        <v>基础设施水平</v>
      </c>
      <c r="R21" s="1558" t="s">
        <v>8</v>
      </c>
      <c r="S21" s="1559">
        <f>F21</f>
        <v>100</v>
      </c>
      <c r="T21" s="1558" t="s">
        <v>8</v>
      </c>
      <c r="U21" s="1559">
        <f>H21</f>
        <v>100</v>
      </c>
      <c r="V21" s="1558" t="s">
        <v>8</v>
      </c>
      <c r="W21" s="1559">
        <f>J21</f>
        <v>100</v>
      </c>
      <c r="X21" s="2544"/>
      <c r="Y21" s="3411"/>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11"/>
      <c r="Q22" s="2542"/>
      <c r="R22" s="1558"/>
      <c r="S22" s="1559"/>
      <c r="T22" s="1558"/>
      <c r="U22" s="1559"/>
      <c r="V22" s="1558"/>
      <c r="W22" s="1559"/>
      <c r="X22" s="2544"/>
      <c r="Y22" s="3411"/>
      <c r="Z22" s="2543"/>
      <c r="AA22" s="1561">
        <v>1</v>
      </c>
      <c r="AB22" s="1561">
        <v>1</v>
      </c>
      <c r="AC22" s="1561">
        <v>1</v>
      </c>
    </row>
    <row r="23" spans="1:29" ht="15">
      <c r="A23" s="532"/>
      <c r="B23" s="560" t="s">
        <v>777</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11"/>
      <c r="Q23" s="1557" t="str">
        <f>B23</f>
        <v>环境质量</v>
      </c>
      <c r="R23" s="1558" t="s">
        <v>8</v>
      </c>
      <c r="S23" s="1559">
        <f>F23</f>
        <v>100</v>
      </c>
      <c r="T23" s="1558" t="s">
        <v>8</v>
      </c>
      <c r="U23" s="1559">
        <f>H23</f>
        <v>100</v>
      </c>
      <c r="V23" s="1558" t="s">
        <v>8</v>
      </c>
      <c r="W23" s="1559">
        <f>J23</f>
        <v>100</v>
      </c>
      <c r="X23" s="1552"/>
      <c r="Y23" s="3411"/>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9"/>
      <c r="L24" s="2126"/>
      <c r="M24" s="2118"/>
      <c r="N24" s="2118"/>
      <c r="O24" s="2118"/>
      <c r="P24" s="3411"/>
      <c r="Q24" s="1557"/>
      <c r="R24" s="1558"/>
      <c r="S24" s="1559"/>
      <c r="T24" s="1558"/>
      <c r="U24" s="1559"/>
      <c r="V24" s="1558"/>
      <c r="W24" s="1559"/>
      <c r="X24" s="1552"/>
      <c r="Y24" s="3411"/>
      <c r="Z24" s="1560"/>
      <c r="AA24" s="1561">
        <v>1</v>
      </c>
      <c r="AB24" s="1561">
        <v>1</v>
      </c>
      <c r="AC24" s="1561">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11"/>
      <c r="Q25" s="1557" t="str">
        <f>B25</f>
        <v>毗邻道路的类型与等级</v>
      </c>
      <c r="R25" s="1558" t="s">
        <v>8</v>
      </c>
      <c r="S25" s="1559">
        <f>F25</f>
        <v>100</v>
      </c>
      <c r="T25" s="1558" t="s">
        <v>8</v>
      </c>
      <c r="U25" s="1559">
        <f>H25</f>
        <v>100</v>
      </c>
      <c r="V25" s="1558" t="s">
        <v>8</v>
      </c>
      <c r="W25" s="1559">
        <f>J25</f>
        <v>100</v>
      </c>
      <c r="X25" s="1552"/>
      <c r="Y25" s="3411"/>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9"/>
      <c r="L26" s="2126"/>
      <c r="M26" s="2118"/>
      <c r="N26" s="2118"/>
      <c r="O26" s="2118"/>
      <c r="P26" s="3411"/>
      <c r="Q26" s="1557"/>
      <c r="R26" s="1558"/>
      <c r="S26" s="1559"/>
      <c r="T26" s="1558"/>
      <c r="U26" s="1559"/>
      <c r="V26" s="1558"/>
      <c r="W26" s="1559"/>
      <c r="X26" s="1552"/>
      <c r="Y26" s="3411"/>
      <c r="Z26" s="1560"/>
      <c r="AA26" s="1561">
        <v>1</v>
      </c>
      <c r="AB26" s="1561">
        <v>1</v>
      </c>
      <c r="AC26" s="1561">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11"/>
      <c r="Q27" s="1557" t="str">
        <f t="shared" ref="Q27:Q47" si="11">B27</f>
        <v>楼层</v>
      </c>
      <c r="R27" s="1558" t="s">
        <v>8</v>
      </c>
      <c r="S27" s="1559">
        <f>F27</f>
        <v>100</v>
      </c>
      <c r="T27" s="1558" t="s">
        <v>8</v>
      </c>
      <c r="U27" s="1559">
        <f>H27</f>
        <v>100</v>
      </c>
      <c r="V27" s="1558" t="s">
        <v>8</v>
      </c>
      <c r="W27" s="1559">
        <f>J27</f>
        <v>100</v>
      </c>
      <c r="X27" s="1552"/>
      <c r="Y27" s="3411"/>
      <c r="Z27" s="1560" t="str">
        <f>Q27</f>
        <v>楼层</v>
      </c>
      <c r="AA27" s="1561">
        <f t="shared" si="3"/>
        <v>1</v>
      </c>
      <c r="AB27" s="1561">
        <f t="shared" si="4"/>
        <v>1</v>
      </c>
      <c r="AC27" s="1561">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11"/>
      <c r="Q28" s="1147" t="str">
        <f t="shared" si="11"/>
        <v>朝向</v>
      </c>
      <c r="R28" s="1553" t="s">
        <v>8</v>
      </c>
      <c r="S28" s="1554">
        <f>F28</f>
        <v>100</v>
      </c>
      <c r="T28" s="1553" t="s">
        <v>8</v>
      </c>
      <c r="U28" s="1554">
        <f>H28</f>
        <v>100</v>
      </c>
      <c r="V28" s="1553" t="s">
        <v>8</v>
      </c>
      <c r="W28" s="1554">
        <f>J28</f>
        <v>100</v>
      </c>
      <c r="X28" s="1555"/>
      <c r="Y28" s="3411"/>
      <c r="Z28" s="1146" t="str">
        <f>Q28</f>
        <v>朝向</v>
      </c>
      <c r="AA28" s="1561">
        <f>D28/F28</f>
        <v>1</v>
      </c>
      <c r="AB28" s="1561">
        <f>D28/H28</f>
        <v>1</v>
      </c>
      <c r="AC28" s="1561">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11"/>
      <c r="Q29" s="1557">
        <f t="shared" si="11"/>
        <v>111</v>
      </c>
      <c r="R29" s="1558" t="s">
        <v>8</v>
      </c>
      <c r="S29" s="1559">
        <f t="shared" ref="S29:S47" si="12">F29</f>
        <v>100</v>
      </c>
      <c r="T29" s="1558" t="s">
        <v>8</v>
      </c>
      <c r="U29" s="1559">
        <f t="shared" ref="U29:U47" si="13">H29</f>
        <v>100</v>
      </c>
      <c r="V29" s="1558" t="s">
        <v>8</v>
      </c>
      <c r="W29" s="1559">
        <f t="shared" ref="W29:W47" si="14">J29</f>
        <v>100</v>
      </c>
      <c r="X29" s="1552"/>
      <c r="Y29" s="3411"/>
      <c r="Z29" s="1560">
        <f t="shared" ref="Z29:Z47" si="15">Q29</f>
        <v>111</v>
      </c>
      <c r="AA29" s="1561">
        <f t="shared" si="3"/>
        <v>1</v>
      </c>
      <c r="AB29" s="1561">
        <f t="shared" si="4"/>
        <v>1</v>
      </c>
      <c r="AC29" s="1561">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11"/>
      <c r="Q30" s="1557">
        <f t="shared" si="11"/>
        <v>111</v>
      </c>
      <c r="R30" s="1558" t="s">
        <v>8</v>
      </c>
      <c r="S30" s="1559">
        <f t="shared" si="12"/>
        <v>100</v>
      </c>
      <c r="T30" s="1558" t="s">
        <v>8</v>
      </c>
      <c r="U30" s="1559">
        <f t="shared" si="13"/>
        <v>100</v>
      </c>
      <c r="V30" s="1558" t="s">
        <v>8</v>
      </c>
      <c r="W30" s="1559">
        <f t="shared" si="14"/>
        <v>100</v>
      </c>
      <c r="X30" s="1552"/>
      <c r="Y30" s="3411"/>
      <c r="Z30" s="1560">
        <f t="shared" si="15"/>
        <v>111</v>
      </c>
      <c r="AA30" s="1561">
        <f t="shared" si="3"/>
        <v>1</v>
      </c>
      <c r="AB30" s="1561">
        <f t="shared" si="4"/>
        <v>1</v>
      </c>
      <c r="AC30" s="1561">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11"/>
      <c r="Q31" s="1557">
        <f t="shared" si="11"/>
        <v>111</v>
      </c>
      <c r="R31" s="1558" t="s">
        <v>8</v>
      </c>
      <c r="S31" s="1559">
        <f t="shared" si="12"/>
        <v>100</v>
      </c>
      <c r="T31" s="1558" t="s">
        <v>8</v>
      </c>
      <c r="U31" s="1559">
        <f t="shared" si="13"/>
        <v>100</v>
      </c>
      <c r="V31" s="1558" t="s">
        <v>8</v>
      </c>
      <c r="W31" s="1559">
        <f t="shared" si="14"/>
        <v>100</v>
      </c>
      <c r="X31" s="1552"/>
      <c r="Y31" s="3411"/>
      <c r="Z31" s="1560">
        <f t="shared" si="15"/>
        <v>111</v>
      </c>
      <c r="AA31" s="1561">
        <f t="shared" si="3"/>
        <v>1</v>
      </c>
      <c r="AB31" s="1561">
        <f t="shared" si="4"/>
        <v>1</v>
      </c>
      <c r="AC31" s="1561">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11"/>
      <c r="Q32" s="1557">
        <f t="shared" si="11"/>
        <v>111</v>
      </c>
      <c r="R32" s="1558" t="s">
        <v>8</v>
      </c>
      <c r="S32" s="1559">
        <f t="shared" si="12"/>
        <v>100</v>
      </c>
      <c r="T32" s="1558" t="s">
        <v>8</v>
      </c>
      <c r="U32" s="1559">
        <f t="shared" si="13"/>
        <v>100</v>
      </c>
      <c r="V32" s="1558" t="s">
        <v>8</v>
      </c>
      <c r="W32" s="1559">
        <f t="shared" si="14"/>
        <v>100</v>
      </c>
      <c r="X32" s="1552"/>
      <c r="Y32" s="3411"/>
      <c r="Z32" s="1560">
        <f t="shared" si="15"/>
        <v>111</v>
      </c>
      <c r="AA32" s="1561">
        <f t="shared" si="3"/>
        <v>1</v>
      </c>
      <c r="AB32" s="1561">
        <f t="shared" si="4"/>
        <v>1</v>
      </c>
      <c r="AC32" s="1561">
        <f t="shared" si="5"/>
        <v>1</v>
      </c>
    </row>
    <row r="33" spans="1:29" ht="15">
      <c r="A33" s="2861"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12" t="s">
        <v>549</v>
      </c>
      <c r="Q33" s="1557" t="str">
        <f t="shared" si="11"/>
        <v>建筑类型</v>
      </c>
      <c r="R33" s="1558" t="s">
        <v>8</v>
      </c>
      <c r="S33" s="1559">
        <f t="shared" si="12"/>
        <v>100</v>
      </c>
      <c r="T33" s="1558" t="s">
        <v>8</v>
      </c>
      <c r="U33" s="1559">
        <f t="shared" si="13"/>
        <v>100</v>
      </c>
      <c r="V33" s="1558" t="s">
        <v>8</v>
      </c>
      <c r="W33" s="1559">
        <f t="shared" si="14"/>
        <v>100</v>
      </c>
      <c r="X33" s="1552"/>
      <c r="Y33" s="3413" t="s">
        <v>549</v>
      </c>
      <c r="Z33" s="1560" t="str">
        <f t="shared" si="15"/>
        <v>建筑类型</v>
      </c>
      <c r="AA33" s="1561">
        <f t="shared" si="3"/>
        <v>1</v>
      </c>
      <c r="AB33" s="1561">
        <f t="shared" si="4"/>
        <v>1</v>
      </c>
      <c r="AC33" s="1561">
        <f t="shared" si="5"/>
        <v>1</v>
      </c>
    </row>
    <row r="34" spans="1:29" s="1333"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13"/>
      <c r="Q34" s="1589" t="str">
        <f t="shared" si="11"/>
        <v>项目建筑规模</v>
      </c>
      <c r="R34" s="1562" t="s">
        <v>8</v>
      </c>
      <c r="S34" s="1563" t="e">
        <f t="shared" si="12"/>
        <v>#N/A</v>
      </c>
      <c r="T34" s="1562" t="s">
        <v>8</v>
      </c>
      <c r="U34" s="1563" t="e">
        <f t="shared" si="13"/>
        <v>#N/A</v>
      </c>
      <c r="V34" s="1562" t="s">
        <v>8</v>
      </c>
      <c r="W34" s="1563" t="e">
        <f t="shared" si="14"/>
        <v>#N/A</v>
      </c>
      <c r="X34" s="1564"/>
      <c r="Y34" s="3413"/>
      <c r="Z34" s="1565" t="str">
        <f t="shared" si="15"/>
        <v>项目建筑规模</v>
      </c>
      <c r="AA34" s="1561" t="e">
        <f t="shared" si="3"/>
        <v>#N/A</v>
      </c>
      <c r="AB34" s="1561" t="e">
        <f t="shared" si="4"/>
        <v>#N/A</v>
      </c>
      <c r="AC34" s="1561"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13"/>
      <c r="Q35" s="1557" t="str">
        <f t="shared" si="11"/>
        <v>建筑结构</v>
      </c>
      <c r="R35" s="1558" t="s">
        <v>8</v>
      </c>
      <c r="S35" s="1559">
        <f t="shared" si="12"/>
        <v>100</v>
      </c>
      <c r="T35" s="1558" t="s">
        <v>8</v>
      </c>
      <c r="U35" s="1559">
        <f t="shared" si="13"/>
        <v>100</v>
      </c>
      <c r="V35" s="1558" t="s">
        <v>8</v>
      </c>
      <c r="W35" s="1559">
        <f t="shared" si="14"/>
        <v>100</v>
      </c>
      <c r="X35" s="1552"/>
      <c r="Y35" s="3413"/>
      <c r="Z35" s="1560" t="str">
        <f t="shared" si="15"/>
        <v>建筑结构</v>
      </c>
      <c r="AA35" s="1561">
        <f t="shared" si="3"/>
        <v>1</v>
      </c>
      <c r="AB35" s="1561">
        <f t="shared" si="4"/>
        <v>1</v>
      </c>
      <c r="AC35" s="1561">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13"/>
      <c r="Q36" s="1557" t="str">
        <f t="shared" si="11"/>
        <v>公共部分装修</v>
      </c>
      <c r="R36" s="1558" t="s">
        <v>8</v>
      </c>
      <c r="S36" s="1559">
        <f t="shared" si="12"/>
        <v>100</v>
      </c>
      <c r="T36" s="1558" t="s">
        <v>8</v>
      </c>
      <c r="U36" s="1559">
        <f t="shared" si="13"/>
        <v>100</v>
      </c>
      <c r="V36" s="1558" t="s">
        <v>8</v>
      </c>
      <c r="W36" s="1559">
        <f t="shared" si="14"/>
        <v>100</v>
      </c>
      <c r="X36" s="1552"/>
      <c r="Y36" s="3413"/>
      <c r="Z36" s="1560" t="str">
        <f t="shared" si="15"/>
        <v>公共部分装修</v>
      </c>
      <c r="AA36" s="1561">
        <f t="shared" si="3"/>
        <v>1</v>
      </c>
      <c r="AB36" s="1561">
        <f t="shared" si="4"/>
        <v>1</v>
      </c>
      <c r="AC36" s="1561">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13"/>
      <c r="Q37" s="1557" t="str">
        <f t="shared" si="11"/>
        <v>成新度</v>
      </c>
      <c r="R37" s="1558" t="s">
        <v>8</v>
      </c>
      <c r="S37" s="1559" t="e">
        <f t="shared" si="12"/>
        <v>#N/A</v>
      </c>
      <c r="T37" s="1558" t="s">
        <v>8</v>
      </c>
      <c r="U37" s="1559" t="e">
        <f t="shared" si="13"/>
        <v>#N/A</v>
      </c>
      <c r="V37" s="1558" t="s">
        <v>8</v>
      </c>
      <c r="W37" s="1559" t="e">
        <f t="shared" si="14"/>
        <v>#N/A</v>
      </c>
      <c r="X37" s="1552"/>
      <c r="Y37" s="3413"/>
      <c r="Z37" s="1560" t="str">
        <f t="shared" si="15"/>
        <v>成新度</v>
      </c>
      <c r="AA37" s="1561" t="e">
        <f t="shared" si="3"/>
        <v>#N/A</v>
      </c>
      <c r="AB37" s="1561" t="e">
        <f t="shared" si="4"/>
        <v>#N/A</v>
      </c>
      <c r="AC37" s="1561"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13"/>
      <c r="Q38" s="1147" t="str">
        <f t="shared" si="11"/>
        <v>写字楼等级</v>
      </c>
      <c r="R38" s="1553" t="s">
        <v>8</v>
      </c>
      <c r="S38" s="1554">
        <f t="shared" si="12"/>
        <v>100</v>
      </c>
      <c r="T38" s="1553" t="s">
        <v>8</v>
      </c>
      <c r="U38" s="1554">
        <f t="shared" si="13"/>
        <v>100</v>
      </c>
      <c r="V38" s="1553" t="s">
        <v>8</v>
      </c>
      <c r="W38" s="1554">
        <f t="shared" si="14"/>
        <v>100</v>
      </c>
      <c r="X38" s="1555"/>
      <c r="Y38" s="3413"/>
      <c r="Z38" s="1146" t="str">
        <f t="shared" si="15"/>
        <v>写字楼等级</v>
      </c>
      <c r="AA38" s="1556">
        <f t="shared" si="3"/>
        <v>1</v>
      </c>
      <c r="AB38" s="1556">
        <f t="shared" si="4"/>
        <v>1</v>
      </c>
      <c r="AC38" s="1556">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13" t="s">
        <v>549</v>
      </c>
      <c r="Q39" s="1557" t="str">
        <f t="shared" si="11"/>
        <v>物业管理</v>
      </c>
      <c r="R39" s="1558" t="s">
        <v>8</v>
      </c>
      <c r="S39" s="1559">
        <f t="shared" si="12"/>
        <v>100</v>
      </c>
      <c r="T39" s="1558" t="s">
        <v>8</v>
      </c>
      <c r="U39" s="1559">
        <f t="shared" si="13"/>
        <v>100</v>
      </c>
      <c r="V39" s="1558" t="s">
        <v>8</v>
      </c>
      <c r="W39" s="1559">
        <f t="shared" si="14"/>
        <v>100</v>
      </c>
      <c r="X39" s="1552"/>
      <c r="Y39" s="3413" t="s">
        <v>549</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13"/>
      <c r="Q40" s="1557" t="str">
        <f t="shared" si="11"/>
        <v>市政基础设施</v>
      </c>
      <c r="R40" s="1558" t="s">
        <v>8</v>
      </c>
      <c r="S40" s="1559">
        <f t="shared" si="12"/>
        <v>100</v>
      </c>
      <c r="T40" s="1558" t="s">
        <v>8</v>
      </c>
      <c r="U40" s="1559">
        <f t="shared" si="13"/>
        <v>100</v>
      </c>
      <c r="V40" s="1558" t="s">
        <v>8</v>
      </c>
      <c r="W40" s="1559">
        <f t="shared" si="14"/>
        <v>100</v>
      </c>
      <c r="X40" s="1552"/>
      <c r="Y40" s="3413"/>
      <c r="Z40" s="1560" t="str">
        <f t="shared" si="15"/>
        <v>市政基础设施</v>
      </c>
      <c r="AA40" s="1561">
        <f t="shared" si="3"/>
        <v>1</v>
      </c>
      <c r="AB40" s="1561">
        <f t="shared" si="4"/>
        <v>1</v>
      </c>
      <c r="AC40" s="1561">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13"/>
      <c r="Q41" s="1557" t="str">
        <f t="shared" si="11"/>
        <v>层高</v>
      </c>
      <c r="R41" s="1558" t="s">
        <v>8</v>
      </c>
      <c r="S41" s="1559">
        <f t="shared" si="12"/>
        <v>100</v>
      </c>
      <c r="T41" s="1558" t="s">
        <v>8</v>
      </c>
      <c r="U41" s="1559">
        <f t="shared" si="13"/>
        <v>100</v>
      </c>
      <c r="V41" s="1558" t="s">
        <v>8</v>
      </c>
      <c r="W41" s="1559">
        <f t="shared" si="14"/>
        <v>100</v>
      </c>
      <c r="X41" s="1552"/>
      <c r="Y41" s="3413"/>
      <c r="Z41" s="1560" t="str">
        <f t="shared" si="15"/>
        <v>层高</v>
      </c>
      <c r="AA41" s="1561">
        <f t="shared" si="3"/>
        <v>1</v>
      </c>
      <c r="AB41" s="1561">
        <f t="shared" si="4"/>
        <v>1</v>
      </c>
      <c r="AC41" s="1561">
        <f t="shared" si="5"/>
        <v>1</v>
      </c>
    </row>
    <row r="42" spans="1:29" s="1333"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13"/>
      <c r="Q42" s="1589" t="str">
        <f t="shared" si="11"/>
        <v>单套建筑面积</v>
      </c>
      <c r="R42" s="1562" t="s">
        <v>8</v>
      </c>
      <c r="S42" s="1563">
        <f t="shared" si="12"/>
        <v>100</v>
      </c>
      <c r="T42" s="1562" t="s">
        <v>8</v>
      </c>
      <c r="U42" s="1563">
        <f t="shared" si="13"/>
        <v>100</v>
      </c>
      <c r="V42" s="1562" t="s">
        <v>8</v>
      </c>
      <c r="W42" s="1563">
        <f t="shared" si="14"/>
        <v>100</v>
      </c>
      <c r="X42" s="1564"/>
      <c r="Y42" s="3413"/>
      <c r="Z42" s="1565" t="str">
        <f t="shared" si="15"/>
        <v>单套建筑面积</v>
      </c>
      <c r="AA42" s="1561">
        <f t="shared" si="3"/>
        <v>1</v>
      </c>
      <c r="AB42" s="1561">
        <f t="shared" si="4"/>
        <v>1</v>
      </c>
      <c r="AC42" s="1561">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13"/>
      <c r="Q43" s="1557" t="str">
        <f t="shared" si="11"/>
        <v>内部装修</v>
      </c>
      <c r="R43" s="1558" t="s">
        <v>8</v>
      </c>
      <c r="S43" s="1559">
        <f t="shared" si="12"/>
        <v>100</v>
      </c>
      <c r="T43" s="1558" t="s">
        <v>8</v>
      </c>
      <c r="U43" s="1559">
        <f t="shared" si="13"/>
        <v>100</v>
      </c>
      <c r="V43" s="1558" t="s">
        <v>8</v>
      </c>
      <c r="W43" s="1559">
        <f t="shared" si="14"/>
        <v>100</v>
      </c>
      <c r="X43" s="1552"/>
      <c r="Y43" s="3413"/>
      <c r="Z43" s="1560" t="str">
        <f t="shared" si="15"/>
        <v>内部装修</v>
      </c>
      <c r="AA43" s="1561">
        <f t="shared" si="3"/>
        <v>1</v>
      </c>
      <c r="AB43" s="1561">
        <f t="shared" si="4"/>
        <v>1</v>
      </c>
      <c r="AC43" s="1561">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13"/>
      <c r="Q44" s="1557" t="str">
        <f t="shared" si="11"/>
        <v>内部装修维护情况</v>
      </c>
      <c r="R44" s="1558" t="s">
        <v>8</v>
      </c>
      <c r="S44" s="1559">
        <f t="shared" si="12"/>
        <v>100</v>
      </c>
      <c r="T44" s="1558" t="s">
        <v>8</v>
      </c>
      <c r="U44" s="1559">
        <f t="shared" si="13"/>
        <v>100</v>
      </c>
      <c r="V44" s="1558" t="s">
        <v>8</v>
      </c>
      <c r="W44" s="1559">
        <f t="shared" si="14"/>
        <v>100</v>
      </c>
      <c r="X44" s="1552"/>
      <c r="Y44" s="3413"/>
      <c r="Z44" s="1560" t="str">
        <f t="shared" si="15"/>
        <v>内部装修维护情况</v>
      </c>
      <c r="AA44" s="1561">
        <f t="shared" si="3"/>
        <v>1</v>
      </c>
      <c r="AB44" s="1561">
        <f t="shared" si="4"/>
        <v>1</v>
      </c>
      <c r="AC44" s="1561">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13"/>
      <c r="Q45" s="1147">
        <f t="shared" si="11"/>
        <v>111</v>
      </c>
      <c r="R45" s="1553" t="s">
        <v>8</v>
      </c>
      <c r="S45" s="1554">
        <f t="shared" si="12"/>
        <v>100</v>
      </c>
      <c r="T45" s="1553" t="s">
        <v>8</v>
      </c>
      <c r="U45" s="1554">
        <f t="shared" si="13"/>
        <v>100</v>
      </c>
      <c r="V45" s="1553" t="s">
        <v>8</v>
      </c>
      <c r="W45" s="1554">
        <f t="shared" si="14"/>
        <v>100</v>
      </c>
      <c r="X45" s="1555"/>
      <c r="Y45" s="3413"/>
      <c r="Z45" s="1146">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13"/>
      <c r="Q46" s="1557">
        <f t="shared" si="11"/>
        <v>111</v>
      </c>
      <c r="R46" s="1558" t="s">
        <v>8</v>
      </c>
      <c r="S46" s="1559">
        <f t="shared" si="12"/>
        <v>100</v>
      </c>
      <c r="T46" s="1558" t="s">
        <v>8</v>
      </c>
      <c r="U46" s="1559">
        <f t="shared" si="13"/>
        <v>100</v>
      </c>
      <c r="V46" s="1558" t="s">
        <v>8</v>
      </c>
      <c r="W46" s="1559">
        <f t="shared" si="14"/>
        <v>100</v>
      </c>
      <c r="X46" s="1552"/>
      <c r="Y46" s="3413"/>
      <c r="Z46" s="1560">
        <f t="shared" si="15"/>
        <v>111</v>
      </c>
      <c r="AA46" s="1561">
        <f t="shared" si="3"/>
        <v>1</v>
      </c>
      <c r="AB46" s="1561">
        <f t="shared" si="4"/>
        <v>1</v>
      </c>
      <c r="AC46" s="1561">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15"/>
      <c r="Q47" s="1557">
        <f t="shared" si="11"/>
        <v>111</v>
      </c>
      <c r="R47" s="1558" t="s">
        <v>8</v>
      </c>
      <c r="S47" s="1559">
        <f t="shared" si="12"/>
        <v>100</v>
      </c>
      <c r="T47" s="1558" t="s">
        <v>8</v>
      </c>
      <c r="U47" s="1559">
        <f t="shared" si="13"/>
        <v>100</v>
      </c>
      <c r="V47" s="1558" t="s">
        <v>8</v>
      </c>
      <c r="W47" s="1559">
        <f t="shared" si="14"/>
        <v>100</v>
      </c>
      <c r="X47" s="1552"/>
      <c r="Y47" s="3515"/>
      <c r="Z47" s="1560">
        <f t="shared" si="15"/>
        <v>111</v>
      </c>
      <c r="AA47" s="1561">
        <f t="shared" si="3"/>
        <v>1</v>
      </c>
      <c r="AB47" s="1561">
        <f t="shared" si="4"/>
        <v>1</v>
      </c>
      <c r="AC47" s="1561">
        <f t="shared" si="5"/>
        <v>1</v>
      </c>
    </row>
    <row r="48" spans="1:29" ht="15">
      <c r="A48" s="607" t="s">
        <v>735</v>
      </c>
      <c r="B48" s="887"/>
      <c r="C48" s="2590" t="s">
        <v>1</v>
      </c>
      <c r="D48" s="2591"/>
      <c r="E48" s="2592"/>
      <c r="F48" s="2593"/>
      <c r="G48" s="2594"/>
      <c r="H48" s="2595"/>
      <c r="I48" s="2592"/>
      <c r="J48" s="2595"/>
      <c r="K48" s="1595"/>
      <c r="L48" s="2128"/>
      <c r="M48" s="2118"/>
      <c r="N48" s="2118"/>
      <c r="O48" s="2118"/>
      <c r="P48" s="3430" t="str">
        <f>A48</f>
        <v>成交单价（元/平方米）</v>
      </c>
      <c r="Q48" s="3408"/>
      <c r="R48" s="3514">
        <f>E48</f>
        <v>0</v>
      </c>
      <c r="S48" s="3514"/>
      <c r="T48" s="3514">
        <f>G48</f>
        <v>0</v>
      </c>
      <c r="U48" s="3514"/>
      <c r="V48" s="3514">
        <f>I48</f>
        <v>0</v>
      </c>
      <c r="W48" s="3514"/>
      <c r="X48" s="1544"/>
      <c r="Y48" s="1566"/>
      <c r="Z48" s="1544"/>
      <c r="AA48" s="1544"/>
      <c r="AB48" s="1544"/>
      <c r="AC48" s="1544"/>
    </row>
    <row r="49" spans="1:29" ht="15.75" thickBot="1">
      <c r="A49" s="615" t="s">
        <v>2758</v>
      </c>
      <c r="B49" s="888"/>
      <c r="C49" s="2596" t="e">
        <f>R50</f>
        <v>#DIV/0!</v>
      </c>
      <c r="D49" s="2597"/>
      <c r="E49" s="2598" t="e">
        <f>R49</f>
        <v>#DIV/0!</v>
      </c>
      <c r="F49" s="2598"/>
      <c r="G49" s="2596" t="e">
        <f>T49</f>
        <v>#DIV/0!</v>
      </c>
      <c r="H49" s="2597"/>
      <c r="I49" s="2598" t="e">
        <f>V49</f>
        <v>#DIV/0!</v>
      </c>
      <c r="J49" s="2597"/>
      <c r="K49" s="1596"/>
      <c r="L49" s="2128"/>
      <c r="M49" s="2118"/>
      <c r="N49" s="2118"/>
      <c r="O49" s="2118"/>
      <c r="P49" s="3430" t="str">
        <f>A49</f>
        <v>比较价格（元/平方米）</v>
      </c>
      <c r="Q49" s="3408"/>
      <c r="R49" s="3514" t="e">
        <f>IF(F1="售价",ROUND(PRODUCT(R48,AA7:AA47),0),ROUND(PRODUCT(R48,AA7:AA47),1))</f>
        <v>#DIV/0!</v>
      </c>
      <c r="S49" s="3514"/>
      <c r="T49" s="3514" t="e">
        <f>IF(F1="售价",ROUND(PRODUCT(T48,AB7:AB47),0),ROUND(PRODUCT(T48,AB7:AB47),1))</f>
        <v>#DIV/0!</v>
      </c>
      <c r="U49" s="3514"/>
      <c r="V49" s="3514" t="e">
        <f>IF(F1="售价",ROUND(PRODUCT(V48,AC7:AC47),0),ROUND(PRODUCT(V48,AC7:AC47),1))</f>
        <v>#DIV/0!</v>
      </c>
      <c r="W49" s="3514"/>
      <c r="X49" s="1544"/>
      <c r="Y49" s="1544"/>
      <c r="Z49" s="1544"/>
      <c r="AA49" s="1544"/>
      <c r="AB49" s="1544"/>
      <c r="AC49" s="1544"/>
    </row>
    <row r="50" spans="1:29" ht="15.75" thickBot="1">
      <c r="A50" s="621" t="s">
        <v>2925</v>
      </c>
      <c r="B50" s="622"/>
      <c r="C50" s="2599" t="e">
        <f>R50</f>
        <v>#DIV/0!</v>
      </c>
      <c r="D50" s="2599"/>
      <c r="E50" s="2599"/>
      <c r="F50" s="2599"/>
      <c r="G50" s="2599"/>
      <c r="H50" s="2599"/>
      <c r="I50" s="2599"/>
      <c r="J50" s="2599"/>
      <c r="K50" s="1597"/>
      <c r="L50" s="2128"/>
      <c r="M50" s="2118"/>
      <c r="N50" s="2118"/>
      <c r="O50" s="2118"/>
      <c r="P50" s="3519" t="str">
        <f>A50</f>
        <v>估价对象XX用房的比较价格（楼面单价，元/平方米）</v>
      </c>
      <c r="Q50" s="3430"/>
      <c r="R50" s="3513" t="e">
        <f>IF(F1="售价",ROUND(AVERAGE(R49:V49),0),ROUND(AVERAGE(R49:V49),1))</f>
        <v>#DIV/0!</v>
      </c>
      <c r="S50" s="3513"/>
      <c r="T50" s="3513"/>
      <c r="U50" s="3513"/>
      <c r="V50" s="3513"/>
      <c r="W50" s="3513"/>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573</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5">
      <c r="A59" s="645" t="s">
        <v>528</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5"/>
      <c r="Q59" s="2145"/>
      <c r="R59" s="2145"/>
      <c r="S59" s="2145"/>
      <c r="T59" s="2145"/>
      <c r="U59" s="2145"/>
      <c r="V59" s="2145"/>
      <c r="W59" s="2145"/>
      <c r="X59" s="2145"/>
      <c r="Y59" s="2145"/>
      <c r="Z59" s="2145"/>
      <c r="AA59" s="2145"/>
      <c r="AB59" s="2145"/>
      <c r="AC59" s="2145"/>
    </row>
    <row r="60" spans="1:29" s="1216" customFormat="1" ht="15">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7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5">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5.75"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5.75"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5.75"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5.75"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5.75"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5.75"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5.75"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5.75"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7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75" thickTop="1">
      <c r="A81" s="669"/>
      <c r="B81" s="1880" t="s">
        <v>2555</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7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7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7.75"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5.75"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5.75"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5.75"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5.75"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5.75"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5.75"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5.75"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5.75"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5.75"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5.75"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5"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5.75"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5"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5.75"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5"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5.75"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503" t="s">
        <v>787</v>
      </c>
      <c r="C1" s="504" t="s">
        <v>719</v>
      </c>
      <c r="D1" s="849"/>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466</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520</v>
      </c>
      <c r="B4" s="513"/>
      <c r="C4" s="3414" t="s">
        <v>521</v>
      </c>
      <c r="D4" s="3415"/>
      <c r="E4" s="3438" t="s">
        <v>522</v>
      </c>
      <c r="F4" s="3439"/>
      <c r="G4" s="3414" t="s">
        <v>523</v>
      </c>
      <c r="H4" s="3415"/>
      <c r="I4" s="3414" t="s">
        <v>524</v>
      </c>
      <c r="J4" s="3415"/>
      <c r="K4" s="514" t="s">
        <v>525</v>
      </c>
      <c r="L4" s="2117"/>
      <c r="M4" s="2118"/>
      <c r="N4" s="2118"/>
      <c r="O4" s="2118"/>
      <c r="P4" s="3416" t="s">
        <v>526</v>
      </c>
      <c r="Q4" s="3417"/>
      <c r="R4" s="3402" t="s">
        <v>522</v>
      </c>
      <c r="S4" s="3403"/>
      <c r="T4" s="3402" t="s">
        <v>523</v>
      </c>
      <c r="U4" s="3403"/>
      <c r="V4" s="3422" t="s">
        <v>524</v>
      </c>
      <c r="W4" s="3422"/>
      <c r="X4" s="1552"/>
      <c r="Y4" s="3402" t="s">
        <v>526</v>
      </c>
      <c r="Z4" s="3403"/>
      <c r="AA4" s="3397" t="s">
        <v>522</v>
      </c>
      <c r="AB4" s="3398" t="s">
        <v>523</v>
      </c>
      <c r="AC4" s="3397" t="s">
        <v>524</v>
      </c>
    </row>
    <row r="5" spans="1:29" ht="15">
      <c r="A5" s="515"/>
      <c r="B5" s="516"/>
      <c r="C5" s="3425" t="s">
        <v>2919</v>
      </c>
      <c r="D5" s="3426"/>
      <c r="E5" s="3440" t="s">
        <v>2920</v>
      </c>
      <c r="F5" s="3441"/>
      <c r="G5" s="3425" t="s">
        <v>2921</v>
      </c>
      <c r="H5" s="3426"/>
      <c r="I5" s="3425" t="s">
        <v>2922</v>
      </c>
      <c r="J5" s="3426"/>
      <c r="K5" s="514"/>
      <c r="L5" s="2117"/>
      <c r="M5" s="2118"/>
      <c r="N5" s="2118"/>
      <c r="O5" s="2118"/>
      <c r="P5" s="3418"/>
      <c r="Q5" s="3419"/>
      <c r="R5" s="3404"/>
      <c r="S5" s="3405"/>
      <c r="T5" s="3404"/>
      <c r="U5" s="3405"/>
      <c r="V5" s="3422"/>
      <c r="W5" s="3422"/>
      <c r="X5" s="1552"/>
      <c r="Y5" s="3404"/>
      <c r="Z5" s="3405"/>
      <c r="AA5" s="3398"/>
      <c r="AB5" s="3398"/>
      <c r="AC5" s="3398"/>
    </row>
    <row r="6" spans="1:29" ht="15.75" thickBot="1">
      <c r="A6" s="517"/>
      <c r="B6" s="518"/>
      <c r="C6" s="3423" t="s">
        <v>2923</v>
      </c>
      <c r="D6" s="3424"/>
      <c r="E6" s="3442" t="s">
        <v>2923</v>
      </c>
      <c r="F6" s="3443"/>
      <c r="G6" s="3423" t="s">
        <v>2923</v>
      </c>
      <c r="H6" s="3424"/>
      <c r="I6" s="3423" t="s">
        <v>2923</v>
      </c>
      <c r="J6" s="3424"/>
      <c r="K6" s="514" t="s">
        <v>527</v>
      </c>
      <c r="L6" s="2117"/>
      <c r="M6" s="2118"/>
      <c r="N6" s="2118"/>
      <c r="O6" s="2118"/>
      <c r="P6" s="3420"/>
      <c r="Q6" s="3421"/>
      <c r="R6" s="3404"/>
      <c r="S6" s="3405"/>
      <c r="T6" s="3406"/>
      <c r="U6" s="3407"/>
      <c r="V6" s="3422"/>
      <c r="W6" s="3422"/>
      <c r="X6" s="1552"/>
      <c r="Y6" s="3406"/>
      <c r="Z6" s="3407"/>
      <c r="AA6" s="3399"/>
      <c r="AB6" s="3399"/>
      <c r="AC6" s="3399"/>
    </row>
    <row r="7" spans="1:29" s="1216" customFormat="1" ht="15.75" thickBot="1">
      <c r="A7" s="2866"/>
      <c r="B7" s="2873"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00" t="s">
        <v>529</v>
      </c>
      <c r="Q7" s="3409"/>
      <c r="R7" s="1553" t="s">
        <v>8</v>
      </c>
      <c r="S7" s="1554">
        <f t="shared" ref="S7:S15" si="0">F7</f>
        <v>0</v>
      </c>
      <c r="T7" s="1553" t="s">
        <v>8</v>
      </c>
      <c r="U7" s="1554">
        <f t="shared" ref="U7:U15" si="1">H7</f>
        <v>0</v>
      </c>
      <c r="V7" s="1553" t="s">
        <v>8</v>
      </c>
      <c r="W7" s="1554">
        <f t="shared" ref="W7:W15" si="2">J7</f>
        <v>0</v>
      </c>
      <c r="X7" s="1555"/>
      <c r="Y7" s="3400" t="s">
        <v>529</v>
      </c>
      <c r="Z7" s="3401"/>
      <c r="AA7" s="1556" t="e">
        <f>D7/F7</f>
        <v>#DIV/0!</v>
      </c>
      <c r="AB7" s="1556" t="e">
        <f>D7/H7</f>
        <v>#DIV/0!</v>
      </c>
      <c r="AC7" s="1556" t="e">
        <f>D7/J7</f>
        <v>#DIV/0!</v>
      </c>
    </row>
    <row r="8" spans="1:29" s="1216" customFormat="1" ht="15.7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00" t="s">
        <v>532</v>
      </c>
      <c r="Q8" s="3401"/>
      <c r="R8" s="1553" t="s">
        <v>8</v>
      </c>
      <c r="S8" s="1554">
        <f t="shared" si="0"/>
        <v>0</v>
      </c>
      <c r="T8" s="1553" t="s">
        <v>8</v>
      </c>
      <c r="U8" s="1554">
        <f t="shared" si="1"/>
        <v>0</v>
      </c>
      <c r="V8" s="1553" t="s">
        <v>8</v>
      </c>
      <c r="W8" s="1554">
        <f t="shared" si="2"/>
        <v>0</v>
      </c>
      <c r="X8" s="1555"/>
      <c r="Y8" s="3400" t="s">
        <v>532</v>
      </c>
      <c r="Z8" s="3401"/>
      <c r="AA8" s="1556" t="e">
        <f t="shared" ref="AA8:AA40" si="3">D8/F8</f>
        <v>#DIV/0!</v>
      </c>
      <c r="AB8" s="1556" t="e">
        <f t="shared" ref="AB8:AB40" si="4">D8/H8</f>
        <v>#DIV/0!</v>
      </c>
      <c r="AC8" s="1556" t="e">
        <f t="shared" ref="AC8:AC40" si="5">D8/J8</f>
        <v>#DIV/0!</v>
      </c>
    </row>
    <row r="9" spans="1:29" s="1216" customFormat="1" ht="15">
      <c r="A9" s="2868"/>
      <c r="B9" s="2875" t="s">
        <v>2754</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408" t="s">
        <v>534</v>
      </c>
      <c r="Q9" s="1147" t="str">
        <f t="shared" ref="Q9:Q15" si="6">B9</f>
        <v>用途</v>
      </c>
      <c r="R9" s="1553" t="s">
        <v>8</v>
      </c>
      <c r="S9" s="1554">
        <f t="shared" si="0"/>
        <v>100</v>
      </c>
      <c r="T9" s="1553" t="s">
        <v>8</v>
      </c>
      <c r="U9" s="1554">
        <f t="shared" si="1"/>
        <v>100</v>
      </c>
      <c r="V9" s="1553" t="s">
        <v>8</v>
      </c>
      <c r="W9" s="1554">
        <f t="shared" si="2"/>
        <v>100</v>
      </c>
      <c r="X9" s="1555"/>
      <c r="Y9" s="3365" t="s">
        <v>535</v>
      </c>
      <c r="Z9" s="1146" t="str">
        <f t="shared" ref="Z9:Z15" si="7">Q9</f>
        <v>用途</v>
      </c>
      <c r="AA9" s="1556">
        <f t="shared" si="3"/>
        <v>1</v>
      </c>
      <c r="AB9" s="1556">
        <f t="shared" si="4"/>
        <v>1</v>
      </c>
      <c r="AC9" s="1556">
        <f t="shared" si="5"/>
        <v>1</v>
      </c>
    </row>
    <row r="10" spans="1:29" s="1332" customFormat="1" ht="27">
      <c r="A10" s="2869"/>
      <c r="B10" s="2874" t="s">
        <v>2755</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408"/>
      <c r="Q11" s="1147" t="str">
        <f t="shared" si="6"/>
        <v>容积率</v>
      </c>
      <c r="R11" s="1553" t="s">
        <v>8</v>
      </c>
      <c r="S11" s="1554" t="e">
        <f t="shared" si="0"/>
        <v>#N/A</v>
      </c>
      <c r="T11" s="1553" t="s">
        <v>8</v>
      </c>
      <c r="U11" s="1554" t="e">
        <f t="shared" si="1"/>
        <v>#N/A</v>
      </c>
      <c r="V11" s="1553" t="s">
        <v>8</v>
      </c>
      <c r="W11" s="1554" t="e">
        <f t="shared" si="2"/>
        <v>#N/A</v>
      </c>
      <c r="X11" s="1555"/>
      <c r="Y11" s="3365"/>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408"/>
      <c r="Q12" s="1147">
        <f t="shared" si="6"/>
        <v>111</v>
      </c>
      <c r="R12" s="1553" t="s">
        <v>8</v>
      </c>
      <c r="S12" s="1554">
        <f t="shared" si="0"/>
        <v>100</v>
      </c>
      <c r="T12" s="1553" t="s">
        <v>8</v>
      </c>
      <c r="U12" s="1554">
        <f t="shared" si="1"/>
        <v>100</v>
      </c>
      <c r="V12" s="1553" t="s">
        <v>8</v>
      </c>
      <c r="W12" s="1554">
        <f t="shared" si="2"/>
        <v>100</v>
      </c>
      <c r="X12" s="1555"/>
      <c r="Y12" s="3365"/>
      <c r="Z12" s="1146">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408"/>
      <c r="Q13" s="1147">
        <f t="shared" si="6"/>
        <v>111</v>
      </c>
      <c r="R13" s="1553" t="s">
        <v>8</v>
      </c>
      <c r="S13" s="1554">
        <f t="shared" si="0"/>
        <v>100</v>
      </c>
      <c r="T13" s="1553" t="s">
        <v>8</v>
      </c>
      <c r="U13" s="1554">
        <f t="shared" si="1"/>
        <v>100</v>
      </c>
      <c r="V13" s="1553" t="s">
        <v>8</v>
      </c>
      <c r="W13" s="1554">
        <f t="shared" si="2"/>
        <v>100</v>
      </c>
      <c r="X13" s="1555"/>
      <c r="Y13" s="3365"/>
      <c r="Z13" s="1146">
        <f t="shared" si="7"/>
        <v>111</v>
      </c>
      <c r="AA13" s="1556">
        <f t="shared" si="3"/>
        <v>1</v>
      </c>
      <c r="AB13" s="1556">
        <f t="shared" si="4"/>
        <v>1</v>
      </c>
      <c r="AC13" s="1556">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408"/>
      <c r="Q14" s="1147">
        <f t="shared" si="6"/>
        <v>111</v>
      </c>
      <c r="R14" s="1553" t="s">
        <v>8</v>
      </c>
      <c r="S14" s="1554">
        <f t="shared" si="0"/>
        <v>100</v>
      </c>
      <c r="T14" s="1553" t="s">
        <v>8</v>
      </c>
      <c r="U14" s="1554">
        <f t="shared" si="1"/>
        <v>100</v>
      </c>
      <c r="V14" s="1553" t="s">
        <v>8</v>
      </c>
      <c r="W14" s="1554">
        <f t="shared" si="2"/>
        <v>100</v>
      </c>
      <c r="X14" s="1555"/>
      <c r="Y14" s="3365"/>
      <c r="Z14" s="1146">
        <f t="shared" si="7"/>
        <v>111</v>
      </c>
      <c r="AA14" s="1556">
        <f t="shared" si="3"/>
        <v>1</v>
      </c>
      <c r="AB14" s="1556">
        <f t="shared" si="4"/>
        <v>1</v>
      </c>
      <c r="AC14" s="1556">
        <f t="shared" si="5"/>
        <v>1</v>
      </c>
    </row>
    <row r="15" spans="1:29" ht="15">
      <c r="A15" s="2864"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10" t="s">
        <v>539</v>
      </c>
      <c r="Q15" s="1557" t="str">
        <f t="shared" si="6"/>
        <v>产业集聚程度</v>
      </c>
      <c r="R15" s="1558" t="s">
        <v>8</v>
      </c>
      <c r="S15" s="1559">
        <f t="shared" si="0"/>
        <v>100</v>
      </c>
      <c r="T15" s="1558" t="s">
        <v>8</v>
      </c>
      <c r="U15" s="1559">
        <f t="shared" si="1"/>
        <v>100</v>
      </c>
      <c r="V15" s="1558" t="s">
        <v>8</v>
      </c>
      <c r="W15" s="1559">
        <f t="shared" si="2"/>
        <v>100</v>
      </c>
      <c r="X15" s="1552"/>
      <c r="Y15" s="3410" t="s">
        <v>539</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1"/>
      <c r="Q16" s="1557"/>
      <c r="R16" s="1558"/>
      <c r="S16" s="1559"/>
      <c r="T16" s="1558"/>
      <c r="U16" s="1559"/>
      <c r="V16" s="1558"/>
      <c r="W16" s="1559"/>
      <c r="X16" s="1552"/>
      <c r="Y16" s="3411"/>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11"/>
      <c r="Q17" s="1557" t="str">
        <f>B17</f>
        <v>交通便捷度</v>
      </c>
      <c r="R17" s="1558" t="s">
        <v>8</v>
      </c>
      <c r="S17" s="1559">
        <f>F17</f>
        <v>100</v>
      </c>
      <c r="T17" s="1558" t="s">
        <v>8</v>
      </c>
      <c r="U17" s="1559">
        <f>H17</f>
        <v>100</v>
      </c>
      <c r="V17" s="1558" t="s">
        <v>8</v>
      </c>
      <c r="W17" s="1559">
        <f>J17</f>
        <v>100</v>
      </c>
      <c r="X17" s="1552"/>
      <c r="Y17" s="3411"/>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1"/>
      <c r="Q18" s="1557"/>
      <c r="R18" s="1558"/>
      <c r="S18" s="1559"/>
      <c r="T18" s="1558"/>
      <c r="U18" s="1559"/>
      <c r="V18" s="1558"/>
      <c r="W18" s="1559"/>
      <c r="X18" s="1552"/>
      <c r="Y18" s="3411"/>
      <c r="Z18" s="1560"/>
      <c r="AA18" s="1561">
        <v>1</v>
      </c>
      <c r="AB18" s="1561">
        <v>1</v>
      </c>
      <c r="AC18" s="1561">
        <v>1</v>
      </c>
    </row>
    <row r="19" spans="1:29" ht="15">
      <c r="A19" s="532"/>
      <c r="B19" s="2566"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11"/>
      <c r="Q19" s="1557" t="str">
        <f>B19</f>
        <v>公共配套设施</v>
      </c>
      <c r="R19" s="1558" t="s">
        <v>8</v>
      </c>
      <c r="S19" s="1559">
        <f>F19</f>
        <v>100</v>
      </c>
      <c r="T19" s="1558" t="s">
        <v>8</v>
      </c>
      <c r="U19" s="1559">
        <f>H19</f>
        <v>100</v>
      </c>
      <c r="V19" s="1558" t="s">
        <v>8</v>
      </c>
      <c r="W19" s="1559">
        <f>J19</f>
        <v>100</v>
      </c>
      <c r="X19" s="1552"/>
      <c r="Y19" s="3411"/>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9"/>
      <c r="L20" s="2126"/>
      <c r="M20" s="2118"/>
      <c r="N20" s="2118"/>
      <c r="O20" s="2125"/>
      <c r="P20" s="3411"/>
      <c r="Q20" s="1557"/>
      <c r="R20" s="1558"/>
      <c r="S20" s="1559"/>
      <c r="T20" s="1558"/>
      <c r="U20" s="1559"/>
      <c r="V20" s="1558"/>
      <c r="W20" s="1559"/>
      <c r="X20" s="1552"/>
      <c r="Y20" s="3411"/>
      <c r="Z20" s="1560"/>
      <c r="AA20" s="1561">
        <v>1</v>
      </c>
      <c r="AB20" s="1561">
        <v>1</v>
      </c>
      <c r="AC20" s="1561">
        <v>1</v>
      </c>
    </row>
    <row r="21" spans="1:29" ht="15">
      <c r="A21" s="532"/>
      <c r="B21" s="2554"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11"/>
      <c r="Q21" s="2542" t="str">
        <f>B21</f>
        <v>基础设施水平</v>
      </c>
      <c r="R21" s="1558" t="s">
        <v>8</v>
      </c>
      <c r="S21" s="1559">
        <f>F21</f>
        <v>100</v>
      </c>
      <c r="T21" s="1558" t="s">
        <v>8</v>
      </c>
      <c r="U21" s="1559">
        <f>H21</f>
        <v>100</v>
      </c>
      <c r="V21" s="1558" t="s">
        <v>8</v>
      </c>
      <c r="W21" s="1559">
        <f>J21</f>
        <v>100</v>
      </c>
      <c r="X21" s="2544"/>
      <c r="Y21" s="3411"/>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11"/>
      <c r="Q22" s="2542"/>
      <c r="R22" s="1558"/>
      <c r="S22" s="1559"/>
      <c r="T22" s="1558"/>
      <c r="U22" s="1559"/>
      <c r="V22" s="1558"/>
      <c r="W22" s="1559"/>
      <c r="X22" s="2544"/>
      <c r="Y22" s="3411"/>
      <c r="Z22" s="2543"/>
      <c r="AA22" s="1561">
        <v>1</v>
      </c>
      <c r="AB22" s="1561">
        <v>1</v>
      </c>
      <c r="AC22" s="1561">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11"/>
      <c r="Q23" s="1557" t="str">
        <f>B23</f>
        <v>环境质量</v>
      </c>
      <c r="R23" s="1558" t="s">
        <v>8</v>
      </c>
      <c r="S23" s="1559">
        <f>F23</f>
        <v>100</v>
      </c>
      <c r="T23" s="1558" t="s">
        <v>8</v>
      </c>
      <c r="U23" s="1559">
        <f>H23</f>
        <v>100</v>
      </c>
      <c r="V23" s="1558" t="s">
        <v>8</v>
      </c>
      <c r="W23" s="1559">
        <f>J23</f>
        <v>100</v>
      </c>
      <c r="X23" s="1552"/>
      <c r="Y23" s="3411"/>
      <c r="Z23" s="1560" t="str">
        <f>Q23</f>
        <v>环境质量</v>
      </c>
      <c r="AA23" s="1561">
        <f t="shared" si="3"/>
        <v>1</v>
      </c>
      <c r="AB23" s="1561">
        <f t="shared" si="4"/>
        <v>1</v>
      </c>
      <c r="AC23" s="1561">
        <f t="shared" si="5"/>
        <v>1</v>
      </c>
    </row>
    <row r="24" spans="1:29" ht="15">
      <c r="A24" s="532"/>
      <c r="B24" s="922"/>
      <c r="C24" s="576"/>
      <c r="D24" s="555"/>
      <c r="E24" s="556"/>
      <c r="F24" s="557"/>
      <c r="G24" s="558"/>
      <c r="H24" s="555"/>
      <c r="I24" s="556"/>
      <c r="J24" s="555"/>
      <c r="K24" s="899"/>
      <c r="L24" s="2126"/>
      <c r="M24" s="2118"/>
      <c r="N24" s="2118"/>
      <c r="O24" s="2125"/>
      <c r="P24" s="3411"/>
      <c r="Q24" s="1557"/>
      <c r="R24" s="1558"/>
      <c r="S24" s="1559"/>
      <c r="T24" s="1558"/>
      <c r="U24" s="1559"/>
      <c r="V24" s="1558"/>
      <c r="W24" s="1559"/>
      <c r="X24" s="1552"/>
      <c r="Y24" s="3411"/>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11"/>
      <c r="Q25" s="1557">
        <f>B25</f>
        <v>111</v>
      </c>
      <c r="R25" s="1558" t="s">
        <v>8</v>
      </c>
      <c r="S25" s="1559">
        <f>F25</f>
        <v>100</v>
      </c>
      <c r="T25" s="1558" t="s">
        <v>8</v>
      </c>
      <c r="U25" s="1559">
        <f>H25</f>
        <v>100</v>
      </c>
      <c r="V25" s="1558" t="s">
        <v>8</v>
      </c>
      <c r="W25" s="1559">
        <f>J25</f>
        <v>100</v>
      </c>
      <c r="X25" s="1552"/>
      <c r="Y25" s="3411"/>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11"/>
      <c r="Q26" s="1557">
        <f t="shared" ref="Q26:Q40" si="11">B26</f>
        <v>111</v>
      </c>
      <c r="R26" s="1558" t="s">
        <v>8</v>
      </c>
      <c r="S26" s="1559">
        <f>F26</f>
        <v>100</v>
      </c>
      <c r="T26" s="1558" t="s">
        <v>8</v>
      </c>
      <c r="U26" s="1559">
        <f>H26</f>
        <v>100</v>
      </c>
      <c r="V26" s="1558" t="s">
        <v>8</v>
      </c>
      <c r="W26" s="1559">
        <f>J26</f>
        <v>100</v>
      </c>
      <c r="X26" s="1552"/>
      <c r="Y26" s="3411"/>
      <c r="Z26" s="1560">
        <f>Q26</f>
        <v>111</v>
      </c>
      <c r="AA26" s="1561">
        <f t="shared" si="3"/>
        <v>1</v>
      </c>
      <c r="AB26" s="1561">
        <f t="shared" si="4"/>
        <v>1</v>
      </c>
      <c r="AC26" s="1561">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11"/>
      <c r="Q27" s="1147">
        <f t="shared" si="11"/>
        <v>111</v>
      </c>
      <c r="R27" s="1553" t="s">
        <v>8</v>
      </c>
      <c r="S27" s="1554">
        <f>F27</f>
        <v>100</v>
      </c>
      <c r="T27" s="1553" t="s">
        <v>8</v>
      </c>
      <c r="U27" s="1554">
        <f>H27</f>
        <v>100</v>
      </c>
      <c r="V27" s="1553" t="s">
        <v>8</v>
      </c>
      <c r="W27" s="1554">
        <f>J27</f>
        <v>100</v>
      </c>
      <c r="X27" s="1555"/>
      <c r="Y27" s="3411"/>
      <c r="Z27" s="1146">
        <f>Q27</f>
        <v>111</v>
      </c>
      <c r="AA27" s="1561">
        <f>D27/F27</f>
        <v>1</v>
      </c>
      <c r="AB27" s="1561">
        <f>D27/H27</f>
        <v>1</v>
      </c>
      <c r="AC27" s="1561">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11"/>
      <c r="Q28" s="1557">
        <f t="shared" si="11"/>
        <v>111</v>
      </c>
      <c r="R28" s="1558" t="s">
        <v>8</v>
      </c>
      <c r="S28" s="1559">
        <f t="shared" ref="S28:S40" si="12">F28</f>
        <v>100</v>
      </c>
      <c r="T28" s="1558" t="s">
        <v>8</v>
      </c>
      <c r="U28" s="1559">
        <f t="shared" ref="U28:U40" si="13">H28</f>
        <v>100</v>
      </c>
      <c r="V28" s="1558" t="s">
        <v>8</v>
      </c>
      <c r="W28" s="1559">
        <f t="shared" ref="W28:W40" si="14">J28</f>
        <v>100</v>
      </c>
      <c r="X28" s="1552"/>
      <c r="Y28" s="3411"/>
      <c r="Z28" s="1560">
        <f t="shared" ref="Z28:Z40" si="15">Q28</f>
        <v>111</v>
      </c>
      <c r="AA28" s="1561">
        <f t="shared" si="3"/>
        <v>1</v>
      </c>
      <c r="AB28" s="1561">
        <f t="shared" si="4"/>
        <v>1</v>
      </c>
      <c r="AC28" s="1561">
        <f t="shared" si="5"/>
        <v>1</v>
      </c>
    </row>
    <row r="29" spans="1:29" ht="15">
      <c r="A29" s="2861"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12" t="s">
        <v>549</v>
      </c>
      <c r="Q29" s="1557" t="str">
        <f t="shared" si="11"/>
        <v>建筑类型</v>
      </c>
      <c r="R29" s="1558" t="s">
        <v>8</v>
      </c>
      <c r="S29" s="1559">
        <f t="shared" si="12"/>
        <v>100</v>
      </c>
      <c r="T29" s="1558" t="s">
        <v>8</v>
      </c>
      <c r="U29" s="1559">
        <f t="shared" si="13"/>
        <v>100</v>
      </c>
      <c r="V29" s="1558" t="s">
        <v>8</v>
      </c>
      <c r="W29" s="1559">
        <f t="shared" si="14"/>
        <v>100</v>
      </c>
      <c r="X29" s="1552"/>
      <c r="Y29" s="3413" t="s">
        <v>549</v>
      </c>
      <c r="Z29" s="1560" t="str">
        <f t="shared" si="15"/>
        <v>建筑类型</v>
      </c>
      <c r="AA29" s="1561">
        <f t="shared" si="3"/>
        <v>1</v>
      </c>
      <c r="AB29" s="1561">
        <f t="shared" si="4"/>
        <v>1</v>
      </c>
      <c r="AC29" s="1561">
        <f t="shared" si="5"/>
        <v>1</v>
      </c>
    </row>
    <row r="30" spans="1:29" s="1333"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13"/>
      <c r="Q30" s="1589" t="str">
        <f t="shared" si="11"/>
        <v>项目建筑规模</v>
      </c>
      <c r="R30" s="1562" t="s">
        <v>8</v>
      </c>
      <c r="S30" s="1563" t="e">
        <f t="shared" si="12"/>
        <v>#N/A</v>
      </c>
      <c r="T30" s="1562" t="s">
        <v>8</v>
      </c>
      <c r="U30" s="1563" t="e">
        <f t="shared" si="13"/>
        <v>#N/A</v>
      </c>
      <c r="V30" s="1562" t="s">
        <v>8</v>
      </c>
      <c r="W30" s="1563" t="e">
        <f t="shared" si="14"/>
        <v>#N/A</v>
      </c>
      <c r="X30" s="1564"/>
      <c r="Y30" s="3413"/>
      <c r="Z30" s="1565" t="str">
        <f t="shared" si="15"/>
        <v>项目建筑规模</v>
      </c>
      <c r="AA30" s="1561" t="e">
        <f t="shared" si="3"/>
        <v>#N/A</v>
      </c>
      <c r="AB30" s="1561" t="e">
        <f t="shared" si="4"/>
        <v>#N/A</v>
      </c>
      <c r="AC30" s="1561"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13"/>
      <c r="Q31" s="1557" t="str">
        <f t="shared" si="11"/>
        <v>建筑结构</v>
      </c>
      <c r="R31" s="1558" t="s">
        <v>8</v>
      </c>
      <c r="S31" s="1559">
        <f t="shared" si="12"/>
        <v>100</v>
      </c>
      <c r="T31" s="1558" t="s">
        <v>8</v>
      </c>
      <c r="U31" s="1559">
        <f t="shared" si="13"/>
        <v>100</v>
      </c>
      <c r="V31" s="1558" t="s">
        <v>8</v>
      </c>
      <c r="W31" s="1559">
        <f t="shared" si="14"/>
        <v>100</v>
      </c>
      <c r="X31" s="1552"/>
      <c r="Y31" s="3413"/>
      <c r="Z31" s="1560" t="str">
        <f t="shared" si="15"/>
        <v>建筑结构</v>
      </c>
      <c r="AA31" s="1561">
        <f t="shared" si="3"/>
        <v>1</v>
      </c>
      <c r="AB31" s="1561">
        <f t="shared" si="4"/>
        <v>1</v>
      </c>
      <c r="AC31" s="1561">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13"/>
      <c r="Q32" s="1557" t="str">
        <f t="shared" si="11"/>
        <v>公共部分装修</v>
      </c>
      <c r="R32" s="1558" t="s">
        <v>8</v>
      </c>
      <c r="S32" s="1559">
        <f t="shared" si="12"/>
        <v>100</v>
      </c>
      <c r="T32" s="1558" t="s">
        <v>8</v>
      </c>
      <c r="U32" s="1559">
        <f t="shared" si="13"/>
        <v>100</v>
      </c>
      <c r="V32" s="1558" t="s">
        <v>8</v>
      </c>
      <c r="W32" s="1559">
        <f t="shared" si="14"/>
        <v>100</v>
      </c>
      <c r="X32" s="1552"/>
      <c r="Y32" s="3413"/>
      <c r="Z32" s="1560" t="str">
        <f t="shared" si="15"/>
        <v>公共部分装修</v>
      </c>
      <c r="AA32" s="1561">
        <f t="shared" si="3"/>
        <v>1</v>
      </c>
      <c r="AB32" s="1561">
        <f t="shared" si="4"/>
        <v>1</v>
      </c>
      <c r="AC32" s="1561">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13"/>
      <c r="Q33" s="1557" t="str">
        <f t="shared" si="11"/>
        <v>成新度</v>
      </c>
      <c r="R33" s="1558" t="s">
        <v>8</v>
      </c>
      <c r="S33" s="1559" t="e">
        <f t="shared" si="12"/>
        <v>#N/A</v>
      </c>
      <c r="T33" s="1558" t="s">
        <v>8</v>
      </c>
      <c r="U33" s="1559" t="e">
        <f t="shared" si="13"/>
        <v>#N/A</v>
      </c>
      <c r="V33" s="1558" t="s">
        <v>8</v>
      </c>
      <c r="W33" s="1559" t="e">
        <f t="shared" si="14"/>
        <v>#N/A</v>
      </c>
      <c r="X33" s="1552"/>
      <c r="Y33" s="3413"/>
      <c r="Z33" s="1560" t="str">
        <f t="shared" si="15"/>
        <v>成新度</v>
      </c>
      <c r="AA33" s="1561" t="e">
        <f t="shared" si="3"/>
        <v>#N/A</v>
      </c>
      <c r="AB33" s="1561" t="e">
        <f t="shared" si="4"/>
        <v>#N/A</v>
      </c>
      <c r="AC33" s="1561"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13"/>
      <c r="Q34" s="1147" t="str">
        <f t="shared" si="11"/>
        <v>物业管理</v>
      </c>
      <c r="R34" s="1553" t="s">
        <v>8</v>
      </c>
      <c r="S34" s="1554">
        <f t="shared" si="12"/>
        <v>100</v>
      </c>
      <c r="T34" s="1553" t="s">
        <v>8</v>
      </c>
      <c r="U34" s="1554">
        <f t="shared" si="13"/>
        <v>100</v>
      </c>
      <c r="V34" s="1553" t="s">
        <v>8</v>
      </c>
      <c r="W34" s="1554">
        <f t="shared" si="14"/>
        <v>100</v>
      </c>
      <c r="X34" s="1555"/>
      <c r="Y34" s="3413"/>
      <c r="Z34" s="1146"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13" t="s">
        <v>549</v>
      </c>
      <c r="Q35" s="1557" t="str">
        <f t="shared" si="11"/>
        <v>市政基础设施</v>
      </c>
      <c r="R35" s="1558" t="s">
        <v>8</v>
      </c>
      <c r="S35" s="1559">
        <f t="shared" si="12"/>
        <v>100</v>
      </c>
      <c r="T35" s="1558" t="s">
        <v>8</v>
      </c>
      <c r="U35" s="1559">
        <f t="shared" si="13"/>
        <v>100</v>
      </c>
      <c r="V35" s="1558" t="s">
        <v>8</v>
      </c>
      <c r="W35" s="1559">
        <f t="shared" si="14"/>
        <v>100</v>
      </c>
      <c r="X35" s="1552"/>
      <c r="Y35" s="3413" t="s">
        <v>549</v>
      </c>
      <c r="Z35" s="1560" t="str">
        <f t="shared" si="15"/>
        <v>市政基础设施</v>
      </c>
      <c r="AA35" s="1561">
        <f t="shared" si="3"/>
        <v>1</v>
      </c>
      <c r="AB35" s="1561">
        <f t="shared" si="4"/>
        <v>1</v>
      </c>
      <c r="AC35" s="1561">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13"/>
      <c r="Q36" s="1557" t="str">
        <f t="shared" si="11"/>
        <v>内部装修</v>
      </c>
      <c r="R36" s="1558" t="s">
        <v>8</v>
      </c>
      <c r="S36" s="1559">
        <f t="shared" si="12"/>
        <v>100</v>
      </c>
      <c r="T36" s="1558" t="s">
        <v>8</v>
      </c>
      <c r="U36" s="1559">
        <f t="shared" si="13"/>
        <v>100</v>
      </c>
      <c r="V36" s="1558" t="s">
        <v>8</v>
      </c>
      <c r="W36" s="1559">
        <f t="shared" si="14"/>
        <v>100</v>
      </c>
      <c r="X36" s="1552"/>
      <c r="Y36" s="3413"/>
      <c r="Z36" s="1560" t="str">
        <f t="shared" si="15"/>
        <v>内部装修</v>
      </c>
      <c r="AA36" s="1561">
        <f t="shared" si="3"/>
        <v>1</v>
      </c>
      <c r="AB36" s="1561">
        <f t="shared" si="4"/>
        <v>1</v>
      </c>
      <c r="AC36" s="1561">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13"/>
      <c r="Q37" s="1557" t="str">
        <f t="shared" si="11"/>
        <v>内部装修状况</v>
      </c>
      <c r="R37" s="1558" t="s">
        <v>8</v>
      </c>
      <c r="S37" s="1559">
        <f t="shared" si="12"/>
        <v>100</v>
      </c>
      <c r="T37" s="1558" t="s">
        <v>8</v>
      </c>
      <c r="U37" s="1559">
        <f t="shared" si="13"/>
        <v>100</v>
      </c>
      <c r="V37" s="1558" t="s">
        <v>8</v>
      </c>
      <c r="W37" s="1559">
        <f t="shared" si="14"/>
        <v>100</v>
      </c>
      <c r="X37" s="1552"/>
      <c r="Y37" s="3413"/>
      <c r="Z37" s="1560" t="str">
        <f t="shared" si="15"/>
        <v>内部装修状况</v>
      </c>
      <c r="AA37" s="1561">
        <f t="shared" si="3"/>
        <v>1</v>
      </c>
      <c r="AB37" s="1561">
        <f t="shared" si="4"/>
        <v>1</v>
      </c>
      <c r="AC37" s="1561">
        <f t="shared" si="5"/>
        <v>1</v>
      </c>
    </row>
    <row r="38" spans="1:29" s="1333"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13"/>
      <c r="Q38" s="1589">
        <f t="shared" si="11"/>
        <v>111</v>
      </c>
      <c r="R38" s="1562" t="s">
        <v>8</v>
      </c>
      <c r="S38" s="1563">
        <f t="shared" si="12"/>
        <v>100</v>
      </c>
      <c r="T38" s="1562" t="s">
        <v>8</v>
      </c>
      <c r="U38" s="1563">
        <f t="shared" si="13"/>
        <v>100</v>
      </c>
      <c r="V38" s="1562" t="s">
        <v>8</v>
      </c>
      <c r="W38" s="1563">
        <f t="shared" si="14"/>
        <v>100</v>
      </c>
      <c r="X38" s="1564"/>
      <c r="Y38" s="3413"/>
      <c r="Z38" s="1565">
        <f t="shared" si="15"/>
        <v>111</v>
      </c>
      <c r="AA38" s="1561">
        <f t="shared" si="3"/>
        <v>1</v>
      </c>
      <c r="AB38" s="1561">
        <f t="shared" si="4"/>
        <v>1</v>
      </c>
      <c r="AC38" s="1561">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13"/>
      <c r="Q39" s="1557">
        <f t="shared" si="11"/>
        <v>111</v>
      </c>
      <c r="R39" s="1558" t="s">
        <v>8</v>
      </c>
      <c r="S39" s="1559">
        <f t="shared" si="12"/>
        <v>100</v>
      </c>
      <c r="T39" s="1558" t="s">
        <v>8</v>
      </c>
      <c r="U39" s="1559">
        <f t="shared" si="13"/>
        <v>100</v>
      </c>
      <c r="V39" s="1558" t="s">
        <v>8</v>
      </c>
      <c r="W39" s="1559">
        <f t="shared" si="14"/>
        <v>100</v>
      </c>
      <c r="X39" s="1552"/>
      <c r="Y39" s="3413"/>
      <c r="Z39" s="1560">
        <f t="shared" si="15"/>
        <v>111</v>
      </c>
      <c r="AA39" s="1561">
        <f t="shared" si="3"/>
        <v>1</v>
      </c>
      <c r="AB39" s="1561">
        <f t="shared" si="4"/>
        <v>1</v>
      </c>
      <c r="AC39" s="1561">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15"/>
      <c r="Q40" s="1557">
        <f t="shared" si="11"/>
        <v>111</v>
      </c>
      <c r="R40" s="1558" t="s">
        <v>8</v>
      </c>
      <c r="S40" s="1559">
        <f t="shared" si="12"/>
        <v>100</v>
      </c>
      <c r="T40" s="1558" t="s">
        <v>8</v>
      </c>
      <c r="U40" s="1559">
        <f t="shared" si="13"/>
        <v>100</v>
      </c>
      <c r="V40" s="1558" t="s">
        <v>8</v>
      </c>
      <c r="W40" s="1559">
        <f t="shared" si="14"/>
        <v>100</v>
      </c>
      <c r="X40" s="1552"/>
      <c r="Y40" s="3515"/>
      <c r="Z40" s="1560">
        <f t="shared" si="15"/>
        <v>111</v>
      </c>
      <c r="AA40" s="1561">
        <f t="shared" si="3"/>
        <v>1</v>
      </c>
      <c r="AB40" s="1561">
        <f t="shared" si="4"/>
        <v>1</v>
      </c>
      <c r="AC40" s="1561">
        <f t="shared" si="5"/>
        <v>1</v>
      </c>
    </row>
    <row r="41" spans="1:29" ht="15">
      <c r="A41" s="607" t="s">
        <v>735</v>
      </c>
      <c r="B41" s="887"/>
      <c r="C41" s="2590" t="s">
        <v>1</v>
      </c>
      <c r="D41" s="2591"/>
      <c r="E41" s="2592"/>
      <c r="F41" s="2593"/>
      <c r="G41" s="2594"/>
      <c r="H41" s="2595"/>
      <c r="I41" s="2592"/>
      <c r="J41" s="2595"/>
      <c r="K41" s="1595"/>
      <c r="L41" s="2128"/>
      <c r="M41" s="2129"/>
      <c r="N41" s="2118"/>
      <c r="O41" s="2129"/>
      <c r="P41" s="3408" t="str">
        <f>A41</f>
        <v>成交单价（元/平方米）</v>
      </c>
      <c r="Q41" s="3408"/>
      <c r="R41" s="3514">
        <f>E41</f>
        <v>0</v>
      </c>
      <c r="S41" s="3514"/>
      <c r="T41" s="3514">
        <f>G41</f>
        <v>0</v>
      </c>
      <c r="U41" s="3514"/>
      <c r="V41" s="3514">
        <f>I41</f>
        <v>0</v>
      </c>
      <c r="W41" s="3514"/>
      <c r="X41" s="1544"/>
      <c r="Y41" s="1566"/>
      <c r="Z41" s="1544"/>
      <c r="AA41" s="1544"/>
      <c r="AB41" s="1544"/>
      <c r="AC41" s="1544"/>
    </row>
    <row r="42" spans="1:29" ht="15.75" thickBot="1">
      <c r="A42" s="615" t="s">
        <v>2758</v>
      </c>
      <c r="B42" s="888"/>
      <c r="C42" s="2596" t="e">
        <f>R43</f>
        <v>#DIV/0!</v>
      </c>
      <c r="D42" s="2597"/>
      <c r="E42" s="2598" t="e">
        <f>R42</f>
        <v>#DIV/0!</v>
      </c>
      <c r="F42" s="2598"/>
      <c r="G42" s="2596" t="e">
        <f>T42</f>
        <v>#DIV/0!</v>
      </c>
      <c r="H42" s="2597"/>
      <c r="I42" s="2598" t="e">
        <f>V42</f>
        <v>#DIV/0!</v>
      </c>
      <c r="J42" s="2597"/>
      <c r="K42" s="1596"/>
      <c r="L42" s="2128"/>
      <c r="M42" s="2129"/>
      <c r="N42" s="2118"/>
      <c r="O42" s="2129"/>
      <c r="P42" s="3408" t="str">
        <f>A42</f>
        <v>比较价格（元/平方米）</v>
      </c>
      <c r="Q42" s="3408"/>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1544"/>
      <c r="Y42" s="1544"/>
      <c r="Z42" s="1544"/>
      <c r="AA42" s="1544"/>
      <c r="AB42" s="1544"/>
      <c r="AC42" s="1544"/>
    </row>
    <row r="43" spans="1:29" ht="15.75" thickBot="1">
      <c r="A43" s="621" t="s">
        <v>2925</v>
      </c>
      <c r="B43" s="622"/>
      <c r="C43" s="2599" t="e">
        <f>R43</f>
        <v>#DIV/0!</v>
      </c>
      <c r="D43" s="2599"/>
      <c r="E43" s="2599"/>
      <c r="F43" s="2599"/>
      <c r="G43" s="2599"/>
      <c r="H43" s="2599"/>
      <c r="I43" s="2599"/>
      <c r="J43" s="2599"/>
      <c r="K43" s="1597"/>
      <c r="L43" s="2128"/>
      <c r="M43" s="2129"/>
      <c r="N43" s="2129"/>
      <c r="O43" s="2129"/>
      <c r="P43" s="3429" t="str">
        <f>A43</f>
        <v>估价对象XX用房的比较价格（楼面单价，元/平方米）</v>
      </c>
      <c r="Q43" s="3430"/>
      <c r="R43" s="3513" t="e">
        <f>IF(F1="售价",ROUND(AVERAGE(R42:V42),0),ROUND(AVERAGE(R42:V42),1))</f>
        <v>#DIV/0!</v>
      </c>
      <c r="S43" s="3513"/>
      <c r="T43" s="3513"/>
      <c r="U43" s="3513"/>
      <c r="V43" s="3513"/>
      <c r="W43" s="3513"/>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573</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5">
      <c r="A52" s="645" t="s">
        <v>528</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4"/>
      <c r="Q52" s="2145"/>
      <c r="R52" s="2145"/>
      <c r="S52" s="2145"/>
      <c r="T52" s="2145"/>
      <c r="U52" s="2145"/>
      <c r="V52" s="2145"/>
      <c r="W52" s="2145"/>
      <c r="X52" s="2145"/>
      <c r="Y52" s="2145"/>
      <c r="Z52" s="2145"/>
      <c r="AA52" s="2145"/>
      <c r="AB52" s="2145"/>
      <c r="AC52" s="2145"/>
    </row>
    <row r="53" spans="1:29" s="1216" customFormat="1" ht="15">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7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5">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5.75"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5.75"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5.75"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5.75"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5.75"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5.75"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5.75"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7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75" thickTop="1">
      <c r="A74" s="669"/>
      <c r="B74" s="1880" t="s">
        <v>2555</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75" thickTop="1">
      <c r="A76" s="669"/>
      <c r="B76" s="2560" t="s">
        <v>2556</v>
      </c>
      <c r="C76" s="2561" t="s">
        <v>2557</v>
      </c>
      <c r="D76" s="2561" t="s">
        <v>2558</v>
      </c>
      <c r="E76" s="2561" t="s">
        <v>2559</v>
      </c>
      <c r="F76" s="2561" t="s">
        <v>2560</v>
      </c>
      <c r="G76" s="2561" t="s">
        <v>2561</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7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5.75"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5.75"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5.75"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5.75"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5.75"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3" customFormat="1" ht="15.75"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5.75"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5.75"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5"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5.75"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5"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5.75"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5.75"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IF(B37="元/平方米",C39,ROUND(B2*10000/D3,0))</f>
        <v>#DIV/0!</v>
      </c>
      <c r="C3" s="852" t="s">
        <v>795</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14" t="s">
        <v>797</v>
      </c>
      <c r="D4" s="3415"/>
      <c r="E4" s="3414" t="s">
        <v>798</v>
      </c>
      <c r="F4" s="3415"/>
      <c r="G4" s="3414" t="s">
        <v>799</v>
      </c>
      <c r="H4" s="3415"/>
      <c r="I4" s="3414" t="s">
        <v>800</v>
      </c>
      <c r="J4" s="3415"/>
      <c r="K4" s="514" t="s">
        <v>801</v>
      </c>
      <c r="L4" s="2117"/>
      <c r="M4" s="2118"/>
      <c r="N4" s="2118"/>
      <c r="O4" s="2118"/>
      <c r="P4" s="3416" t="s">
        <v>802</v>
      </c>
      <c r="Q4" s="3417"/>
      <c r="R4" s="3402" t="s">
        <v>798</v>
      </c>
      <c r="S4" s="3403"/>
      <c r="T4" s="3402" t="s">
        <v>799</v>
      </c>
      <c r="U4" s="3403"/>
      <c r="V4" s="3422" t="s">
        <v>800</v>
      </c>
      <c r="W4" s="3422"/>
      <c r="X4" s="1552"/>
      <c r="Y4" s="3402" t="s">
        <v>802</v>
      </c>
      <c r="Z4" s="3403"/>
      <c r="AA4" s="3397" t="s">
        <v>798</v>
      </c>
      <c r="AB4" s="3398" t="s">
        <v>799</v>
      </c>
      <c r="AC4" s="3397" t="s">
        <v>800</v>
      </c>
    </row>
    <row r="5" spans="1:29" ht="15">
      <c r="A5" s="515"/>
      <c r="B5" s="516"/>
      <c r="C5" s="3425" t="s">
        <v>2919</v>
      </c>
      <c r="D5" s="3426"/>
      <c r="E5" s="3425" t="s">
        <v>2920</v>
      </c>
      <c r="F5" s="3426"/>
      <c r="G5" s="3425" t="s">
        <v>2921</v>
      </c>
      <c r="H5" s="3426"/>
      <c r="I5" s="3425" t="s">
        <v>2922</v>
      </c>
      <c r="J5" s="3426"/>
      <c r="K5" s="514"/>
      <c r="L5" s="2117"/>
      <c r="M5" s="2118"/>
      <c r="N5" s="2118"/>
      <c r="O5" s="2118"/>
      <c r="P5" s="3418"/>
      <c r="Q5" s="3419"/>
      <c r="R5" s="3404"/>
      <c r="S5" s="3405"/>
      <c r="T5" s="3404"/>
      <c r="U5" s="3405"/>
      <c r="V5" s="3422"/>
      <c r="W5" s="3422"/>
      <c r="X5" s="1552"/>
      <c r="Y5" s="3404"/>
      <c r="Z5" s="3405"/>
      <c r="AA5" s="3398"/>
      <c r="AB5" s="3398"/>
      <c r="AC5" s="3398"/>
    </row>
    <row r="6" spans="1:29" ht="15.75" thickBot="1">
      <c r="A6" s="517"/>
      <c r="B6" s="518"/>
      <c r="C6" s="3423" t="s">
        <v>2923</v>
      </c>
      <c r="D6" s="3424"/>
      <c r="E6" s="3427" t="s">
        <v>2923</v>
      </c>
      <c r="F6" s="3428"/>
      <c r="G6" s="3423" t="s">
        <v>2923</v>
      </c>
      <c r="H6" s="3424"/>
      <c r="I6" s="3423" t="s">
        <v>2923</v>
      </c>
      <c r="J6" s="3424"/>
      <c r="K6" s="514" t="s">
        <v>527</v>
      </c>
      <c r="L6" s="2117"/>
      <c r="M6" s="2118"/>
      <c r="N6" s="2118"/>
      <c r="O6" s="2118"/>
      <c r="P6" s="3420"/>
      <c r="Q6" s="3421"/>
      <c r="R6" s="3404"/>
      <c r="S6" s="3405"/>
      <c r="T6" s="3406"/>
      <c r="U6" s="3407"/>
      <c r="V6" s="3422"/>
      <c r="W6" s="3422"/>
      <c r="X6" s="1552"/>
      <c r="Y6" s="3406"/>
      <c r="Z6" s="3407"/>
      <c r="AA6" s="3399"/>
      <c r="AB6" s="3399"/>
      <c r="AC6" s="3399"/>
    </row>
    <row r="7" spans="1:29" s="1216" customFormat="1" ht="15.75" thickBot="1">
      <c r="A7" s="2866"/>
      <c r="B7" s="2873"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00" t="s">
        <v>529</v>
      </c>
      <c r="Q7" s="3409"/>
      <c r="R7" s="1553" t="s">
        <v>8</v>
      </c>
      <c r="S7" s="1554">
        <f t="shared" ref="S7:S14" si="0">F7</f>
        <v>0</v>
      </c>
      <c r="T7" s="1553" t="s">
        <v>8</v>
      </c>
      <c r="U7" s="1554">
        <f t="shared" ref="U7:U14" si="1">H7</f>
        <v>0</v>
      </c>
      <c r="V7" s="1553" t="s">
        <v>8</v>
      </c>
      <c r="W7" s="1554">
        <f t="shared" ref="W7:W14" si="2">J7</f>
        <v>0</v>
      </c>
      <c r="X7" s="1555"/>
      <c r="Y7" s="3400" t="s">
        <v>529</v>
      </c>
      <c r="Z7" s="3401"/>
      <c r="AA7" s="1556" t="e">
        <f>D7/F7</f>
        <v>#DIV/0!</v>
      </c>
      <c r="AB7" s="1556" t="e">
        <f>D7/H7</f>
        <v>#DIV/0!</v>
      </c>
      <c r="AC7" s="1556" t="e">
        <f>D7/J7</f>
        <v>#DIV/0!</v>
      </c>
    </row>
    <row r="8" spans="1:29" s="1216" customFormat="1" ht="15.7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00" t="s">
        <v>532</v>
      </c>
      <c r="Q8" s="3401"/>
      <c r="R8" s="1553" t="s">
        <v>8</v>
      </c>
      <c r="S8" s="1554">
        <f t="shared" si="0"/>
        <v>0</v>
      </c>
      <c r="T8" s="1553" t="s">
        <v>8</v>
      </c>
      <c r="U8" s="1554">
        <f t="shared" si="1"/>
        <v>0</v>
      </c>
      <c r="V8" s="1553" t="s">
        <v>8</v>
      </c>
      <c r="W8" s="1554">
        <f t="shared" si="2"/>
        <v>0</v>
      </c>
      <c r="X8" s="1555"/>
      <c r="Y8" s="3400" t="s">
        <v>532</v>
      </c>
      <c r="Z8" s="3401"/>
      <c r="AA8" s="1556" t="e">
        <f t="shared" ref="AA8:AA36" si="3">D8/F8</f>
        <v>#DIV/0!</v>
      </c>
      <c r="AB8" s="1556" t="e">
        <f t="shared" ref="AB8:AB36" si="4">D8/H8</f>
        <v>#DIV/0!</v>
      </c>
      <c r="AC8" s="1556" t="e">
        <f t="shared" ref="AC8:AC36" si="5">D8/J8</f>
        <v>#DIV/0!</v>
      </c>
    </row>
    <row r="9" spans="1:29" s="1216" customFormat="1" ht="15">
      <c r="A9" s="2868"/>
      <c r="B9" s="2875" t="s">
        <v>2754</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408" t="s">
        <v>534</v>
      </c>
      <c r="Q9" s="1147" t="str">
        <f t="shared" ref="Q9:Q14" si="6">B9</f>
        <v>用途</v>
      </c>
      <c r="R9" s="1553" t="s">
        <v>8</v>
      </c>
      <c r="S9" s="1554">
        <f t="shared" si="0"/>
        <v>100</v>
      </c>
      <c r="T9" s="1553" t="s">
        <v>8</v>
      </c>
      <c r="U9" s="1554">
        <f t="shared" si="1"/>
        <v>100</v>
      </c>
      <c r="V9" s="1553" t="s">
        <v>8</v>
      </c>
      <c r="W9" s="1554">
        <f t="shared" si="2"/>
        <v>100</v>
      </c>
      <c r="X9" s="1555"/>
      <c r="Y9" s="3365"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408"/>
      <c r="Q11" s="1147">
        <f t="shared" si="6"/>
        <v>111</v>
      </c>
      <c r="R11" s="1553" t="s">
        <v>8</v>
      </c>
      <c r="S11" s="1554">
        <f t="shared" si="0"/>
        <v>100</v>
      </c>
      <c r="T11" s="1553" t="s">
        <v>8</v>
      </c>
      <c r="U11" s="1554">
        <f t="shared" si="1"/>
        <v>100</v>
      </c>
      <c r="V11" s="1553" t="s">
        <v>8</v>
      </c>
      <c r="W11" s="1554">
        <f t="shared" si="2"/>
        <v>100</v>
      </c>
      <c r="X11" s="1555"/>
      <c r="Y11" s="3365"/>
      <c r="Z11" s="1146">
        <f t="shared" si="7"/>
        <v>111</v>
      </c>
      <c r="AA11" s="1556">
        <f t="shared" si="3"/>
        <v>1</v>
      </c>
      <c r="AB11" s="1556">
        <f t="shared" si="4"/>
        <v>1</v>
      </c>
      <c r="AC11" s="1556">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408"/>
      <c r="Q12" s="1147">
        <f t="shared" si="6"/>
        <v>111</v>
      </c>
      <c r="R12" s="1553" t="s">
        <v>8</v>
      </c>
      <c r="S12" s="1554">
        <f t="shared" si="0"/>
        <v>100</v>
      </c>
      <c r="T12" s="1553" t="s">
        <v>8</v>
      </c>
      <c r="U12" s="1554">
        <f t="shared" si="1"/>
        <v>100</v>
      </c>
      <c r="V12" s="1553" t="s">
        <v>8</v>
      </c>
      <c r="W12" s="1554">
        <f t="shared" si="2"/>
        <v>100</v>
      </c>
      <c r="X12" s="1555"/>
      <c r="Y12" s="3365"/>
      <c r="Z12" s="1146">
        <f t="shared" si="7"/>
        <v>111</v>
      </c>
      <c r="AA12" s="1556">
        <f>D12/F12</f>
        <v>1</v>
      </c>
      <c r="AB12" s="1556">
        <f>D12/H12</f>
        <v>1</v>
      </c>
      <c r="AC12" s="1556">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408"/>
      <c r="Q13" s="1147">
        <f t="shared" si="6"/>
        <v>111</v>
      </c>
      <c r="R13" s="1553" t="s">
        <v>8</v>
      </c>
      <c r="S13" s="1554">
        <f t="shared" si="0"/>
        <v>100</v>
      </c>
      <c r="T13" s="1553" t="s">
        <v>8</v>
      </c>
      <c r="U13" s="1554">
        <f t="shared" si="1"/>
        <v>100</v>
      </c>
      <c r="V13" s="1553" t="s">
        <v>8</v>
      </c>
      <c r="W13" s="1554">
        <f t="shared" si="2"/>
        <v>100</v>
      </c>
      <c r="X13" s="1555"/>
      <c r="Y13" s="3365"/>
      <c r="Z13" s="1146">
        <f t="shared" si="7"/>
        <v>111</v>
      </c>
      <c r="AA13" s="1556">
        <f t="shared" si="3"/>
        <v>1</v>
      </c>
      <c r="AB13" s="1556">
        <f t="shared" si="4"/>
        <v>1</v>
      </c>
      <c r="AC13" s="1556">
        <f t="shared" si="5"/>
        <v>1</v>
      </c>
    </row>
    <row r="14" spans="1:29" ht="15">
      <c r="A14" s="2864" t="s">
        <v>2752</v>
      </c>
      <c r="B14" s="547" t="s">
        <v>542</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10" t="s">
        <v>539</v>
      </c>
      <c r="Q14" s="1557" t="str">
        <f t="shared" si="6"/>
        <v>交通便捷度</v>
      </c>
      <c r="R14" s="1558" t="s">
        <v>8</v>
      </c>
      <c r="S14" s="1559">
        <f t="shared" si="0"/>
        <v>100</v>
      </c>
      <c r="T14" s="1558" t="s">
        <v>8</v>
      </c>
      <c r="U14" s="1559">
        <f t="shared" si="1"/>
        <v>100</v>
      </c>
      <c r="V14" s="1558" t="s">
        <v>8</v>
      </c>
      <c r="W14" s="1559">
        <f t="shared" si="2"/>
        <v>100</v>
      </c>
      <c r="X14" s="1552"/>
      <c r="Y14" s="3410" t="s">
        <v>539</v>
      </c>
      <c r="Z14" s="1560" t="str">
        <f t="shared" si="7"/>
        <v>交通便捷度</v>
      </c>
      <c r="AA14" s="1561">
        <f t="shared" si="3"/>
        <v>1</v>
      </c>
      <c r="AB14" s="1561">
        <f t="shared" si="4"/>
        <v>1</v>
      </c>
      <c r="AC14" s="1561">
        <f t="shared" si="5"/>
        <v>1</v>
      </c>
    </row>
    <row r="15" spans="1:29" ht="15">
      <c r="A15" s="515"/>
      <c r="B15" s="924"/>
      <c r="C15" s="576"/>
      <c r="D15" s="555"/>
      <c r="E15" s="576"/>
      <c r="F15" s="557"/>
      <c r="G15" s="576"/>
      <c r="H15" s="559"/>
      <c r="I15" s="576"/>
      <c r="J15" s="555"/>
      <c r="K15" s="899"/>
      <c r="L15" s="2126"/>
      <c r="M15" s="2118"/>
      <c r="N15" s="2118"/>
      <c r="O15" s="2125"/>
      <c r="P15" s="3411"/>
      <c r="Q15" s="1557"/>
      <c r="R15" s="1558"/>
      <c r="S15" s="1559"/>
      <c r="T15" s="1558"/>
      <c r="U15" s="1559"/>
      <c r="V15" s="1558"/>
      <c r="W15" s="1559"/>
      <c r="X15" s="1552"/>
      <c r="Y15" s="3411"/>
      <c r="Z15" s="1560"/>
      <c r="AA15" s="1561">
        <v>1</v>
      </c>
      <c r="AB15" s="1561">
        <v>1</v>
      </c>
      <c r="AC15" s="1561">
        <v>1</v>
      </c>
    </row>
    <row r="16" spans="1:29" ht="15">
      <c r="A16" s="515"/>
      <c r="B16" s="2566" t="s">
        <v>2544</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11"/>
      <c r="Q16" s="1557" t="str">
        <f>B16</f>
        <v>公共配套设施</v>
      </c>
      <c r="R16" s="1558" t="s">
        <v>8</v>
      </c>
      <c r="S16" s="1559">
        <f>F16</f>
        <v>100</v>
      </c>
      <c r="T16" s="1558" t="s">
        <v>8</v>
      </c>
      <c r="U16" s="1559">
        <f>H16</f>
        <v>100</v>
      </c>
      <c r="V16" s="1558" t="s">
        <v>8</v>
      </c>
      <c r="W16" s="1559">
        <f>J16</f>
        <v>100</v>
      </c>
      <c r="X16" s="1552"/>
      <c r="Y16" s="3411"/>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9"/>
      <c r="L17" s="2126"/>
      <c r="M17" s="2118"/>
      <c r="N17" s="2118"/>
      <c r="O17" s="2125"/>
      <c r="P17" s="3411"/>
      <c r="Q17" s="1557"/>
      <c r="R17" s="1558"/>
      <c r="S17" s="1559"/>
      <c r="T17" s="1558"/>
      <c r="U17" s="1559"/>
      <c r="V17" s="1558"/>
      <c r="W17" s="1559"/>
      <c r="X17" s="1552"/>
      <c r="Y17" s="3411"/>
      <c r="Z17" s="1560"/>
      <c r="AA17" s="1561">
        <v>1</v>
      </c>
      <c r="AB17" s="1561">
        <v>1</v>
      </c>
      <c r="AC17" s="1561">
        <v>1</v>
      </c>
    </row>
    <row r="18" spans="1:29" ht="15">
      <c r="A18" s="515"/>
      <c r="B18" s="2554" t="s">
        <v>2556</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11"/>
      <c r="Q18" s="2542" t="str">
        <f>B18</f>
        <v>基础设施水平</v>
      </c>
      <c r="R18" s="1558" t="s">
        <v>8</v>
      </c>
      <c r="S18" s="1559">
        <f>F18</f>
        <v>100</v>
      </c>
      <c r="T18" s="1558" t="s">
        <v>8</v>
      </c>
      <c r="U18" s="1559">
        <f>H18</f>
        <v>100</v>
      </c>
      <c r="V18" s="1558" t="s">
        <v>8</v>
      </c>
      <c r="W18" s="1559">
        <f>J18</f>
        <v>100</v>
      </c>
      <c r="X18" s="2544"/>
      <c r="Y18" s="3411"/>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11"/>
      <c r="Q19" s="2542"/>
      <c r="R19" s="1558"/>
      <c r="S19" s="1559"/>
      <c r="T19" s="1558"/>
      <c r="U19" s="1559"/>
      <c r="V19" s="1558"/>
      <c r="W19" s="1559"/>
      <c r="X19" s="2544"/>
      <c r="Y19" s="3411"/>
      <c r="Z19" s="2543"/>
      <c r="AA19" s="1561">
        <v>1</v>
      </c>
      <c r="AB19" s="1561">
        <v>1</v>
      </c>
      <c r="AC19" s="1561">
        <v>1</v>
      </c>
    </row>
    <row r="20" spans="1:29" ht="15">
      <c r="A20" s="515"/>
      <c r="B20" s="560" t="s">
        <v>803</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11"/>
      <c r="Q20" s="1557" t="str">
        <f>B20</f>
        <v>自然及人文环境</v>
      </c>
      <c r="R20" s="1558" t="s">
        <v>8</v>
      </c>
      <c r="S20" s="1559">
        <f>F20</f>
        <v>100</v>
      </c>
      <c r="T20" s="1558" t="s">
        <v>8</v>
      </c>
      <c r="U20" s="1559">
        <f>H20</f>
        <v>100</v>
      </c>
      <c r="V20" s="1558" t="s">
        <v>8</v>
      </c>
      <c r="W20" s="1559">
        <f>J20</f>
        <v>100</v>
      </c>
      <c r="X20" s="1552"/>
      <c r="Y20" s="3411"/>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9"/>
      <c r="L21" s="2126"/>
      <c r="M21" s="2118"/>
      <c r="N21" s="2118"/>
      <c r="O21" s="2125"/>
      <c r="P21" s="3411"/>
      <c r="Q21" s="1557"/>
      <c r="R21" s="1558"/>
      <c r="S21" s="1559"/>
      <c r="T21" s="1558"/>
      <c r="U21" s="1559"/>
      <c r="V21" s="1558"/>
      <c r="W21" s="1559"/>
      <c r="X21" s="1552"/>
      <c r="Y21" s="3411"/>
      <c r="Z21" s="1560"/>
      <c r="AA21" s="1561">
        <v>1</v>
      </c>
      <c r="AB21" s="1561">
        <v>1</v>
      </c>
      <c r="AC21" s="1561">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11"/>
      <c r="Q22" s="1557" t="str">
        <f>B22</f>
        <v>楼层</v>
      </c>
      <c r="R22" s="1558" t="s">
        <v>8</v>
      </c>
      <c r="S22" s="1559">
        <f>F22</f>
        <v>100</v>
      </c>
      <c r="T22" s="1558" t="s">
        <v>8</v>
      </c>
      <c r="U22" s="1559">
        <f>H22</f>
        <v>100</v>
      </c>
      <c r="V22" s="1558" t="s">
        <v>8</v>
      </c>
      <c r="W22" s="1559">
        <f>J22</f>
        <v>100</v>
      </c>
      <c r="X22" s="1552"/>
      <c r="Y22" s="3411"/>
      <c r="Z22" s="1560" t="str">
        <f>Q22</f>
        <v>楼层</v>
      </c>
      <c r="AA22" s="1561">
        <f t="shared" si="3"/>
        <v>1</v>
      </c>
      <c r="AB22" s="1561">
        <f t="shared" si="4"/>
        <v>1</v>
      </c>
      <c r="AC22" s="1561">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11"/>
      <c r="Q23" s="1557">
        <f>B23</f>
        <v>111</v>
      </c>
      <c r="R23" s="1558" t="s">
        <v>8</v>
      </c>
      <c r="S23" s="1559">
        <f>F23</f>
        <v>100</v>
      </c>
      <c r="T23" s="1558" t="s">
        <v>8</v>
      </c>
      <c r="U23" s="1559">
        <f>H23</f>
        <v>100</v>
      </c>
      <c r="V23" s="1558" t="s">
        <v>8</v>
      </c>
      <c r="W23" s="1559">
        <f>J23</f>
        <v>100</v>
      </c>
      <c r="X23" s="1552"/>
      <c r="Y23" s="3411"/>
      <c r="Z23" s="1560">
        <f>Q23</f>
        <v>111</v>
      </c>
      <c r="AA23" s="1561">
        <f t="shared" si="3"/>
        <v>1</v>
      </c>
      <c r="AB23" s="1561">
        <f t="shared" si="4"/>
        <v>1</v>
      </c>
      <c r="AC23" s="1561">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11"/>
      <c r="Q24" s="1557">
        <f t="shared" ref="Q24:Q36" si="11">B24</f>
        <v>111</v>
      </c>
      <c r="R24" s="1558" t="s">
        <v>8</v>
      </c>
      <c r="S24" s="1559">
        <f>F24</f>
        <v>100</v>
      </c>
      <c r="T24" s="1558" t="s">
        <v>8</v>
      </c>
      <c r="U24" s="1559">
        <f>H24</f>
        <v>100</v>
      </c>
      <c r="V24" s="1558" t="s">
        <v>8</v>
      </c>
      <c r="W24" s="1559">
        <f>J24</f>
        <v>100</v>
      </c>
      <c r="X24" s="1552"/>
      <c r="Y24" s="3411"/>
      <c r="Z24" s="1560">
        <f>Q24</f>
        <v>111</v>
      </c>
      <c r="AA24" s="1561">
        <f t="shared" si="3"/>
        <v>1</v>
      </c>
      <c r="AB24" s="1561">
        <f t="shared" si="4"/>
        <v>1</v>
      </c>
      <c r="AC24" s="1561">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11"/>
      <c r="Q25" s="1147">
        <f t="shared" si="11"/>
        <v>111</v>
      </c>
      <c r="R25" s="1553" t="s">
        <v>8</v>
      </c>
      <c r="S25" s="1554">
        <f>F25</f>
        <v>100</v>
      </c>
      <c r="T25" s="1553" t="s">
        <v>8</v>
      </c>
      <c r="U25" s="1554">
        <f>H25</f>
        <v>100</v>
      </c>
      <c r="V25" s="1553" t="s">
        <v>8</v>
      </c>
      <c r="W25" s="1554">
        <f>J25</f>
        <v>100</v>
      </c>
      <c r="X25" s="1555"/>
      <c r="Y25" s="3411"/>
      <c r="Z25" s="1146">
        <f>Q25</f>
        <v>111</v>
      </c>
      <c r="AA25" s="1561">
        <f>D25/F25</f>
        <v>1</v>
      </c>
      <c r="AB25" s="1561">
        <f>D25/H25</f>
        <v>1</v>
      </c>
      <c r="AC25" s="1561">
        <f>D25/J25</f>
        <v>1</v>
      </c>
    </row>
    <row r="26" spans="1:29" ht="15">
      <c r="A26" s="2861"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12" t="s">
        <v>549</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13" t="s">
        <v>549</v>
      </c>
      <c r="Z26" s="1560" t="str">
        <f t="shared" ref="Z26:Z36" si="15">Q26</f>
        <v>配套类型</v>
      </c>
      <c r="AA26" s="1561">
        <f t="shared" si="3"/>
        <v>1</v>
      </c>
      <c r="AB26" s="1561">
        <f t="shared" si="4"/>
        <v>1</v>
      </c>
      <c r="AC26" s="1561">
        <f t="shared" si="5"/>
        <v>1</v>
      </c>
    </row>
    <row r="27" spans="1:29" s="1333"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13"/>
      <c r="Q27" s="1589" t="str">
        <f t="shared" si="11"/>
        <v>项目停车位配比</v>
      </c>
      <c r="R27" s="1562" t="s">
        <v>8</v>
      </c>
      <c r="S27" s="1563">
        <f t="shared" si="12"/>
        <v>100</v>
      </c>
      <c r="T27" s="1562" t="s">
        <v>8</v>
      </c>
      <c r="U27" s="1563">
        <f t="shared" si="13"/>
        <v>100</v>
      </c>
      <c r="V27" s="1562" t="s">
        <v>8</v>
      </c>
      <c r="W27" s="1563">
        <f t="shared" si="14"/>
        <v>100</v>
      </c>
      <c r="X27" s="1564"/>
      <c r="Y27" s="3413"/>
      <c r="Z27" s="1565" t="str">
        <f t="shared" si="15"/>
        <v>项目停车位配比</v>
      </c>
      <c r="AA27" s="1561">
        <f t="shared" si="3"/>
        <v>1</v>
      </c>
      <c r="AB27" s="1561">
        <f t="shared" si="4"/>
        <v>1</v>
      </c>
      <c r="AC27" s="1561">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13"/>
      <c r="Q28" s="1557" t="str">
        <f t="shared" si="11"/>
        <v>公共部分装修</v>
      </c>
      <c r="R28" s="1558" t="s">
        <v>8</v>
      </c>
      <c r="S28" s="1559">
        <f t="shared" si="12"/>
        <v>100</v>
      </c>
      <c r="T28" s="1558" t="s">
        <v>8</v>
      </c>
      <c r="U28" s="1559">
        <f t="shared" si="13"/>
        <v>100</v>
      </c>
      <c r="V28" s="1558" t="s">
        <v>8</v>
      </c>
      <c r="W28" s="1559">
        <f t="shared" si="14"/>
        <v>100</v>
      </c>
      <c r="X28" s="1552"/>
      <c r="Y28" s="3413"/>
      <c r="Z28" s="1560" t="str">
        <f t="shared" si="15"/>
        <v>公共部分装修</v>
      </c>
      <c r="AA28" s="1561">
        <f t="shared" si="3"/>
        <v>1</v>
      </c>
      <c r="AB28" s="1561">
        <f t="shared" si="4"/>
        <v>1</v>
      </c>
      <c r="AC28" s="1561">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13"/>
      <c r="Q29" s="1557" t="str">
        <f t="shared" si="11"/>
        <v>成新率</v>
      </c>
      <c r="R29" s="1558" t="s">
        <v>8</v>
      </c>
      <c r="S29" s="1559" t="e">
        <f t="shared" si="12"/>
        <v>#N/A</v>
      </c>
      <c r="T29" s="1558" t="s">
        <v>8</v>
      </c>
      <c r="U29" s="1559" t="e">
        <f t="shared" si="13"/>
        <v>#N/A</v>
      </c>
      <c r="V29" s="1558" t="s">
        <v>8</v>
      </c>
      <c r="W29" s="1559" t="e">
        <f t="shared" si="14"/>
        <v>#N/A</v>
      </c>
      <c r="X29" s="1552"/>
      <c r="Y29" s="3413"/>
      <c r="Z29" s="1560" t="str">
        <f t="shared" si="15"/>
        <v>成新率</v>
      </c>
      <c r="AA29" s="1561" t="e">
        <f t="shared" si="3"/>
        <v>#N/A</v>
      </c>
      <c r="AB29" s="1561" t="e">
        <f t="shared" si="4"/>
        <v>#N/A</v>
      </c>
      <c r="AC29" s="1561"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13"/>
      <c r="Q30" s="1557" t="str">
        <f t="shared" si="11"/>
        <v>物业等级</v>
      </c>
      <c r="R30" s="1558" t="s">
        <v>8</v>
      </c>
      <c r="S30" s="1559">
        <f t="shared" si="12"/>
        <v>100</v>
      </c>
      <c r="T30" s="1558" t="s">
        <v>8</v>
      </c>
      <c r="U30" s="1559">
        <f t="shared" si="13"/>
        <v>100</v>
      </c>
      <c r="V30" s="1558" t="s">
        <v>8</v>
      </c>
      <c r="W30" s="1559">
        <f t="shared" si="14"/>
        <v>100</v>
      </c>
      <c r="X30" s="1552"/>
      <c r="Y30" s="3413"/>
      <c r="Z30" s="1560" t="str">
        <f t="shared" si="15"/>
        <v>物业等级</v>
      </c>
      <c r="AA30" s="1561">
        <f t="shared" si="3"/>
        <v>1</v>
      </c>
      <c r="AB30" s="1561">
        <f t="shared" si="4"/>
        <v>1</v>
      </c>
      <c r="AC30" s="1561">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13"/>
      <c r="Q31" s="1147" t="str">
        <f t="shared" si="11"/>
        <v>停车位面积</v>
      </c>
      <c r="R31" s="1553" t="s">
        <v>8</v>
      </c>
      <c r="S31" s="1554" t="e">
        <f t="shared" si="12"/>
        <v>#N/A</v>
      </c>
      <c r="T31" s="1553" t="s">
        <v>8</v>
      </c>
      <c r="U31" s="1554" t="e">
        <f t="shared" si="13"/>
        <v>#N/A</v>
      </c>
      <c r="V31" s="1553" t="s">
        <v>8</v>
      </c>
      <c r="W31" s="1554" t="e">
        <f t="shared" si="14"/>
        <v>#N/A</v>
      </c>
      <c r="X31" s="1555"/>
      <c r="Y31" s="3413"/>
      <c r="Z31" s="1146" t="str">
        <f t="shared" si="15"/>
        <v>停车位面积</v>
      </c>
      <c r="AA31" s="1556" t="e">
        <f t="shared" si="3"/>
        <v>#N/A</v>
      </c>
      <c r="AB31" s="1556" t="e">
        <f t="shared" si="4"/>
        <v>#N/A</v>
      </c>
      <c r="AC31" s="1556"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13" t="s">
        <v>549</v>
      </c>
      <c r="Q32" s="1557" t="str">
        <f t="shared" si="11"/>
        <v>车位类型</v>
      </c>
      <c r="R32" s="1558" t="s">
        <v>8</v>
      </c>
      <c r="S32" s="1559">
        <f t="shared" si="12"/>
        <v>100</v>
      </c>
      <c r="T32" s="1558" t="s">
        <v>8</v>
      </c>
      <c r="U32" s="1559">
        <f t="shared" si="13"/>
        <v>100</v>
      </c>
      <c r="V32" s="1558" t="s">
        <v>8</v>
      </c>
      <c r="W32" s="1559">
        <f t="shared" si="14"/>
        <v>100</v>
      </c>
      <c r="X32" s="1552"/>
      <c r="Y32" s="3413" t="s">
        <v>549</v>
      </c>
      <c r="Z32" s="1560" t="str">
        <f t="shared" si="15"/>
        <v>车位类型</v>
      </c>
      <c r="AA32" s="1561">
        <f t="shared" si="3"/>
        <v>1</v>
      </c>
      <c r="AB32" s="1561">
        <f t="shared" si="4"/>
        <v>1</v>
      </c>
      <c r="AC32" s="1561">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13"/>
      <c r="Q33" s="1557" t="str">
        <f t="shared" si="11"/>
        <v>是否直接入户</v>
      </c>
      <c r="R33" s="1558" t="s">
        <v>8</v>
      </c>
      <c r="S33" s="1559">
        <f t="shared" si="12"/>
        <v>100</v>
      </c>
      <c r="T33" s="1558" t="s">
        <v>8</v>
      </c>
      <c r="U33" s="1559">
        <f t="shared" si="13"/>
        <v>100</v>
      </c>
      <c r="V33" s="1558" t="s">
        <v>8</v>
      </c>
      <c r="W33" s="1559">
        <f t="shared" si="14"/>
        <v>100</v>
      </c>
      <c r="X33" s="1552"/>
      <c r="Y33" s="3413"/>
      <c r="Z33" s="1560" t="str">
        <f t="shared" si="15"/>
        <v>是否直接入户</v>
      </c>
      <c r="AA33" s="1561">
        <f t="shared" si="3"/>
        <v>1</v>
      </c>
      <c r="AB33" s="1561">
        <f t="shared" si="4"/>
        <v>1</v>
      </c>
      <c r="AC33" s="1561">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13"/>
      <c r="Q34" s="1557">
        <f t="shared" si="11"/>
        <v>111</v>
      </c>
      <c r="R34" s="1558" t="s">
        <v>8</v>
      </c>
      <c r="S34" s="1559">
        <f t="shared" si="12"/>
        <v>100</v>
      </c>
      <c r="T34" s="1558" t="s">
        <v>8</v>
      </c>
      <c r="U34" s="1559">
        <f t="shared" si="13"/>
        <v>100</v>
      </c>
      <c r="V34" s="1558" t="s">
        <v>8</v>
      </c>
      <c r="W34" s="1559">
        <f t="shared" si="14"/>
        <v>100</v>
      </c>
      <c r="X34" s="1552"/>
      <c r="Y34" s="3413"/>
      <c r="Z34" s="1560">
        <f t="shared" si="15"/>
        <v>111</v>
      </c>
      <c r="AA34" s="1561">
        <f t="shared" si="3"/>
        <v>1</v>
      </c>
      <c r="AB34" s="1561">
        <f t="shared" si="4"/>
        <v>1</v>
      </c>
      <c r="AC34" s="1561">
        <f t="shared" si="5"/>
        <v>1</v>
      </c>
    </row>
    <row r="35" spans="1:29" s="1333"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13"/>
      <c r="Q35" s="1589">
        <f t="shared" si="11"/>
        <v>111</v>
      </c>
      <c r="R35" s="1562" t="s">
        <v>8</v>
      </c>
      <c r="S35" s="1563">
        <f t="shared" si="12"/>
        <v>100</v>
      </c>
      <c r="T35" s="1562" t="s">
        <v>8</v>
      </c>
      <c r="U35" s="1563">
        <f t="shared" si="13"/>
        <v>100</v>
      </c>
      <c r="V35" s="1562" t="s">
        <v>8</v>
      </c>
      <c r="W35" s="1563">
        <f t="shared" si="14"/>
        <v>100</v>
      </c>
      <c r="X35" s="1564"/>
      <c r="Y35" s="3413"/>
      <c r="Z35" s="1565">
        <f t="shared" si="15"/>
        <v>111</v>
      </c>
      <c r="AA35" s="1561">
        <f t="shared" si="3"/>
        <v>1</v>
      </c>
      <c r="AB35" s="1561">
        <f t="shared" si="4"/>
        <v>1</v>
      </c>
      <c r="AC35" s="1561">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13"/>
      <c r="Q36" s="1557">
        <f t="shared" si="11"/>
        <v>111</v>
      </c>
      <c r="R36" s="1558" t="s">
        <v>8</v>
      </c>
      <c r="S36" s="1559">
        <f t="shared" si="12"/>
        <v>100</v>
      </c>
      <c r="T36" s="1558" t="s">
        <v>8</v>
      </c>
      <c r="U36" s="1559">
        <f t="shared" si="13"/>
        <v>100</v>
      </c>
      <c r="V36" s="1558" t="s">
        <v>8</v>
      </c>
      <c r="W36" s="1559">
        <f t="shared" si="14"/>
        <v>100</v>
      </c>
      <c r="X36" s="1552"/>
      <c r="Y36" s="3413"/>
      <c r="Z36" s="1560">
        <f t="shared" si="15"/>
        <v>111</v>
      </c>
      <c r="AA36" s="1561">
        <f t="shared" si="3"/>
        <v>1</v>
      </c>
      <c r="AB36" s="1561">
        <f t="shared" si="4"/>
        <v>1</v>
      </c>
      <c r="AC36" s="1561">
        <f t="shared" si="5"/>
        <v>1</v>
      </c>
    </row>
    <row r="37" spans="1:29" ht="15">
      <c r="A37" s="1830" t="s">
        <v>2076</v>
      </c>
      <c r="B37" s="1831" t="s">
        <v>2077</v>
      </c>
      <c r="C37" s="2590" t="s">
        <v>1</v>
      </c>
      <c r="D37" s="2591"/>
      <c r="E37" s="2592"/>
      <c r="F37" s="2593"/>
      <c r="G37" s="2594"/>
      <c r="H37" s="2595"/>
      <c r="I37" s="2592"/>
      <c r="J37" s="2595"/>
      <c r="K37" s="1595"/>
      <c r="L37" s="2128"/>
      <c r="M37" s="2129"/>
      <c r="N37" s="2118"/>
      <c r="O37" s="2129"/>
      <c r="P37" s="3408" t="str">
        <f>A37</f>
        <v>成交单价</v>
      </c>
      <c r="Q37" s="3408"/>
      <c r="R37" s="3514">
        <f>E37</f>
        <v>0</v>
      </c>
      <c r="S37" s="3514"/>
      <c r="T37" s="3514">
        <f>G37</f>
        <v>0</v>
      </c>
      <c r="U37" s="3514"/>
      <c r="V37" s="3514">
        <f>I37</f>
        <v>0</v>
      </c>
      <c r="W37" s="3514"/>
      <c r="X37" s="1544"/>
      <c r="Y37" s="1566"/>
      <c r="Z37" s="1544"/>
      <c r="AA37" s="1544"/>
      <c r="AB37" s="1544"/>
      <c r="AC37" s="1544"/>
    </row>
    <row r="38" spans="1:29" ht="15.75" thickBot="1">
      <c r="A38" s="615" t="s">
        <v>2758</v>
      </c>
      <c r="B38" s="888"/>
      <c r="C38" s="2596" t="e">
        <f>R39</f>
        <v>#DIV/0!</v>
      </c>
      <c r="D38" s="2597"/>
      <c r="E38" s="2598" t="e">
        <f>R38</f>
        <v>#DIV/0!</v>
      </c>
      <c r="F38" s="2598"/>
      <c r="G38" s="2596" t="e">
        <f>T38</f>
        <v>#DIV/0!</v>
      </c>
      <c r="H38" s="2597"/>
      <c r="I38" s="2598" t="e">
        <f>V38</f>
        <v>#DIV/0!</v>
      </c>
      <c r="J38" s="2597"/>
      <c r="K38" s="1596"/>
      <c r="L38" s="2128"/>
      <c r="M38" s="2129"/>
      <c r="N38" s="2129"/>
      <c r="O38" s="2129"/>
      <c r="P38" s="3408" t="str">
        <f>A38</f>
        <v>比较价格（元/平方米）</v>
      </c>
      <c r="Q38" s="3408"/>
      <c r="R38" s="3514" t="e">
        <f>IF(F1="售价",ROUND(PRODUCT(R37,AA7:AA36),0),ROUND(PRODUCT(R37,AA7:AA36),1))</f>
        <v>#DIV/0!</v>
      </c>
      <c r="S38" s="3514"/>
      <c r="T38" s="3514" t="e">
        <f>IF(F1="售价",ROUND(PRODUCT(T37,AB7:AB36),0),ROUND(PRODUCT(T37,AB7:AB36),1))</f>
        <v>#DIV/0!</v>
      </c>
      <c r="U38" s="3514"/>
      <c r="V38" s="3514" t="e">
        <f>IF(F1="售价",ROUND(PRODUCT(V37,AC7:AC36),0),ROUND(PRODUCT(V37,AC7:AC36),1))</f>
        <v>#DIV/0!</v>
      </c>
      <c r="W38" s="3514"/>
      <c r="X38" s="1544"/>
      <c r="Y38" s="1544"/>
      <c r="Z38" s="1544"/>
      <c r="AA38" s="1544"/>
      <c r="AB38" s="1544"/>
      <c r="AC38" s="1544"/>
    </row>
    <row r="39" spans="1:29" ht="15.75" thickBot="1">
      <c r="A39" s="621" t="s">
        <v>2925</v>
      </c>
      <c r="B39" s="622"/>
      <c r="C39" s="2599" t="e">
        <f>R39</f>
        <v>#DIV/0!</v>
      </c>
      <c r="D39" s="2599"/>
      <c r="E39" s="2599"/>
      <c r="F39" s="2599"/>
      <c r="G39" s="2599"/>
      <c r="H39" s="2599"/>
      <c r="I39" s="2599"/>
      <c r="J39" s="2599"/>
      <c r="K39" s="1597"/>
      <c r="L39" s="2128"/>
      <c r="M39" s="2129"/>
      <c r="N39" s="2129"/>
      <c r="O39" s="2129"/>
      <c r="P39" s="3429" t="str">
        <f>A39</f>
        <v>估价对象XX用房的比较价格（楼面单价，元/平方米）</v>
      </c>
      <c r="Q39" s="3430"/>
      <c r="R39" s="3513" t="e">
        <f>IF(F1="售价",ROUND(AVERAGE(R38:V38),0),ROUND(AVERAGE(R38:V38),1))</f>
        <v>#DIV/0!</v>
      </c>
      <c r="S39" s="3513"/>
      <c r="T39" s="3513"/>
      <c r="U39" s="3513"/>
      <c r="V39" s="3513"/>
      <c r="W39" s="3513"/>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573</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5">
      <c r="A48" s="645" t="s">
        <v>528</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4"/>
      <c r="Q48" s="2145"/>
      <c r="R48" s="2145"/>
      <c r="S48" s="2145"/>
      <c r="T48" s="2145"/>
      <c r="U48" s="2145"/>
      <c r="V48" s="2145"/>
      <c r="W48" s="2145"/>
      <c r="X48" s="2145"/>
      <c r="Y48" s="2145"/>
      <c r="Z48" s="2145"/>
      <c r="AA48" s="2145"/>
      <c r="AB48" s="2145"/>
      <c r="AC48" s="2145"/>
    </row>
    <row r="49" spans="1:29" s="1216" customFormat="1" ht="15">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7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5">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5.75"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5.75"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5.75"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5.75"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5.75"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5.75"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5.75"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5.75"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1880" t="s">
        <v>2555</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7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7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5.75"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5.75"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5.75"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5.75"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5.75"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7.75"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3" customFormat="1" ht="15.75"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5.75"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5"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5.75"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5"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5.75"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5"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5.75"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4.25"/>
  <cols>
    <col min="1" max="1" width="10.5" style="1331" customWidth="1"/>
    <col min="2" max="2" width="15.75" style="1331" customWidth="1"/>
    <col min="3" max="3" width="14.375" style="1331" customWidth="1"/>
    <col min="4" max="4" width="12.25" style="1331" customWidth="1"/>
    <col min="5" max="5" width="14.375" style="1331" customWidth="1"/>
    <col min="6" max="6" width="12.25" style="1331" customWidth="1"/>
    <col min="7" max="7" width="14.5" style="1331" customWidth="1"/>
    <col min="8" max="8" width="12.25" style="1331" customWidth="1"/>
    <col min="9" max="9" width="14.5" style="1331" customWidth="1"/>
    <col min="10" max="10" width="12.25" style="1331" customWidth="1"/>
    <col min="11" max="11" width="12.25" style="1337" customWidth="1"/>
    <col min="12" max="12" width="12.25" style="1338" customWidth="1"/>
    <col min="13" max="15" width="12.25" style="1331" customWidth="1"/>
    <col min="16" max="16" width="4.75" style="1331" customWidth="1"/>
    <col min="17" max="17" width="19.5" style="1331" customWidth="1"/>
    <col min="18" max="22" width="6.125" style="1331" customWidth="1"/>
    <col min="23" max="23" width="5.75" style="1331" customWidth="1"/>
    <col min="24" max="24" width="4.25" style="1331" customWidth="1"/>
    <col min="25" max="25" width="3.5" style="1331" customWidth="1"/>
    <col min="26" max="26" width="19.75" style="1331" customWidth="1"/>
    <col min="27" max="28" width="9.37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5">
      <c r="A4" s="512" t="s">
        <v>796</v>
      </c>
      <c r="B4" s="513"/>
      <c r="C4" s="3414" t="s">
        <v>797</v>
      </c>
      <c r="D4" s="3415"/>
      <c r="E4" s="3438" t="s">
        <v>798</v>
      </c>
      <c r="F4" s="3439"/>
      <c r="G4" s="3414" t="s">
        <v>799</v>
      </c>
      <c r="H4" s="3415"/>
      <c r="I4" s="3414" t="s">
        <v>800</v>
      </c>
      <c r="J4" s="3415"/>
      <c r="K4" s="514" t="s">
        <v>801</v>
      </c>
      <c r="L4" s="2117"/>
      <c r="M4" s="2118"/>
      <c r="N4" s="2118"/>
      <c r="O4" s="2118"/>
      <c r="P4" s="3416" t="s">
        <v>802</v>
      </c>
      <c r="Q4" s="3417"/>
      <c r="R4" s="3402" t="s">
        <v>798</v>
      </c>
      <c r="S4" s="3403"/>
      <c r="T4" s="3402" t="s">
        <v>799</v>
      </c>
      <c r="U4" s="3403"/>
      <c r="V4" s="3422" t="s">
        <v>800</v>
      </c>
      <c r="W4" s="3422"/>
      <c r="X4" s="1552"/>
      <c r="Y4" s="3402" t="s">
        <v>802</v>
      </c>
      <c r="Z4" s="3403"/>
      <c r="AA4" s="3397" t="s">
        <v>798</v>
      </c>
      <c r="AB4" s="3398" t="s">
        <v>799</v>
      </c>
      <c r="AC4" s="3397" t="s">
        <v>800</v>
      </c>
    </row>
    <row r="5" spans="1:29" ht="15">
      <c r="A5" s="515"/>
      <c r="B5" s="516"/>
      <c r="C5" s="3425" t="s">
        <v>2919</v>
      </c>
      <c r="D5" s="3426"/>
      <c r="E5" s="3440" t="s">
        <v>2920</v>
      </c>
      <c r="F5" s="3441"/>
      <c r="G5" s="3425" t="s">
        <v>2921</v>
      </c>
      <c r="H5" s="3426"/>
      <c r="I5" s="3425" t="s">
        <v>2922</v>
      </c>
      <c r="J5" s="3426"/>
      <c r="K5" s="514"/>
      <c r="L5" s="2117"/>
      <c r="M5" s="2118"/>
      <c r="N5" s="2118"/>
      <c r="O5" s="2118"/>
      <c r="P5" s="3418"/>
      <c r="Q5" s="3419"/>
      <c r="R5" s="3404"/>
      <c r="S5" s="3405"/>
      <c r="T5" s="3404"/>
      <c r="U5" s="3405"/>
      <c r="V5" s="3422"/>
      <c r="W5" s="3422"/>
      <c r="X5" s="1552"/>
      <c r="Y5" s="3404"/>
      <c r="Z5" s="3405"/>
      <c r="AA5" s="3398"/>
      <c r="AB5" s="3398"/>
      <c r="AC5" s="3398"/>
    </row>
    <row r="6" spans="1:29" ht="15.75" thickBot="1">
      <c r="A6" s="517"/>
      <c r="B6" s="518"/>
      <c r="C6" s="3423" t="s">
        <v>2923</v>
      </c>
      <c r="D6" s="3424"/>
      <c r="E6" s="3442" t="s">
        <v>2923</v>
      </c>
      <c r="F6" s="3443"/>
      <c r="G6" s="3423" t="s">
        <v>2923</v>
      </c>
      <c r="H6" s="3424"/>
      <c r="I6" s="3423" t="s">
        <v>2923</v>
      </c>
      <c r="J6" s="3424"/>
      <c r="K6" s="514" t="s">
        <v>527</v>
      </c>
      <c r="L6" s="2117"/>
      <c r="M6" s="2118"/>
      <c r="N6" s="2118"/>
      <c r="O6" s="2118"/>
      <c r="P6" s="3420"/>
      <c r="Q6" s="3421"/>
      <c r="R6" s="3404"/>
      <c r="S6" s="3405"/>
      <c r="T6" s="3406"/>
      <c r="U6" s="3407"/>
      <c r="V6" s="3422"/>
      <c r="W6" s="3422"/>
      <c r="X6" s="1552"/>
      <c r="Y6" s="3406"/>
      <c r="Z6" s="3407"/>
      <c r="AA6" s="3399"/>
      <c r="AB6" s="3399"/>
      <c r="AC6" s="3399"/>
    </row>
    <row r="7" spans="1:29" s="1216" customFormat="1" ht="15.75" thickBot="1">
      <c r="A7" s="2866"/>
      <c r="B7" s="2873"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00" t="s">
        <v>529</v>
      </c>
      <c r="Q7" s="3409"/>
      <c r="R7" s="1553" t="s">
        <v>8</v>
      </c>
      <c r="S7" s="1554">
        <f t="shared" ref="S7:S14" si="0">F7</f>
        <v>0</v>
      </c>
      <c r="T7" s="1553" t="s">
        <v>8</v>
      </c>
      <c r="U7" s="1554">
        <f t="shared" ref="U7:U14" si="1">H7</f>
        <v>0</v>
      </c>
      <c r="V7" s="1553" t="s">
        <v>8</v>
      </c>
      <c r="W7" s="1554">
        <f t="shared" ref="W7:W14" si="2">J7</f>
        <v>0</v>
      </c>
      <c r="X7" s="1555"/>
      <c r="Y7" s="3400" t="s">
        <v>529</v>
      </c>
      <c r="Z7" s="3401"/>
      <c r="AA7" s="1556" t="e">
        <f>D7/F7</f>
        <v>#DIV/0!</v>
      </c>
      <c r="AB7" s="1556" t="e">
        <f>D7/H7</f>
        <v>#DIV/0!</v>
      </c>
      <c r="AC7" s="1556" t="e">
        <f>D7/J7</f>
        <v>#DIV/0!</v>
      </c>
    </row>
    <row r="8" spans="1:29" s="1216" customFormat="1" ht="15.7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00" t="s">
        <v>532</v>
      </c>
      <c r="Q8" s="3401"/>
      <c r="R8" s="1553" t="s">
        <v>8</v>
      </c>
      <c r="S8" s="1554">
        <f t="shared" si="0"/>
        <v>0</v>
      </c>
      <c r="T8" s="1553" t="s">
        <v>8</v>
      </c>
      <c r="U8" s="1554">
        <f t="shared" si="1"/>
        <v>0</v>
      </c>
      <c r="V8" s="1553" t="s">
        <v>8</v>
      </c>
      <c r="W8" s="1554">
        <f t="shared" si="2"/>
        <v>0</v>
      </c>
      <c r="X8" s="1555"/>
      <c r="Y8" s="3400" t="s">
        <v>532</v>
      </c>
      <c r="Z8" s="3401"/>
      <c r="AA8" s="1556" t="e">
        <f t="shared" ref="AA8:AA34" si="3">D8/F8</f>
        <v>#DIV/0!</v>
      </c>
      <c r="AB8" s="1556" t="e">
        <f t="shared" ref="AB8:AB34" si="4">D8/H8</f>
        <v>#DIV/0!</v>
      </c>
      <c r="AC8" s="1556" t="e">
        <f t="shared" ref="AC8:AC34" si="5">D8/J8</f>
        <v>#DIV/0!</v>
      </c>
    </row>
    <row r="9" spans="1:29" s="1216" customFormat="1" ht="15">
      <c r="A9" s="2868"/>
      <c r="B9" s="2875" t="s">
        <v>2754</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408" t="s">
        <v>534</v>
      </c>
      <c r="Q9" s="1147" t="str">
        <f t="shared" ref="Q9:Q14" si="6">B9</f>
        <v>用途</v>
      </c>
      <c r="R9" s="1553" t="s">
        <v>8</v>
      </c>
      <c r="S9" s="1554">
        <f t="shared" si="0"/>
        <v>100</v>
      </c>
      <c r="T9" s="1553" t="s">
        <v>8</v>
      </c>
      <c r="U9" s="1554">
        <f t="shared" si="1"/>
        <v>100</v>
      </c>
      <c r="V9" s="1553" t="s">
        <v>8</v>
      </c>
      <c r="W9" s="1554">
        <f t="shared" si="2"/>
        <v>100</v>
      </c>
      <c r="X9" s="1555"/>
      <c r="Y9" s="3365" t="s">
        <v>535</v>
      </c>
      <c r="Z9" s="1146" t="str">
        <f t="shared" ref="Z9:Z14" si="7">Q9</f>
        <v>用途</v>
      </c>
      <c r="AA9" s="1556">
        <f t="shared" si="3"/>
        <v>1</v>
      </c>
      <c r="AB9" s="1556">
        <f t="shared" si="4"/>
        <v>1</v>
      </c>
      <c r="AC9" s="1556">
        <f t="shared" si="5"/>
        <v>1</v>
      </c>
    </row>
    <row r="10" spans="1:29" s="1332" customFormat="1" ht="27">
      <c r="A10" s="2869"/>
      <c r="B10" s="2874" t="s">
        <v>2755</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408"/>
      <c r="Q10" s="1147" t="str">
        <f t="shared" si="6"/>
        <v>土地使用年限（年）</v>
      </c>
      <c r="R10" s="1553" t="s">
        <v>8</v>
      </c>
      <c r="S10" s="1554">
        <f t="shared" si="0"/>
        <v>100</v>
      </c>
      <c r="T10" s="1553" t="s">
        <v>8</v>
      </c>
      <c r="U10" s="1554">
        <f t="shared" si="1"/>
        <v>100</v>
      </c>
      <c r="V10" s="1553" t="s">
        <v>8</v>
      </c>
      <c r="W10" s="1554">
        <f t="shared" si="2"/>
        <v>100</v>
      </c>
      <c r="X10" s="1555"/>
      <c r="Y10" s="3365"/>
      <c r="Z10" s="1146" t="str">
        <f t="shared" si="7"/>
        <v>土地使用年限（年）</v>
      </c>
      <c r="AA10" s="1556">
        <f t="shared" si="3"/>
        <v>1</v>
      </c>
      <c r="AB10" s="1556">
        <f t="shared" si="4"/>
        <v>1</v>
      </c>
      <c r="AC10" s="1556">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408"/>
      <c r="Q11" s="1147">
        <f t="shared" si="6"/>
        <v>111</v>
      </c>
      <c r="R11" s="1553" t="s">
        <v>8</v>
      </c>
      <c r="S11" s="1554">
        <f t="shared" si="0"/>
        <v>100</v>
      </c>
      <c r="T11" s="1553" t="s">
        <v>8</v>
      </c>
      <c r="U11" s="1554">
        <f t="shared" si="1"/>
        <v>100</v>
      </c>
      <c r="V11" s="1553" t="s">
        <v>8</v>
      </c>
      <c r="W11" s="1554">
        <f t="shared" si="2"/>
        <v>100</v>
      </c>
      <c r="X11" s="1555"/>
      <c r="Y11" s="3365"/>
      <c r="Z11" s="1146">
        <f t="shared" si="7"/>
        <v>111</v>
      </c>
      <c r="AA11" s="1556">
        <f t="shared" si="3"/>
        <v>1</v>
      </c>
      <c r="AB11" s="1556">
        <f t="shared" si="4"/>
        <v>1</v>
      </c>
      <c r="AC11" s="1556">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408"/>
      <c r="Q12" s="1147">
        <f t="shared" si="6"/>
        <v>111</v>
      </c>
      <c r="R12" s="1553" t="s">
        <v>8</v>
      </c>
      <c r="S12" s="1554">
        <f t="shared" si="0"/>
        <v>100</v>
      </c>
      <c r="T12" s="1553" t="s">
        <v>8</v>
      </c>
      <c r="U12" s="1554">
        <f t="shared" si="1"/>
        <v>100</v>
      </c>
      <c r="V12" s="1553" t="s">
        <v>8</v>
      </c>
      <c r="W12" s="1554">
        <f t="shared" si="2"/>
        <v>100</v>
      </c>
      <c r="X12" s="1555"/>
      <c r="Y12" s="3365"/>
      <c r="Z12" s="1146">
        <f t="shared" si="7"/>
        <v>111</v>
      </c>
      <c r="AA12" s="1556">
        <f>D12/F12</f>
        <v>1</v>
      </c>
      <c r="AB12" s="1556">
        <f>D12/H12</f>
        <v>1</v>
      </c>
      <c r="AC12" s="1556">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408"/>
      <c r="Q13" s="1147">
        <f t="shared" si="6"/>
        <v>111</v>
      </c>
      <c r="R13" s="1553" t="s">
        <v>8</v>
      </c>
      <c r="S13" s="1554">
        <f t="shared" si="0"/>
        <v>100</v>
      </c>
      <c r="T13" s="1553" t="s">
        <v>8</v>
      </c>
      <c r="U13" s="1554">
        <f t="shared" si="1"/>
        <v>100</v>
      </c>
      <c r="V13" s="1553" t="s">
        <v>8</v>
      </c>
      <c r="W13" s="1554">
        <f t="shared" si="2"/>
        <v>100</v>
      </c>
      <c r="X13" s="1555"/>
      <c r="Y13" s="3365"/>
      <c r="Z13" s="1146">
        <f t="shared" si="7"/>
        <v>111</v>
      </c>
      <c r="AA13" s="1556">
        <f t="shared" si="3"/>
        <v>1</v>
      </c>
      <c r="AB13" s="1556">
        <f t="shared" si="4"/>
        <v>1</v>
      </c>
      <c r="AC13" s="1556">
        <f t="shared" si="5"/>
        <v>1</v>
      </c>
    </row>
    <row r="14" spans="1:29" ht="15">
      <c r="A14" s="2864" t="s">
        <v>2752</v>
      </c>
      <c r="B14" s="166" t="s">
        <v>542</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10" t="s">
        <v>539</v>
      </c>
      <c r="Q14" s="1557" t="str">
        <f t="shared" si="6"/>
        <v>交通便捷度</v>
      </c>
      <c r="R14" s="1558" t="s">
        <v>8</v>
      </c>
      <c r="S14" s="1559">
        <f t="shared" si="0"/>
        <v>100</v>
      </c>
      <c r="T14" s="1558" t="s">
        <v>8</v>
      </c>
      <c r="U14" s="1559">
        <f t="shared" si="1"/>
        <v>100</v>
      </c>
      <c r="V14" s="1558" t="s">
        <v>8</v>
      </c>
      <c r="W14" s="1559">
        <f t="shared" si="2"/>
        <v>100</v>
      </c>
      <c r="X14" s="1552"/>
      <c r="Y14" s="3410" t="s">
        <v>539</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9"/>
      <c r="L15" s="2126"/>
      <c r="M15" s="2118"/>
      <c r="N15" s="2118"/>
      <c r="O15" s="2125"/>
      <c r="P15" s="3411"/>
      <c r="Q15" s="1557"/>
      <c r="R15" s="1558"/>
      <c r="S15" s="1559"/>
      <c r="T15" s="1558"/>
      <c r="U15" s="1559"/>
      <c r="V15" s="1558"/>
      <c r="W15" s="1559"/>
      <c r="X15" s="1552"/>
      <c r="Y15" s="3411"/>
      <c r="Z15" s="1560"/>
      <c r="AA15" s="1561">
        <v>1</v>
      </c>
      <c r="AB15" s="1561">
        <v>1</v>
      </c>
      <c r="AC15" s="1561">
        <v>1</v>
      </c>
    </row>
    <row r="16" spans="1:29" ht="15">
      <c r="A16" s="532"/>
      <c r="B16" s="2566" t="s">
        <v>2544</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11"/>
      <c r="Q16" s="1557" t="str">
        <f>B16</f>
        <v>公共配套设施</v>
      </c>
      <c r="R16" s="1558" t="s">
        <v>8</v>
      </c>
      <c r="S16" s="1559">
        <f>F16</f>
        <v>100</v>
      </c>
      <c r="T16" s="1558" t="s">
        <v>8</v>
      </c>
      <c r="U16" s="1559">
        <f>H16</f>
        <v>100</v>
      </c>
      <c r="V16" s="1558" t="s">
        <v>8</v>
      </c>
      <c r="W16" s="1559">
        <f>J16</f>
        <v>100</v>
      </c>
      <c r="X16" s="1552"/>
      <c r="Y16" s="3411"/>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9"/>
      <c r="L17" s="2126"/>
      <c r="M17" s="2118"/>
      <c r="N17" s="2118"/>
      <c r="O17" s="2125"/>
      <c r="P17" s="3411"/>
      <c r="Q17" s="1557"/>
      <c r="R17" s="1558"/>
      <c r="S17" s="1559"/>
      <c r="T17" s="1558"/>
      <c r="U17" s="1559"/>
      <c r="V17" s="1558"/>
      <c r="W17" s="1559"/>
      <c r="X17" s="1552"/>
      <c r="Y17" s="3411"/>
      <c r="Z17" s="1560"/>
      <c r="AA17" s="1561">
        <v>1</v>
      </c>
      <c r="AB17" s="1561">
        <v>1</v>
      </c>
      <c r="AC17" s="1561">
        <v>1</v>
      </c>
    </row>
    <row r="18" spans="1:29" ht="15">
      <c r="A18" s="532"/>
      <c r="B18" s="2554" t="s">
        <v>2556</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11"/>
      <c r="Q18" s="2542" t="str">
        <f>B18</f>
        <v>基础设施水平</v>
      </c>
      <c r="R18" s="1558" t="s">
        <v>8</v>
      </c>
      <c r="S18" s="1559">
        <f>F18</f>
        <v>100</v>
      </c>
      <c r="T18" s="1558" t="s">
        <v>8</v>
      </c>
      <c r="U18" s="1559">
        <f>H18</f>
        <v>100</v>
      </c>
      <c r="V18" s="1558" t="s">
        <v>8</v>
      </c>
      <c r="W18" s="1559">
        <f>J18</f>
        <v>100</v>
      </c>
      <c r="X18" s="2544"/>
      <c r="Y18" s="3411"/>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11"/>
      <c r="Q19" s="2542"/>
      <c r="R19" s="1558"/>
      <c r="S19" s="1559"/>
      <c r="T19" s="1558"/>
      <c r="U19" s="1559"/>
      <c r="V19" s="1558"/>
      <c r="W19" s="1559"/>
      <c r="X19" s="2544"/>
      <c r="Y19" s="3411"/>
      <c r="Z19" s="2543"/>
      <c r="AA19" s="1561">
        <v>1</v>
      </c>
      <c r="AB19" s="1561">
        <v>1</v>
      </c>
      <c r="AC19" s="1561">
        <v>1</v>
      </c>
    </row>
    <row r="20" spans="1:29" ht="15">
      <c r="A20" s="532"/>
      <c r="B20" s="871" t="s">
        <v>803</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11"/>
      <c r="Q20" s="1557" t="str">
        <f>B20</f>
        <v>自然及人文环境</v>
      </c>
      <c r="R20" s="1558" t="s">
        <v>8</v>
      </c>
      <c r="S20" s="1559">
        <f>F20</f>
        <v>100</v>
      </c>
      <c r="T20" s="1558" t="s">
        <v>8</v>
      </c>
      <c r="U20" s="1559">
        <f>H20</f>
        <v>100</v>
      </c>
      <c r="V20" s="1558" t="s">
        <v>8</v>
      </c>
      <c r="W20" s="1559">
        <f>J20</f>
        <v>100</v>
      </c>
      <c r="X20" s="1552"/>
      <c r="Y20" s="3411"/>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9"/>
      <c r="L21" s="2126"/>
      <c r="M21" s="2118"/>
      <c r="N21" s="2118"/>
      <c r="O21" s="2125"/>
      <c r="P21" s="3411"/>
      <c r="Q21" s="1557"/>
      <c r="R21" s="1558"/>
      <c r="S21" s="1559"/>
      <c r="T21" s="1558"/>
      <c r="U21" s="1559"/>
      <c r="V21" s="1558"/>
      <c r="W21" s="1559"/>
      <c r="X21" s="1552"/>
      <c r="Y21" s="3411"/>
      <c r="Z21" s="1560"/>
      <c r="AA21" s="1561">
        <v>1</v>
      </c>
      <c r="AB21" s="1561">
        <v>1</v>
      </c>
      <c r="AC21" s="1561">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11"/>
      <c r="Q22" s="1557" t="str">
        <f>B22</f>
        <v>楼层</v>
      </c>
      <c r="R22" s="1558" t="s">
        <v>8</v>
      </c>
      <c r="S22" s="1559">
        <f>F22</f>
        <v>100</v>
      </c>
      <c r="T22" s="1558" t="s">
        <v>8</v>
      </c>
      <c r="U22" s="1559">
        <f>H22</f>
        <v>100</v>
      </c>
      <c r="V22" s="1558" t="s">
        <v>8</v>
      </c>
      <c r="W22" s="1559">
        <f>J22</f>
        <v>100</v>
      </c>
      <c r="X22" s="1552"/>
      <c r="Y22" s="3411"/>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11"/>
      <c r="Q23" s="1557">
        <f>B23</f>
        <v>111</v>
      </c>
      <c r="R23" s="1558" t="s">
        <v>8</v>
      </c>
      <c r="S23" s="1559">
        <f>F23</f>
        <v>100</v>
      </c>
      <c r="T23" s="1558" t="s">
        <v>8</v>
      </c>
      <c r="U23" s="1559">
        <f>H23</f>
        <v>100</v>
      </c>
      <c r="V23" s="1558" t="s">
        <v>8</v>
      </c>
      <c r="W23" s="1559">
        <f>J23</f>
        <v>100</v>
      </c>
      <c r="X23" s="1552"/>
      <c r="Y23" s="3411"/>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11"/>
      <c r="Q24" s="1557">
        <f t="shared" ref="Q24:Q34" si="11">B24</f>
        <v>111</v>
      </c>
      <c r="R24" s="1558" t="s">
        <v>8</v>
      </c>
      <c r="S24" s="1559">
        <f>F24</f>
        <v>100</v>
      </c>
      <c r="T24" s="1558" t="s">
        <v>8</v>
      </c>
      <c r="U24" s="1559">
        <f>H24</f>
        <v>100</v>
      </c>
      <c r="V24" s="1558" t="s">
        <v>8</v>
      </c>
      <c r="W24" s="1559">
        <f>J24</f>
        <v>100</v>
      </c>
      <c r="X24" s="1552"/>
      <c r="Y24" s="3411"/>
      <c r="Z24" s="1560">
        <f>Q24</f>
        <v>111</v>
      </c>
      <c r="AA24" s="1561">
        <f t="shared" si="3"/>
        <v>1</v>
      </c>
      <c r="AB24" s="1561">
        <f t="shared" si="4"/>
        <v>1</v>
      </c>
      <c r="AC24" s="1561">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11"/>
      <c r="Q25" s="1147">
        <f t="shared" si="11"/>
        <v>111</v>
      </c>
      <c r="R25" s="1553" t="s">
        <v>8</v>
      </c>
      <c r="S25" s="1554">
        <f>F25</f>
        <v>100</v>
      </c>
      <c r="T25" s="1553" t="s">
        <v>8</v>
      </c>
      <c r="U25" s="1554">
        <f>H25</f>
        <v>100</v>
      </c>
      <c r="V25" s="1553" t="s">
        <v>8</v>
      </c>
      <c r="W25" s="1554">
        <f>J25</f>
        <v>100</v>
      </c>
      <c r="X25" s="1555"/>
      <c r="Y25" s="3411"/>
      <c r="Z25" s="1146">
        <f>Q25</f>
        <v>111</v>
      </c>
      <c r="AA25" s="1561">
        <f>D25/F25</f>
        <v>1</v>
      </c>
      <c r="AB25" s="1561">
        <f>D25/H25</f>
        <v>1</v>
      </c>
      <c r="AC25" s="1561">
        <f>D25/J25</f>
        <v>1</v>
      </c>
    </row>
    <row r="26" spans="1:29" ht="15">
      <c r="A26" s="2861"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12"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13" t="s">
        <v>820</v>
      </c>
      <c r="Z26" s="1560" t="str">
        <f t="shared" ref="Z26:Z34" si="15">Q26</f>
        <v>公共部分装修</v>
      </c>
      <c r="AA26" s="1561">
        <f t="shared" si="3"/>
        <v>1</v>
      </c>
      <c r="AB26" s="1561">
        <f t="shared" si="4"/>
        <v>1</v>
      </c>
      <c r="AC26" s="1561">
        <f t="shared" si="5"/>
        <v>1</v>
      </c>
    </row>
    <row r="27" spans="1:29" s="1333"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13"/>
      <c r="Q27" s="1589" t="str">
        <f t="shared" si="11"/>
        <v>成新率</v>
      </c>
      <c r="R27" s="1562" t="s">
        <v>8</v>
      </c>
      <c r="S27" s="1563" t="e">
        <f t="shared" si="12"/>
        <v>#N/A</v>
      </c>
      <c r="T27" s="1562" t="s">
        <v>8</v>
      </c>
      <c r="U27" s="1563" t="e">
        <f t="shared" si="13"/>
        <v>#N/A</v>
      </c>
      <c r="V27" s="1562" t="s">
        <v>8</v>
      </c>
      <c r="W27" s="1563" t="e">
        <f t="shared" si="14"/>
        <v>#N/A</v>
      </c>
      <c r="X27" s="1564"/>
      <c r="Y27" s="3413"/>
      <c r="Z27" s="1565" t="str">
        <f t="shared" si="15"/>
        <v>成新率</v>
      </c>
      <c r="AA27" s="1561" t="e">
        <f t="shared" si="3"/>
        <v>#N/A</v>
      </c>
      <c r="AB27" s="1561" t="e">
        <f t="shared" si="4"/>
        <v>#N/A</v>
      </c>
      <c r="AC27" s="1561"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13"/>
      <c r="Q28" s="1557" t="str">
        <f t="shared" si="11"/>
        <v>物业等级</v>
      </c>
      <c r="R28" s="1558" t="s">
        <v>8</v>
      </c>
      <c r="S28" s="1559">
        <f t="shared" si="12"/>
        <v>100</v>
      </c>
      <c r="T28" s="1558" t="s">
        <v>8</v>
      </c>
      <c r="U28" s="1559">
        <f t="shared" si="13"/>
        <v>100</v>
      </c>
      <c r="V28" s="1558" t="s">
        <v>8</v>
      </c>
      <c r="W28" s="1559">
        <f t="shared" si="14"/>
        <v>100</v>
      </c>
      <c r="X28" s="1552"/>
      <c r="Y28" s="3413"/>
      <c r="Z28" s="1560" t="str">
        <f t="shared" si="15"/>
        <v>物业等级</v>
      </c>
      <c r="AA28" s="1561">
        <f t="shared" si="3"/>
        <v>1</v>
      </c>
      <c r="AB28" s="1561">
        <f t="shared" si="4"/>
        <v>1</v>
      </c>
      <c r="AC28" s="1561">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13"/>
      <c r="Q29" s="1557" t="str">
        <f t="shared" si="11"/>
        <v>有无电梯</v>
      </c>
      <c r="R29" s="1558" t="s">
        <v>8</v>
      </c>
      <c r="S29" s="1559">
        <f t="shared" si="12"/>
        <v>100</v>
      </c>
      <c r="T29" s="1558" t="s">
        <v>8</v>
      </c>
      <c r="U29" s="1559">
        <f t="shared" si="13"/>
        <v>100</v>
      </c>
      <c r="V29" s="1558" t="s">
        <v>8</v>
      </c>
      <c r="W29" s="1559">
        <f t="shared" si="14"/>
        <v>100</v>
      </c>
      <c r="X29" s="1552"/>
      <c r="Y29" s="3413"/>
      <c r="Z29" s="1560" t="str">
        <f t="shared" si="15"/>
        <v>有无电梯</v>
      </c>
      <c r="AA29" s="1561">
        <f t="shared" si="3"/>
        <v>1</v>
      </c>
      <c r="AB29" s="1561">
        <f t="shared" si="4"/>
        <v>1</v>
      </c>
      <c r="AC29" s="1561">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13"/>
      <c r="Q30" s="1557" t="str">
        <f t="shared" si="11"/>
        <v>建筑面积</v>
      </c>
      <c r="R30" s="1558" t="s">
        <v>8</v>
      </c>
      <c r="S30" s="1559" t="e">
        <f t="shared" si="12"/>
        <v>#N/A</v>
      </c>
      <c r="T30" s="1558" t="s">
        <v>8</v>
      </c>
      <c r="U30" s="1559" t="e">
        <f t="shared" si="13"/>
        <v>#N/A</v>
      </c>
      <c r="V30" s="1558" t="s">
        <v>8</v>
      </c>
      <c r="W30" s="1559" t="e">
        <f t="shared" si="14"/>
        <v>#N/A</v>
      </c>
      <c r="X30" s="1552"/>
      <c r="Y30" s="3413"/>
      <c r="Z30" s="1560" t="str">
        <f t="shared" si="15"/>
        <v>建筑面积</v>
      </c>
      <c r="AA30" s="1561" t="e">
        <f t="shared" si="3"/>
        <v>#N/A</v>
      </c>
      <c r="AB30" s="1561" t="e">
        <f t="shared" si="4"/>
        <v>#N/A</v>
      </c>
      <c r="AC30" s="1561"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13"/>
      <c r="Q31" s="1147" t="str">
        <f t="shared" si="11"/>
        <v>是否封闭</v>
      </c>
      <c r="R31" s="1553" t="s">
        <v>8</v>
      </c>
      <c r="S31" s="1554">
        <f t="shared" si="12"/>
        <v>100</v>
      </c>
      <c r="T31" s="1553" t="s">
        <v>8</v>
      </c>
      <c r="U31" s="1554">
        <f t="shared" si="13"/>
        <v>100</v>
      </c>
      <c r="V31" s="1553" t="s">
        <v>8</v>
      </c>
      <c r="W31" s="1554">
        <f t="shared" si="14"/>
        <v>100</v>
      </c>
      <c r="X31" s="1555"/>
      <c r="Y31" s="3413"/>
      <c r="Z31" s="1146" t="str">
        <f t="shared" si="15"/>
        <v>是否封闭</v>
      </c>
      <c r="AA31" s="1556">
        <f t="shared" si="3"/>
        <v>1</v>
      </c>
      <c r="AB31" s="1556">
        <f t="shared" si="4"/>
        <v>1</v>
      </c>
      <c r="AC31" s="1556">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13" t="s">
        <v>549</v>
      </c>
      <c r="Q32" s="1557">
        <f t="shared" si="11"/>
        <v>111</v>
      </c>
      <c r="R32" s="1558" t="s">
        <v>8</v>
      </c>
      <c r="S32" s="1559">
        <f t="shared" si="12"/>
        <v>100</v>
      </c>
      <c r="T32" s="1558" t="s">
        <v>8</v>
      </c>
      <c r="U32" s="1559">
        <f t="shared" si="13"/>
        <v>100</v>
      </c>
      <c r="V32" s="1558" t="s">
        <v>8</v>
      </c>
      <c r="W32" s="1559">
        <f t="shared" si="14"/>
        <v>100</v>
      </c>
      <c r="X32" s="1552"/>
      <c r="Y32" s="3413" t="s">
        <v>549</v>
      </c>
      <c r="Z32" s="1560">
        <f t="shared" si="15"/>
        <v>111</v>
      </c>
      <c r="AA32" s="1561">
        <f t="shared" si="3"/>
        <v>1</v>
      </c>
      <c r="AB32" s="1561">
        <f t="shared" si="4"/>
        <v>1</v>
      </c>
      <c r="AC32" s="1561">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13"/>
      <c r="Q33" s="1557">
        <f t="shared" si="11"/>
        <v>111</v>
      </c>
      <c r="R33" s="1558" t="s">
        <v>8</v>
      </c>
      <c r="S33" s="1559">
        <f t="shared" si="12"/>
        <v>100</v>
      </c>
      <c r="T33" s="1558" t="s">
        <v>8</v>
      </c>
      <c r="U33" s="1559">
        <f t="shared" si="13"/>
        <v>100</v>
      </c>
      <c r="V33" s="1558" t="s">
        <v>8</v>
      </c>
      <c r="W33" s="1559">
        <f t="shared" si="14"/>
        <v>100</v>
      </c>
      <c r="X33" s="1552"/>
      <c r="Y33" s="3413"/>
      <c r="Z33" s="1560">
        <f t="shared" si="15"/>
        <v>111</v>
      </c>
      <c r="AA33" s="1561">
        <f t="shared" si="3"/>
        <v>1</v>
      </c>
      <c r="AB33" s="1561">
        <f t="shared" si="4"/>
        <v>1</v>
      </c>
      <c r="AC33" s="1561">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13"/>
      <c r="Q34" s="1557">
        <f t="shared" si="11"/>
        <v>111</v>
      </c>
      <c r="R34" s="1558" t="s">
        <v>8</v>
      </c>
      <c r="S34" s="1559">
        <f t="shared" si="12"/>
        <v>100</v>
      </c>
      <c r="T34" s="1558" t="s">
        <v>8</v>
      </c>
      <c r="U34" s="1559">
        <f t="shared" si="13"/>
        <v>100</v>
      </c>
      <c r="V34" s="1558" t="s">
        <v>8</v>
      </c>
      <c r="W34" s="1559">
        <f t="shared" si="14"/>
        <v>100</v>
      </c>
      <c r="X34" s="1552"/>
      <c r="Y34" s="3413"/>
      <c r="Z34" s="1560">
        <f t="shared" si="15"/>
        <v>111</v>
      </c>
      <c r="AA34" s="1561">
        <f t="shared" si="3"/>
        <v>1</v>
      </c>
      <c r="AB34" s="1561">
        <f t="shared" si="4"/>
        <v>1</v>
      </c>
      <c r="AC34" s="1561">
        <f t="shared" si="5"/>
        <v>1</v>
      </c>
    </row>
    <row r="35" spans="1:29" ht="15">
      <c r="A35" s="607" t="s">
        <v>735</v>
      </c>
      <c r="B35" s="887"/>
      <c r="C35" s="2590" t="s">
        <v>1</v>
      </c>
      <c r="D35" s="2591"/>
      <c r="E35" s="2592"/>
      <c r="F35" s="2593"/>
      <c r="G35" s="2594"/>
      <c r="H35" s="2595"/>
      <c r="I35" s="2592"/>
      <c r="J35" s="2595"/>
      <c r="K35" s="1595"/>
      <c r="L35" s="2128"/>
      <c r="M35" s="2129"/>
      <c r="N35" s="2118"/>
      <c r="O35" s="2129"/>
      <c r="P35" s="3408" t="str">
        <f>A35</f>
        <v>成交单价（元/平方米）</v>
      </c>
      <c r="Q35" s="3408"/>
      <c r="R35" s="3514">
        <f>E35</f>
        <v>0</v>
      </c>
      <c r="S35" s="3514"/>
      <c r="T35" s="3514">
        <f>G35</f>
        <v>0</v>
      </c>
      <c r="U35" s="3514"/>
      <c r="V35" s="3514">
        <f>I35</f>
        <v>0</v>
      </c>
      <c r="W35" s="3514"/>
      <c r="X35" s="1544"/>
      <c r="Y35" s="1566"/>
      <c r="Z35" s="1544"/>
      <c r="AA35" s="1544"/>
      <c r="AB35" s="1544"/>
      <c r="AC35" s="1544"/>
    </row>
    <row r="36" spans="1:29" ht="15.75" thickBot="1">
      <c r="A36" s="615" t="s">
        <v>2758</v>
      </c>
      <c r="B36" s="888"/>
      <c r="C36" s="2596" t="e">
        <f>R37</f>
        <v>#DIV/0!</v>
      </c>
      <c r="D36" s="2597"/>
      <c r="E36" s="2598" t="e">
        <f>R36</f>
        <v>#DIV/0!</v>
      </c>
      <c r="F36" s="2598"/>
      <c r="G36" s="2596" t="e">
        <f>T36</f>
        <v>#DIV/0!</v>
      </c>
      <c r="H36" s="2597"/>
      <c r="I36" s="2598" t="e">
        <f>V36</f>
        <v>#DIV/0!</v>
      </c>
      <c r="J36" s="2597"/>
      <c r="K36" s="1596"/>
      <c r="L36" s="2128"/>
      <c r="M36" s="2129"/>
      <c r="N36" s="2118"/>
      <c r="O36" s="2129"/>
      <c r="P36" s="3408" t="str">
        <f>A36</f>
        <v>比较价格（元/平方米）</v>
      </c>
      <c r="Q36" s="3408"/>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1544"/>
      <c r="Y36" s="1544"/>
      <c r="Z36" s="1544"/>
      <c r="AA36" s="1544"/>
      <c r="AB36" s="1544"/>
      <c r="AC36" s="1544"/>
    </row>
    <row r="37" spans="1:29" ht="15.75" thickBot="1">
      <c r="A37" s="621" t="s">
        <v>2925</v>
      </c>
      <c r="B37" s="622"/>
      <c r="C37" s="2599" t="e">
        <f>R37</f>
        <v>#DIV/0!</v>
      </c>
      <c r="D37" s="2599"/>
      <c r="E37" s="2599"/>
      <c r="F37" s="2599"/>
      <c r="G37" s="2599"/>
      <c r="H37" s="2599"/>
      <c r="I37" s="2599"/>
      <c r="J37" s="2599"/>
      <c r="K37" s="1597"/>
      <c r="L37" s="2128"/>
      <c r="M37" s="2129"/>
      <c r="N37" s="2129"/>
      <c r="O37" s="2129"/>
      <c r="P37" s="3429" t="str">
        <f>A37</f>
        <v>估价对象XX用房的比较价格（楼面单价，元/平方米）</v>
      </c>
      <c r="Q37" s="3430"/>
      <c r="R37" s="3513" t="e">
        <f>IF(F1="售价",ROUND(AVERAGE(R36:V36),0),ROUND(AVERAGE(R36:V36),1))</f>
        <v>#DIV/0!</v>
      </c>
      <c r="S37" s="3513"/>
      <c r="T37" s="3513"/>
      <c r="U37" s="3513"/>
      <c r="V37" s="3513"/>
      <c r="W37" s="3513"/>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573</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5">
      <c r="A46" s="645" t="s">
        <v>528</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4"/>
      <c r="Q46" s="2145"/>
      <c r="R46" s="2145"/>
      <c r="S46" s="2145"/>
      <c r="T46" s="2145"/>
      <c r="U46" s="2145"/>
      <c r="V46" s="2145"/>
      <c r="W46" s="2145"/>
      <c r="X46" s="2145"/>
      <c r="Y46" s="2145"/>
      <c r="Z46" s="2145"/>
      <c r="AA46" s="2145"/>
      <c r="AB46" s="2145"/>
      <c r="AC46" s="2145"/>
    </row>
    <row r="47" spans="1:29" s="1216" customFormat="1" ht="15">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7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5">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5.75"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5.75"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5.75"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5.75"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5.75"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5.75"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5.75"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5.75"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75" thickTop="1">
      <c r="A63" s="669"/>
      <c r="B63" s="1880" t="s">
        <v>2555</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7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7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7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5.75"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5.75"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5.75"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5.75"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5.75"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5.75"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5.75"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ht="15">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3"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5.75"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3" customFormat="1" ht="15.75"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5"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5.75"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5"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5.75"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5"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5.75"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2.75"/>
  <cols>
    <col min="1" max="1" width="11.5" style="1244"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0"/>
    <col min="19" max="19" width="9" style="1244"/>
    <col min="20" max="35" width="9" style="257"/>
    <col min="36" max="16384" width="9" style="1244"/>
  </cols>
  <sheetData>
    <row r="1" spans="1:45" s="257" customFormat="1" ht="14.25" customHeight="1" thickBot="1">
      <c r="A1" s="365"/>
      <c r="B1" s="2218" t="s">
        <v>2302</v>
      </c>
      <c r="C1" s="3523" t="s">
        <v>2303</v>
      </c>
      <c r="D1" s="3524"/>
      <c r="E1" s="3524"/>
      <c r="F1" s="3524"/>
      <c r="G1" s="3524"/>
      <c r="H1" s="3524"/>
      <c r="I1" s="3524"/>
      <c r="J1" s="3524"/>
      <c r="K1" s="3524"/>
      <c r="L1" s="3524"/>
      <c r="M1" s="3524"/>
      <c r="N1" s="3524"/>
      <c r="O1" s="3524"/>
      <c r="P1" s="3524"/>
      <c r="Q1" s="3524"/>
      <c r="R1" s="3524"/>
      <c r="S1" s="3525"/>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9" t="s">
        <v>2918</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5"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1" t="s">
        <v>2917</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5"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1" t="s">
        <v>2916</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5" thickBot="1">
      <c r="A10" s="2235"/>
      <c r="B10" s="3040"/>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9" t="s">
        <v>2929</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5"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9" t="s">
        <v>2915</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5"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9" t="s">
        <v>2914</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75">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75">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20" t="s">
        <v>20</v>
      </c>
      <c r="D22" s="3521"/>
      <c r="E22" s="3521"/>
      <c r="F22" s="3521"/>
      <c r="G22" s="3521"/>
      <c r="H22" s="3521"/>
      <c r="I22" s="3521"/>
      <c r="J22" s="3521"/>
      <c r="K22" s="3521"/>
      <c r="L22" s="3521"/>
      <c r="M22" s="3521"/>
      <c r="N22" s="3521"/>
      <c r="O22" s="3521"/>
      <c r="P22" s="3521"/>
      <c r="Q22" s="3522"/>
      <c r="R22" s="490" t="e">
        <f>ROUND(S22*10000/B22,0)</f>
        <v>#DIV/0!</v>
      </c>
      <c r="S22" s="53">
        <f>SUM(S24:S10000)</f>
        <v>0</v>
      </c>
    </row>
    <row r="23" spans="1:45" s="1598"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599"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2786</v>
      </c>
      <c r="C1" s="2958">
        <f>项目基本情况!D3</f>
        <v>43628</v>
      </c>
      <c r="H1" s="2892">
        <f>IF(C1&gt;C13,0,MATCH(C1,C$13:C$100,-1))+IF(SUMIF(C13:C100,C1,D13:D100)=0,13,12)</f>
        <v>13</v>
      </c>
      <c r="I1" s="2892">
        <f ca="1">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2817</v>
      </c>
      <c r="C2" s="2959">
        <f>'数据-取费表'!B22</f>
        <v>3</v>
      </c>
      <c r="D2" s="2954" t="s">
        <v>2787</v>
      </c>
      <c r="E2" s="2957">
        <f ca="1">INDIRECT("I"&amp;$I$1)/100</f>
        <v>4.7500000000000001E-2</v>
      </c>
      <c r="G2" s="2894"/>
      <c r="H2" s="2894"/>
      <c r="I2" s="2894" t="s">
        <v>2788</v>
      </c>
      <c r="K2" s="2894"/>
      <c r="L2" s="2894"/>
      <c r="M2" s="2894"/>
      <c r="N2" s="2894" t="s">
        <v>2789</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2819</v>
      </c>
      <c r="C3" s="2956">
        <f>'数据-取费表'!B19</f>
        <v>0</v>
      </c>
      <c r="D3" s="2954" t="s">
        <v>2787</v>
      </c>
      <c r="E3" s="2957">
        <f ca="1">INDIRECT("J"&amp;$J$1)/100</f>
        <v>0</v>
      </c>
      <c r="G3" s="2896" t="s">
        <v>2790</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2818</v>
      </c>
      <c r="C4" s="2957">
        <f ca="1">N4/100</f>
        <v>1.4999999999999999E-2</v>
      </c>
      <c r="G4" s="2902" t="s">
        <v>2791</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2792</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2793</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2794</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2795</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2796</v>
      </c>
      <c r="C10" s="2921"/>
      <c r="D10" s="2921"/>
      <c r="E10" s="2921"/>
      <c r="F10" s="2921"/>
      <c r="G10" s="2921"/>
      <c r="H10" s="2921"/>
      <c r="I10" s="2895"/>
      <c r="J10" s="2895"/>
      <c r="K10" s="2921"/>
      <c r="L10" s="2922" t="s">
        <v>2797</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2798</v>
      </c>
      <c r="C11" s="2926" t="s">
        <v>2799</v>
      </c>
      <c r="D11" s="2927" t="s">
        <v>2800</v>
      </c>
      <c r="E11" s="2928"/>
      <c r="F11" s="2927" t="s">
        <v>2801</v>
      </c>
      <c r="G11" s="2929"/>
      <c r="H11" s="2928"/>
      <c r="I11" s="2927" t="s">
        <v>2802</v>
      </c>
      <c r="J11" s="2928"/>
      <c r="K11" s="2924"/>
      <c r="L11" s="2925" t="s">
        <v>2798</v>
      </c>
      <c r="M11" s="2926" t="s">
        <v>2799</v>
      </c>
      <c r="N11" s="2925" t="s">
        <v>2803</v>
      </c>
      <c r="O11" s="2927" t="s">
        <v>2804</v>
      </c>
      <c r="P11" s="2929"/>
      <c r="Q11" s="2929"/>
      <c r="R11" s="2929"/>
      <c r="S11" s="2929"/>
      <c r="T11" s="2928"/>
      <c r="U11" s="2927" t="s">
        <v>2805</v>
      </c>
      <c r="V11" s="2929"/>
      <c r="W11" s="2928"/>
      <c r="X11" s="2925" t="s">
        <v>2806</v>
      </c>
      <c r="Y11" s="2925" t="s">
        <v>2807</v>
      </c>
      <c r="Z11" s="2925" t="s">
        <v>2808</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2809</v>
      </c>
      <c r="E12" s="2934" t="s">
        <v>2810</v>
      </c>
      <c r="F12" s="2934" t="s">
        <v>2811</v>
      </c>
      <c r="G12" s="2934" t="s">
        <v>2812</v>
      </c>
      <c r="H12" s="2934" t="s">
        <v>2794</v>
      </c>
      <c r="I12" s="2935" t="s">
        <v>2813</v>
      </c>
      <c r="J12" s="2935" t="s">
        <v>2813</v>
      </c>
      <c r="K12" s="2931"/>
      <c r="L12" s="2932"/>
      <c r="M12" s="2933"/>
      <c r="N12" s="2932"/>
      <c r="O12" s="2935" t="s">
        <v>2814</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2815</v>
      </c>
      <c r="C13" s="2939">
        <v>42301</v>
      </c>
      <c r="D13" s="2940">
        <v>4.3499999999999996</v>
      </c>
      <c r="E13" s="2940">
        <v>4.3499999999999996</v>
      </c>
      <c r="F13" s="2940">
        <v>4.75</v>
      </c>
      <c r="G13" s="2940">
        <v>4.75</v>
      </c>
      <c r="H13" s="2940">
        <v>4.9000000000000004</v>
      </c>
      <c r="I13" s="2940">
        <v>2.75</v>
      </c>
      <c r="J13" s="2940">
        <v>3.25</v>
      </c>
      <c r="K13" s="2937"/>
      <c r="L13" s="2938" t="s">
        <v>2815</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2816</v>
      </c>
      <c r="Y42" s="2944" t="s">
        <v>2816</v>
      </c>
      <c r="Z42" s="2944" t="s">
        <v>2816</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2816</v>
      </c>
      <c r="Y43" s="2944" t="s">
        <v>2816</v>
      </c>
      <c r="Z43" s="2944" t="s">
        <v>2816</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2816</v>
      </c>
      <c r="Y44" s="2944" t="s">
        <v>2816</v>
      </c>
      <c r="Z44" s="2944" t="s">
        <v>2816</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2816</v>
      </c>
      <c r="Y45" s="2944" t="s">
        <v>2816</v>
      </c>
      <c r="Z45" s="2944" t="s">
        <v>2816</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2816</v>
      </c>
      <c r="Y46" s="2944" t="s">
        <v>2816</v>
      </c>
      <c r="Z46" s="2944" t="s">
        <v>2816</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2816</v>
      </c>
      <c r="Y47" s="2944" t="s">
        <v>2816</v>
      </c>
      <c r="Z47" s="2944" t="s">
        <v>2816</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2816</v>
      </c>
      <c r="Y48" s="2944" t="s">
        <v>2816</v>
      </c>
      <c r="Z48" s="2944" t="s">
        <v>2816</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2816</v>
      </c>
      <c r="Y49" s="2944" t="s">
        <v>2816</v>
      </c>
      <c r="Z49" s="2944" t="s">
        <v>2816</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2816</v>
      </c>
      <c r="Y50" s="2944" t="s">
        <v>2816</v>
      </c>
      <c r="Z50" s="2944" t="s">
        <v>2816</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2816</v>
      </c>
      <c r="V51" s="2944" t="s">
        <v>2816</v>
      </c>
      <c r="W51" s="2944" t="s">
        <v>2816</v>
      </c>
      <c r="X51" s="2944" t="s">
        <v>2816</v>
      </c>
      <c r="Y51" s="2944" t="s">
        <v>2816</v>
      </c>
      <c r="Z51" s="2944" t="s">
        <v>2816</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2816</v>
      </c>
      <c r="J55" s="2944" t="s">
        <v>2816</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44" sqref="N44"/>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2019-06-17T07:10:59Z</dcterms:modified>
</cp:coreProperties>
</file>