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预测面积" sheetId="83" r:id="rId12"/>
    <sheet name="新抵押面积"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state="hidden" r:id="rId19"/>
    <sheet name="结果表" sheetId="9" r:id="rId20"/>
    <sheet name="土地比较法-住宅、综合" sheetId="39" r:id="rId21"/>
    <sheet name="成本法" sheetId="68" r:id="rId22"/>
    <sheet name="成本法 (元)" sheetId="69" state="hidden" r:id="rId23"/>
    <sheet name="假设开发法" sheetId="12" r:id="rId24"/>
    <sheet name="比较法-平层住宅" sheetId="21" r:id="rId25"/>
    <sheet name="比较法-叠拼住宅" sheetId="80" r:id="rId26"/>
    <sheet name="收益法-地下车库" sheetId="15"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收益法-地下普通仓储" sheetId="82" r:id="rId34"/>
    <sheet name="收益法-地下叠拼仓储" sheetId="81" r:id="rId35"/>
    <sheet name="比较法-车位" sheetId="35"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政策" sheetId="77" r:id="rId50"/>
    <sheet name="土地案例" sheetId="78" r:id="rId51"/>
    <sheet name="现房案例" sheetId="79" r:id="rId52"/>
  </sheet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25" hidden="1">'比较法-叠拼住宅'!$A$1:$L$49</definedName>
    <definedName name="_xlnm._FilterDatabase" localSheetId="32" hidden="1">'比较法-工业'!$A$1:$L$43</definedName>
    <definedName name="_xlnm._FilterDatabase" localSheetId="24" hidden="1">'比较法-平层住宅'!$A$1:$L$49</definedName>
    <definedName name="_xlnm._FilterDatabase" localSheetId="30" hidden="1">'比较法-商业'!$A$1:$L$49</definedName>
    <definedName name="_xlnm._FilterDatabase" localSheetId="13"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_FilterDatabase" localSheetId="12" hidden="1">新抵押面积!$A$1:$G$487</definedName>
    <definedName name="_xlnm._FilterDatabase" localSheetId="11" hidden="1">预测面积!$B$3:$I$787</definedName>
    <definedName name="_xlnm.Print_Area" localSheetId="8">估价师及机构信息!$A$1:$F$29</definedName>
    <definedName name="_xlnm.Print_Area" localSheetId="27">'收益法 (元)'!$A$1:$AK$69</definedName>
    <definedName name="_xlnm.Print_Area" localSheetId="26">'收益法-地下车库'!$A$1:$AK$69</definedName>
    <definedName name="_xlnm.Print_Area" localSheetId="34">'收益法-地下叠拼仓储'!$A$1:$AK$69</definedName>
    <definedName name="_xlnm.Print_Area" localSheetId="33">'收益法-地下普通仓储'!$A$1:$AK$69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'比较法-叠拼住宅'!$B$88:$M$88</definedName>
    <definedName name="住宅朝向">'比较法-平层住宅'!$B$88:$M$88</definedName>
    <definedName name="住宅房型" localSheetId="25">'比较法-叠拼住宅'!$B$118:$M$118</definedName>
    <definedName name="住宅房型">'比较法-平层住宅'!$B$118:$M$118</definedName>
    <definedName name="住宅公共部分装修" localSheetId="25">'比较法-叠拼住宅'!$B$109:$M$109</definedName>
    <definedName name="住宅公共部分装修">'比较法-平层住宅'!$B$109:$M$109</definedName>
    <definedName name="住宅基础设施水平" localSheetId="25">'比较法-叠拼住宅'!$B$116:$M$116</definedName>
    <definedName name="住宅基础设施水平">'比较法-平层住宅'!$B$116:$M$116</definedName>
    <definedName name="住宅建筑结构" localSheetId="25">'比较法-叠拼住宅'!$B$105:$M$105</definedName>
    <definedName name="住宅建筑结构">'比较法-平层住宅'!$B$105:$M$105</definedName>
    <definedName name="住宅建筑类型" localSheetId="25">'比较法-叠拼住宅'!$B$100:$M$100</definedName>
    <definedName name="住宅建筑类型">'比较法-平层住宅'!$B$100:$M$100</definedName>
    <definedName name="住宅建筑品质" localSheetId="25">'比较法-叠拼住宅'!$B$107:$M$107</definedName>
    <definedName name="住宅建筑品质">'比较法-平层住宅'!$B$107:$M$107</definedName>
    <definedName name="住宅交易情况" localSheetId="25">'比较法-叠拼住宅'!$A$61:$M$61</definedName>
    <definedName name="住宅交易情况">'比较法-平层住宅'!$A$61:$M$61</definedName>
    <definedName name="住宅楼层" localSheetId="25">'比较法-叠拼住宅'!$B$86:$M$86</definedName>
    <definedName name="住宅楼层">'比较法-平层住宅'!$B$86:$M$86</definedName>
    <definedName name="住宅内部装修" localSheetId="25">'比较法-叠拼住宅'!$B$122:$M$122</definedName>
    <definedName name="住宅内部装修">'比较法-平层住宅'!$B$122:$M$122</definedName>
    <definedName name="住宅物业管理" localSheetId="25">'比较法-叠拼住宅'!$B$114:$M$114</definedName>
    <definedName name="住宅物业管理">'比较法-平层住宅'!$B$114:$M$114</definedName>
    <definedName name="住宅用途" localSheetId="25">'比较法-叠拼住宅'!$B$63:$M$63</definedName>
    <definedName name="住宅用途">'比较法-平层住宅'!$B$63:$M$63</definedName>
    <definedName name="住宅主力户型面积" localSheetId="25">'比较法-叠拼住宅'!$B$120:$M$120</definedName>
    <definedName name="住宅主力户型面积">'比较法-平层住宅'!$B$120:$M$120</definedName>
    <definedName name="注册房地产估价师">估价师及机构信息!$A$3:$A$24</definedName>
  </definedNames>
  <calcPr calcId="144525"/>
</workbook>
</file>

<file path=xl/calcChain.xml><?xml version="1.0" encoding="utf-8"?>
<calcChain xmlns="http://schemas.openxmlformats.org/spreadsheetml/2006/main">
  <c r="F6" i="12" l="1"/>
  <c r="P35" i="79"/>
  <c r="C8" i="12"/>
  <c r="C88" i="9" l="1"/>
  <c r="E47" i="80" l="1"/>
  <c r="Q36" i="79"/>
  <c r="N33" i="79"/>
  <c r="I47" i="80"/>
  <c r="P28" i="79"/>
  <c r="Q29" i="79"/>
  <c r="Q28" i="79"/>
  <c r="Q23" i="79"/>
  <c r="P21" i="79" s="1"/>
  <c r="G47" i="80" s="1"/>
  <c r="N26" i="79"/>
  <c r="N19" i="79"/>
  <c r="Q13" i="79"/>
  <c r="Q12" i="79"/>
  <c r="Q11" i="79"/>
  <c r="R1" i="85"/>
  <c r="F488" i="85"/>
  <c r="O13" i="3"/>
  <c r="M13" i="3"/>
  <c r="K13" i="3"/>
  <c r="I13" i="3"/>
  <c r="F19" i="6" s="1"/>
  <c r="F486" i="85"/>
  <c r="E486" i="85"/>
  <c r="F485" i="85"/>
  <c r="E485" i="85"/>
  <c r="D485" i="85"/>
  <c r="N14" i="1" l="1"/>
  <c r="N10" i="1"/>
  <c r="N9" i="1"/>
  <c r="N8" i="1"/>
  <c r="N7" i="1"/>
  <c r="F788" i="83" l="1"/>
  <c r="E788" i="83" l="1"/>
  <c r="G788" i="83" l="1"/>
  <c r="G21" i="6" l="1"/>
  <c r="G23" i="6" l="1"/>
  <c r="K88" i="9" s="1"/>
  <c r="F20" i="6"/>
  <c r="M23" i="83"/>
  <c r="G46" i="39" l="1"/>
  <c r="E38" i="39" l="1"/>
  <c r="AT31" i="3" l="1"/>
  <c r="C23" i="6"/>
  <c r="C21" i="6"/>
  <c r="Q72" i="82"/>
  <c r="Q59" i="82"/>
  <c r="K59" i="82"/>
  <c r="P74" i="82" s="1"/>
  <c r="F59" i="82"/>
  <c r="Q58" i="82"/>
  <c r="Q51" i="82"/>
  <c r="J50" i="82"/>
  <c r="M47" i="82"/>
  <c r="D46" i="82"/>
  <c r="F33" i="82"/>
  <c r="F61" i="82" s="1"/>
  <c r="F31" i="82"/>
  <c r="F23" i="82"/>
  <c r="D23" i="82" s="1"/>
  <c r="F21" i="82"/>
  <c r="F20" i="82"/>
  <c r="M19" i="82"/>
  <c r="F18" i="82"/>
  <c r="M17" i="82"/>
  <c r="F17" i="82"/>
  <c r="F15" i="82"/>
  <c r="I11" i="39"/>
  <c r="G11" i="39"/>
  <c r="E11" i="39"/>
  <c r="I38" i="39"/>
  <c r="G38" i="39"/>
  <c r="C38" i="39"/>
  <c r="I46" i="39"/>
  <c r="E46" i="39"/>
  <c r="I7" i="39"/>
  <c r="G7" i="39"/>
  <c r="E7" i="39"/>
  <c r="I5" i="39"/>
  <c r="G5" i="39"/>
  <c r="E5" i="39"/>
  <c r="C5" i="39"/>
  <c r="C5" i="35"/>
  <c r="Q72" i="81"/>
  <c r="Q59" i="81"/>
  <c r="K59" i="81"/>
  <c r="P74" i="81" s="1"/>
  <c r="F59" i="81"/>
  <c r="Q58" i="81"/>
  <c r="Q51" i="81"/>
  <c r="J50" i="81"/>
  <c r="M47" i="81"/>
  <c r="D46" i="81"/>
  <c r="F33" i="81"/>
  <c r="F61" i="81" s="1"/>
  <c r="F31" i="81"/>
  <c r="F23" i="81"/>
  <c r="D23" i="81" s="1"/>
  <c r="F21" i="81"/>
  <c r="F20" i="81"/>
  <c r="M19" i="81"/>
  <c r="F18" i="81"/>
  <c r="M17" i="81"/>
  <c r="F17" i="81"/>
  <c r="F15" i="81"/>
  <c r="C145" i="80"/>
  <c r="K139"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C23" i="80"/>
  <c r="Q21" i="80"/>
  <c r="Z21" i="80" s="1"/>
  <c r="J21" i="80"/>
  <c r="AC21" i="80" s="1"/>
  <c r="H21" i="80"/>
  <c r="AB21" i="80" s="1"/>
  <c r="F21" i="80"/>
  <c r="AA21" i="80" s="1"/>
  <c r="C21" i="80"/>
  <c r="Q19" i="80"/>
  <c r="Z19" i="80" s="1"/>
  <c r="J19" i="80"/>
  <c r="AC19" i="80" s="1"/>
  <c r="H19" i="80"/>
  <c r="AB19" i="80" s="1"/>
  <c r="F19" i="80"/>
  <c r="C19"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22" i="6"/>
  <c r="C20" i="6"/>
  <c r="C19" i="6"/>
  <c r="AN31" i="3"/>
  <c r="Q31" i="3"/>
  <c r="G22" i="6" s="1"/>
  <c r="K89" i="9" s="1"/>
  <c r="D3" i="4"/>
  <c r="D2" i="80"/>
  <c r="H32" i="80" l="1"/>
  <c r="AB32" i="80" s="1"/>
  <c r="J32" i="80"/>
  <c r="AC32" i="80" s="1"/>
  <c r="F23" i="80"/>
  <c r="AA23" i="80" s="1"/>
  <c r="H23" i="80"/>
  <c r="AB23" i="80" s="1"/>
  <c r="J23" i="80"/>
  <c r="AC23" i="80" s="1"/>
  <c r="AC17" i="80"/>
  <c r="K141" i="80"/>
  <c r="AH9" i="1"/>
  <c r="D24" i="82"/>
  <c r="P61" i="82"/>
  <c r="D22" i="82"/>
  <c r="D24" i="81"/>
  <c r="P61" i="81"/>
  <c r="D22" i="81"/>
  <c r="U8" i="80"/>
  <c r="K145" i="80"/>
  <c r="AA8" i="80"/>
  <c r="AC8" i="80"/>
  <c r="U9" i="80"/>
  <c r="S10" i="80"/>
  <c r="W10" i="80"/>
  <c r="U12" i="80"/>
  <c r="S13" i="80"/>
  <c r="W13" i="80"/>
  <c r="U14" i="80"/>
  <c r="U15" i="80"/>
  <c r="AB17" i="80"/>
  <c r="U17" i="80"/>
  <c r="AA19" i="80"/>
  <c r="S19" i="80"/>
  <c r="S9" i="80"/>
  <c r="W9" i="80"/>
  <c r="U10" i="80"/>
  <c r="S12" i="80"/>
  <c r="W12" i="80"/>
  <c r="U13" i="80"/>
  <c r="S14" i="80"/>
  <c r="W14" i="80"/>
  <c r="S15" i="80"/>
  <c r="W15" i="80"/>
  <c r="S17" i="80"/>
  <c r="U19" i="80"/>
  <c r="U21" i="80"/>
  <c r="S25" i="80"/>
  <c r="W25" i="80"/>
  <c r="U26" i="80"/>
  <c r="S27" i="80"/>
  <c r="W27" i="80"/>
  <c r="U28" i="80"/>
  <c r="S29" i="80"/>
  <c r="W29" i="80"/>
  <c r="U30" i="80"/>
  <c r="S31" i="80"/>
  <c r="W31" i="80"/>
  <c r="S34" i="80"/>
  <c r="W34" i="80"/>
  <c r="U35" i="80"/>
  <c r="S36" i="80"/>
  <c r="W36" i="80"/>
  <c r="U37" i="80"/>
  <c r="S38" i="80"/>
  <c r="W38" i="80"/>
  <c r="U39" i="80"/>
  <c r="S40" i="80"/>
  <c r="W40" i="80"/>
  <c r="U41" i="80"/>
  <c r="S42" i="80"/>
  <c r="W42" i="80"/>
  <c r="U43" i="80"/>
  <c r="S44" i="80"/>
  <c r="W44" i="80"/>
  <c r="W19" i="80"/>
  <c r="S21" i="80"/>
  <c r="W21" i="80"/>
  <c r="U25" i="80"/>
  <c r="S26" i="80"/>
  <c r="W26" i="80"/>
  <c r="U27" i="80"/>
  <c r="S28" i="80"/>
  <c r="W28" i="80"/>
  <c r="U29" i="80"/>
  <c r="S30" i="80"/>
  <c r="W30" i="80"/>
  <c r="U31" i="80"/>
  <c r="S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U23" i="80" l="1"/>
  <c r="S23" i="80"/>
  <c r="W32" i="80"/>
  <c r="U32" i="80"/>
  <c r="W23" i="80"/>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B15" i="72" s="1"/>
  <c r="A14" i="62"/>
  <c r="A13" i="62"/>
  <c r="A19" i="62"/>
  <c r="A12" i="62"/>
  <c r="B58" i="72" s="1"/>
  <c r="A120" i="9"/>
  <c r="H2" i="52"/>
  <c r="A1" i="52"/>
  <c r="A3" i="53"/>
  <c r="Q11" i="71"/>
  <c r="P11" i="71"/>
  <c r="O11" i="71"/>
  <c r="N11"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G12" i="43" s="1"/>
  <c r="AF9" i="43"/>
  <c r="AE9" i="43"/>
  <c r="AE12" i="43" s="1"/>
  <c r="AD9" i="43"/>
  <c r="AC9" i="43"/>
  <c r="AC12" i="43" s="1"/>
  <c r="AB9" i="43"/>
  <c r="AB12" i="43" s="1"/>
  <c r="AA9" i="43"/>
  <c r="AA12" i="43" s="1"/>
  <c r="Z9" i="43"/>
  <c r="AA10" i="43"/>
  <c r="AE10" i="43"/>
  <c r="AG10" i="43"/>
  <c r="AI10" i="43"/>
  <c r="AJ10" i="43"/>
  <c r="K49" i="9"/>
  <c r="E107" i="9"/>
  <c r="A122" i="9" s="1"/>
  <c r="A8" i="52" s="1"/>
  <c r="B54" i="72" s="1"/>
  <c r="E111" i="9"/>
  <c r="A126" i="9" s="1"/>
  <c r="E109" i="9"/>
  <c r="A124" i="9" s="1"/>
  <c r="B44" i="72"/>
  <c r="B42" i="72"/>
  <c r="B69" i="72"/>
  <c r="B68" i="72"/>
  <c r="B63" i="72"/>
  <c r="B62" i="72"/>
  <c r="B16" i="72"/>
  <c r="B65" i="72"/>
  <c r="B60" i="72"/>
  <c r="B59" i="72"/>
  <c r="B66"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D26" i="71"/>
  <c r="Q25" i="71"/>
  <c r="P25" i="71"/>
  <c r="O25" i="71"/>
  <c r="N25" i="71"/>
  <c r="Q24" i="71"/>
  <c r="P24" i="71"/>
  <c r="AA24" i="71"/>
  <c r="O24" i="71"/>
  <c r="Y24" i="71"/>
  <c r="Z24" i="71" s="1"/>
  <c r="N24" i="71"/>
  <c r="X24" i="71" s="1"/>
  <c r="Q23" i="71"/>
  <c r="P23" i="71"/>
  <c r="O23" i="71"/>
  <c r="N23" i="71"/>
  <c r="Q22" i="71"/>
  <c r="F23" i="71" s="1"/>
  <c r="F24" i="71" s="1"/>
  <c r="P22" i="71"/>
  <c r="O22" i="71"/>
  <c r="N22" i="71"/>
  <c r="B23" i="71" s="1"/>
  <c r="B24" i="71" s="1"/>
  <c r="B25" i="71" s="1"/>
  <c r="S25" i="71" s="1"/>
  <c r="D22" i="71"/>
  <c r="Q21" i="71"/>
  <c r="P21" i="71"/>
  <c r="O21" i="71"/>
  <c r="N21" i="71"/>
  <c r="Q20" i="71"/>
  <c r="P20" i="71"/>
  <c r="O20" i="71"/>
  <c r="Y20" i="71" s="1"/>
  <c r="Z20" i="71" s="1"/>
  <c r="N20" i="71"/>
  <c r="Q19" i="71"/>
  <c r="P19" i="71"/>
  <c r="O19" i="71"/>
  <c r="N19" i="71"/>
  <c r="Q18" i="71"/>
  <c r="F19" i="71" s="1"/>
  <c r="F20" i="71" s="1"/>
  <c r="F21" i="71" s="1"/>
  <c r="V21" i="71" s="1"/>
  <c r="P18" i="71"/>
  <c r="O18" i="71"/>
  <c r="N18" i="71"/>
  <c r="X18" i="71" s="1"/>
  <c r="D18" i="71"/>
  <c r="Q17" i="71"/>
  <c r="P17" i="71"/>
  <c r="O17" i="71"/>
  <c r="N17" i="71"/>
  <c r="Q16" i="71"/>
  <c r="P16" i="71"/>
  <c r="O16" i="71"/>
  <c r="N16" i="71"/>
  <c r="Q15" i="71"/>
  <c r="P15" i="71"/>
  <c r="O15" i="71"/>
  <c r="N15" i="71"/>
  <c r="Q14" i="71"/>
  <c r="F15" i="71" s="1"/>
  <c r="F16" i="71" s="1"/>
  <c r="F17" i="71" s="1"/>
  <c r="V17" i="71" s="1"/>
  <c r="P14" i="71"/>
  <c r="O14" i="71"/>
  <c r="N14" i="71"/>
  <c r="D14" i="71"/>
  <c r="O13" i="71"/>
  <c r="C13" i="71" s="1"/>
  <c r="N13" i="71"/>
  <c r="B15" i="71"/>
  <c r="B16" i="71" s="1"/>
  <c r="B17" i="71" s="1"/>
  <c r="S17" i="71" s="1"/>
  <c r="B19" i="71"/>
  <c r="B20" i="71" s="1"/>
  <c r="B21" i="71" s="1"/>
  <c r="S21" i="71" s="1"/>
  <c r="N53" i="71"/>
  <c r="C15" i="71"/>
  <c r="AA17" i="71"/>
  <c r="C19" i="71"/>
  <c r="X20" i="71"/>
  <c r="C23" i="71"/>
  <c r="X23" i="71"/>
  <c r="AA23" i="71"/>
  <c r="F36" i="71"/>
  <c r="F37" i="71" s="1"/>
  <c r="V37" i="71" s="1"/>
  <c r="B13" i="71"/>
  <c r="S13" i="71" s="1"/>
  <c r="B12" i="71"/>
  <c r="D15" i="71"/>
  <c r="D19" i="71"/>
  <c r="C32" i="71"/>
  <c r="D32" i="71" s="1"/>
  <c r="P13" i="71"/>
  <c r="E48" i="71"/>
  <c r="E49" i="71"/>
  <c r="U49" i="71" s="1"/>
  <c r="Q50" i="71"/>
  <c r="U53" i="71"/>
  <c r="E52" i="71"/>
  <c r="E51" i="71" s="1"/>
  <c r="Q13" i="71"/>
  <c r="C40" i="71"/>
  <c r="D40" i="71" s="1"/>
  <c r="D39" i="71"/>
  <c r="Q52" i="71"/>
  <c r="T53" i="71"/>
  <c r="O53" i="71"/>
  <c r="D53" i="71"/>
  <c r="C52" i="71"/>
  <c r="O52" i="71" s="1"/>
  <c r="Q53" i="71"/>
  <c r="E56" i="71"/>
  <c r="E55" i="71" s="1"/>
  <c r="C60" i="71"/>
  <c r="C59" i="71" s="1"/>
  <c r="D59" i="71" s="1"/>
  <c r="E60" i="71"/>
  <c r="E59" i="71" s="1"/>
  <c r="D61" i="71"/>
  <c r="E64" i="71"/>
  <c r="E63" i="71" s="1"/>
  <c r="C68" i="71"/>
  <c r="D68" i="71" s="1"/>
  <c r="C72" i="71"/>
  <c r="C71" i="71" s="1"/>
  <c r="D71" i="71" s="1"/>
  <c r="F13" i="71"/>
  <c r="F12" i="71"/>
  <c r="F11" i="71" s="1"/>
  <c r="AB10" i="71"/>
  <c r="E13" i="71"/>
  <c r="E12" i="71" s="1"/>
  <c r="E11" i="71" s="1"/>
  <c r="C51" i="71"/>
  <c r="D51" i="71" s="1"/>
  <c r="D52" i="71"/>
  <c r="D60" i="71"/>
  <c r="D72" i="71"/>
  <c r="P5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A11" i="70"/>
  <c r="E11" i="70"/>
  <c r="A12" i="70"/>
  <c r="E12" i="70" s="1"/>
  <c r="A13" i="70"/>
  <c r="E13" i="70"/>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U18" i="36" s="1"/>
  <c r="AB18" i="36"/>
  <c r="F18" i="36"/>
  <c r="AA18" i="36" s="1"/>
  <c r="C18" i="36"/>
  <c r="Z18" i="35"/>
  <c r="Q18" i="35"/>
  <c r="D68" i="35"/>
  <c r="E68" i="35" s="1"/>
  <c r="F68" i="35" s="1"/>
  <c r="F18" i="35"/>
  <c r="AA18" i="35" s="1"/>
  <c r="C18" i="35"/>
  <c r="Q21" i="37"/>
  <c r="Z21" i="37" s="1"/>
  <c r="D77" i="37"/>
  <c r="E77" i="37"/>
  <c r="C21" i="37"/>
  <c r="Z21" i="34"/>
  <c r="Q21" i="34"/>
  <c r="D84" i="34"/>
  <c r="E84" i="34" s="1"/>
  <c r="F84" i="34" s="1"/>
  <c r="G84" i="34" s="1"/>
  <c r="F21" i="34"/>
  <c r="C21" i="34"/>
  <c r="Q21" i="33"/>
  <c r="Z21" i="33" s="1"/>
  <c r="D83" i="33"/>
  <c r="E83" i="33"/>
  <c r="C21" i="33"/>
  <c r="C21" i="21"/>
  <c r="Q21" i="21"/>
  <c r="Z21" i="21"/>
  <c r="D83" i="21"/>
  <c r="F21" i="21"/>
  <c r="AA21" i="21" s="1"/>
  <c r="D81" i="21"/>
  <c r="G20" i="20"/>
  <c r="B86" i="43" s="1"/>
  <c r="C22" i="20"/>
  <c r="B75" i="43" s="1"/>
  <c r="S29" i="39"/>
  <c r="S18" i="36"/>
  <c r="H25" i="40"/>
  <c r="J25" i="40"/>
  <c r="H29" i="39"/>
  <c r="AB29" i="39" s="1"/>
  <c r="J29" i="39"/>
  <c r="AC29" i="39" s="1"/>
  <c r="J18" i="36"/>
  <c r="H18" i="35"/>
  <c r="AB18" i="35" s="1"/>
  <c r="G68" i="35"/>
  <c r="J18" i="35"/>
  <c r="W18" i="35" s="1"/>
  <c r="F77" i="37"/>
  <c r="G77" i="37" s="1"/>
  <c r="H21" i="37"/>
  <c r="AB21" i="37" s="1"/>
  <c r="F21" i="37"/>
  <c r="AA21" i="37" s="1"/>
  <c r="H21" i="34"/>
  <c r="AB21" i="34" s="1"/>
  <c r="F83" i="33"/>
  <c r="G83" i="33" s="1"/>
  <c r="H21" i="33"/>
  <c r="U21" i="33" s="1"/>
  <c r="F21" i="33"/>
  <c r="E83" i="21"/>
  <c r="F83" i="21" s="1"/>
  <c r="H1" i="69"/>
  <c r="AC25" i="40"/>
  <c r="W25" i="40"/>
  <c r="W29" i="39"/>
  <c r="U21" i="37"/>
  <c r="S21" i="37"/>
  <c r="AA21" i="33"/>
  <c r="S21" i="33"/>
  <c r="J21" i="37"/>
  <c r="W21" i="37" s="1"/>
  <c r="J21" i="34"/>
  <c r="W21" i="34" s="1"/>
  <c r="J21" i="33"/>
  <c r="W21" i="33" s="1"/>
  <c r="H21" i="21"/>
  <c r="U21" i="21" s="1"/>
  <c r="F38" i="69"/>
  <c r="E37" i="69"/>
  <c r="F36" i="69"/>
  <c r="F35" i="69"/>
  <c r="F21" i="69"/>
  <c r="C21" i="69" s="1"/>
  <c r="F20" i="69"/>
  <c r="E10" i="69"/>
  <c r="E9" i="69"/>
  <c r="F7" i="69"/>
  <c r="C7" i="69" s="1"/>
  <c r="AB21" i="21"/>
  <c r="G83" i="21"/>
  <c r="J21" i="21"/>
  <c r="W21" i="21" s="1"/>
  <c r="F38" i="68"/>
  <c r="E37" i="68"/>
  <c r="F36" i="68"/>
  <c r="F35" i="68"/>
  <c r="F21" i="68"/>
  <c r="F20" i="68"/>
  <c r="E10" i="68"/>
  <c r="E9" i="68"/>
  <c r="F7"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s="1"/>
  <c r="D71" i="43"/>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G11" i="1" s="1"/>
  <c r="F12" i="1"/>
  <c r="G12" i="1" s="1"/>
  <c r="F13" i="1"/>
  <c r="D6" i="1"/>
  <c r="D9" i="1"/>
  <c r="D10" i="1"/>
  <c r="D11" i="1"/>
  <c r="D12" i="1"/>
  <c r="D13" i="1"/>
  <c r="D7" i="1"/>
  <c r="D8" i="1"/>
  <c r="A7" i="1"/>
  <c r="B7" i="1" s="1"/>
  <c r="E7" i="1" s="1"/>
  <c r="A8" i="1"/>
  <c r="A9" i="1"/>
  <c r="A10" i="1"/>
  <c r="A11" i="1"/>
  <c r="A12" i="1"/>
  <c r="A13" i="1"/>
  <c r="A6" i="1"/>
  <c r="F3" i="35" s="1"/>
  <c r="B11" i="1"/>
  <c r="E11"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L33" i="3" s="1"/>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9" i="1" s="1"/>
  <c r="G9" i="1" s="1"/>
  <c r="E15" i="4"/>
  <c r="D15" i="4"/>
  <c r="C10" i="39" s="1"/>
  <c r="F7" i="1"/>
  <c r="G7" i="1" s="1"/>
  <c r="L21" i="4"/>
  <c r="A15" i="62" s="1"/>
  <c r="B61" i="72" s="1"/>
  <c r="F19" i="4"/>
  <c r="F2" i="52"/>
  <c r="B50" i="72" s="1"/>
  <c r="D2" i="52"/>
  <c r="B46" i="72" s="1"/>
  <c r="B8" i="53"/>
  <c r="B23" i="72" s="1"/>
  <c r="L4" i="9"/>
  <c r="B17"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J55" i="9"/>
  <c r="B31" i="1"/>
  <c r="B52" i="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D105" i="39"/>
  <c r="E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c r="F68" i="36" s="1"/>
  <c r="G68" i="36" s="1"/>
  <c r="D64" i="36"/>
  <c r="E64" i="36" s="1"/>
  <c r="F64" i="36" s="1"/>
  <c r="G64" i="36" s="1"/>
  <c r="J16" i="36"/>
  <c r="W16" i="36"/>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c r="Q26" i="36"/>
  <c r="Z26" i="36" s="1"/>
  <c r="H26" i="36"/>
  <c r="AB26" i="36"/>
  <c r="Q25" i="36"/>
  <c r="Z25" i="36" s="1"/>
  <c r="Q24" i="36"/>
  <c r="Z24" i="36"/>
  <c r="H24" i="36"/>
  <c r="AB24" i="36" s="1"/>
  <c r="Q23" i="36"/>
  <c r="Z23" i="36"/>
  <c r="Q22" i="36"/>
  <c r="Z22" i="36" s="1"/>
  <c r="J22" i="36"/>
  <c r="AC22" i="36"/>
  <c r="Q20" i="36"/>
  <c r="Z20" i="36" s="1"/>
  <c r="Q16" i="36"/>
  <c r="Z16" i="36"/>
  <c r="Q14" i="36"/>
  <c r="Z14" i="36" s="1"/>
  <c r="Q13" i="36"/>
  <c r="Z13" i="36"/>
  <c r="Q12" i="36"/>
  <c r="Z12" i="36" s="1"/>
  <c r="Q11" i="36"/>
  <c r="Z11" i="36"/>
  <c r="Q10" i="36"/>
  <c r="Z10" i="36" s="1"/>
  <c r="F10" i="36"/>
  <c r="AA10" i="36"/>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J23" i="35" s="1"/>
  <c r="AC23" i="35" s="1"/>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B77" i="43" s="1"/>
  <c r="C18" i="20"/>
  <c r="B71" i="43"/>
  <c r="C17" i="20"/>
  <c r="B59" i="43" s="1"/>
  <c r="C16" i="20"/>
  <c r="C17" i="39"/>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H23" i="21" s="1"/>
  <c r="AB23" i="21" s="1"/>
  <c r="E81" i="21"/>
  <c r="H19"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3" i="6" s="1"/>
  <c r="G7" i="12" s="1"/>
  <c r="P5" i="3"/>
  <c r="Q5" i="3"/>
  <c r="R5" i="3"/>
  <c r="S5" i="3"/>
  <c r="T5" i="3"/>
  <c r="U5" i="3"/>
  <c r="V5" i="3"/>
  <c r="W5" i="3"/>
  <c r="X5" i="3"/>
  <c r="Y5" i="3"/>
  <c r="Z5" i="3"/>
  <c r="AA5" i="3"/>
  <c r="AB5" i="3"/>
  <c r="H585" i="3"/>
  <c r="H586" i="3"/>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S41" i="21"/>
  <c r="AA41" i="2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34" i="35"/>
  <c r="W22" i="35"/>
  <c r="S31" i="35"/>
  <c r="F36" i="34"/>
  <c r="J35" i="34"/>
  <c r="W9" i="34"/>
  <c r="S34" i="34"/>
  <c r="H39" i="33"/>
  <c r="AB39" i="33"/>
  <c r="F26" i="33"/>
  <c r="AA26" i="33" s="1"/>
  <c r="S9" i="33"/>
  <c r="U33" i="33"/>
  <c r="U35" i="33"/>
  <c r="S40" i="33"/>
  <c r="W33" i="33"/>
  <c r="W39" i="33"/>
  <c r="H39" i="37"/>
  <c r="AB39" i="37" s="1"/>
  <c r="S27" i="35"/>
  <c r="F11" i="40"/>
  <c r="AA11" i="40" s="1"/>
  <c r="H11" i="40"/>
  <c r="AB11" i="40" s="1"/>
  <c r="W8" i="40"/>
  <c r="AB39" i="40"/>
  <c r="AC40" i="40"/>
  <c r="AA9" i="40"/>
  <c r="U9" i="40"/>
  <c r="S34" i="40"/>
  <c r="W31" i="40"/>
  <c r="U34" i="40"/>
  <c r="S38" i="40"/>
  <c r="F42" i="39"/>
  <c r="AA42" i="39" s="1"/>
  <c r="F41" i="39"/>
  <c r="S41" i="39" s="1"/>
  <c r="H40" i="39"/>
  <c r="AB40" i="39" s="1"/>
  <c r="H39" i="39"/>
  <c r="U39" i="39" s="1"/>
  <c r="S34" i="39"/>
  <c r="H34" i="39"/>
  <c r="U34"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S40" i="21"/>
  <c r="U34" i="21"/>
  <c r="S34" i="21"/>
  <c r="C27" i="39"/>
  <c r="C21" i="39"/>
  <c r="S40" i="39"/>
  <c r="C15" i="39"/>
  <c r="H32" i="33"/>
  <c r="AB32" i="33" s="1"/>
  <c r="H37" i="40"/>
  <c r="U37" i="40" s="1"/>
  <c r="H36" i="40"/>
  <c r="AB36" i="40" s="1"/>
  <c r="F35" i="40"/>
  <c r="AA35" i="40" s="1"/>
  <c r="H23" i="40"/>
  <c r="AB23" i="40" s="1"/>
  <c r="H17" i="40"/>
  <c r="U17" i="40" s="1"/>
  <c r="J15" i="40"/>
  <c r="W15" i="40" s="1"/>
  <c r="J11" i="40"/>
  <c r="W11" i="40" s="1"/>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F24" i="36"/>
  <c r="AA24" i="36"/>
  <c r="F34" i="36"/>
  <c r="S34" i="36" s="1"/>
  <c r="S10" i="36"/>
  <c r="AB8" i="36"/>
  <c r="S8" i="36"/>
  <c r="F14" i="35"/>
  <c r="AA14" i="35" s="1"/>
  <c r="F23" i="35"/>
  <c r="AA23" i="35" s="1"/>
  <c r="J32" i="35"/>
  <c r="AC32"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W29" i="33" s="1"/>
  <c r="H29" i="33"/>
  <c r="U29" i="33" s="1"/>
  <c r="F29" i="33"/>
  <c r="S29" i="33" s="1"/>
  <c r="J31" i="33"/>
  <c r="W31" i="33" s="1"/>
  <c r="H31" i="33"/>
  <c r="U31" i="33" s="1"/>
  <c r="F31" i="33"/>
  <c r="H45" i="33"/>
  <c r="U45" i="33" s="1"/>
  <c r="J45" i="33"/>
  <c r="AC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c r="H32" i="36"/>
  <c r="AB32" i="36" s="1"/>
  <c r="J32" i="36"/>
  <c r="W32" i="36"/>
  <c r="J11" i="36"/>
  <c r="AC11" i="36" s="1"/>
  <c r="H11" i="36"/>
  <c r="U11" i="36"/>
  <c r="F11" i="36"/>
  <c r="AA11" i="36" s="1"/>
  <c r="H13" i="36"/>
  <c r="AB13" i="36"/>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J36" i="37"/>
  <c r="AC36" i="37"/>
  <c r="AB11" i="36"/>
  <c r="J10" i="36"/>
  <c r="AC10" i="36" s="1"/>
  <c r="AB26" i="33"/>
  <c r="W13" i="36"/>
  <c r="S11" i="36"/>
  <c r="W11" i="36"/>
  <c r="W11" i="35"/>
  <c r="AB46" i="34"/>
  <c r="AA14" i="34"/>
  <c r="AB45" i="33"/>
  <c r="U13" i="33"/>
  <c r="AC28" i="21"/>
  <c r="S44" i="34"/>
  <c r="BA585"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AZ578" i="3" s="1"/>
  <c r="BA576" i="3"/>
  <c r="AZ576" i="3" s="1"/>
  <c r="BA574" i="3"/>
  <c r="AZ574" i="3" s="1"/>
  <c r="BA572" i="3"/>
  <c r="AZ572" i="3" s="1"/>
  <c r="BA570" i="3"/>
  <c r="AZ570" i="3" s="1"/>
  <c r="BA568" i="3"/>
  <c r="BA566" i="3"/>
  <c r="BA564" i="3"/>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s="1"/>
  <c r="BA508" i="3"/>
  <c r="BA506" i="3"/>
  <c r="AZ506" i="3" s="1"/>
  <c r="BA504" i="3"/>
  <c r="AZ504" i="3" s="1"/>
  <c r="BA502" i="3"/>
  <c r="BA500" i="3"/>
  <c r="AZ500" i="3" s="1"/>
  <c r="BA498" i="3"/>
  <c r="AZ498" i="3" s="1"/>
  <c r="BA496" i="3"/>
  <c r="BA494" i="3"/>
  <c r="AZ494" i="3" s="1"/>
  <c r="BA587" i="3"/>
  <c r="AZ587" i="3" s="1"/>
  <c r="BA583" i="3"/>
  <c r="BA581" i="3"/>
  <c r="BA579" i="3"/>
  <c r="BA577" i="3"/>
  <c r="BA575" i="3"/>
  <c r="BA573" i="3"/>
  <c r="AZ573" i="3" s="1"/>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BA513" i="3"/>
  <c r="BA511" i="3"/>
  <c r="AZ511" i="3" s="1"/>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BQ571" i="3"/>
  <c r="BL571" i="3" s="1"/>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BQ533" i="3"/>
  <c r="BL533" i="3"/>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c r="AZ521" i="3" s="1"/>
  <c r="BL520" i="3"/>
  <c r="AZ520" i="3" s="1"/>
  <c r="G519" i="3"/>
  <c r="G517" i="3"/>
  <c r="G515" i="3"/>
  <c r="G513" i="3"/>
  <c r="G511" i="3"/>
  <c r="BQ519" i="3"/>
  <c r="BL519" i="3" s="1"/>
  <c r="BQ517" i="3"/>
  <c r="BL517" i="3" s="1"/>
  <c r="BQ515" i="3"/>
  <c r="BL515" i="3" s="1"/>
  <c r="AZ515" i="3" s="1"/>
  <c r="BQ513" i="3"/>
  <c r="BL513" i="3" s="1"/>
  <c r="BQ511" i="3"/>
  <c r="BL511" i="3" s="1"/>
  <c r="BA509" i="3"/>
  <c r="AC509" i="3"/>
  <c r="BQ509" i="3"/>
  <c r="BL509" i="3" s="1"/>
  <c r="AZ509" i="3" s="1"/>
  <c r="BL508" i="3"/>
  <c r="AZ508" i="3" s="1"/>
  <c r="G507" i="3"/>
  <c r="G505" i="3"/>
  <c r="G503" i="3"/>
  <c r="G501" i="3"/>
  <c r="G499" i="3"/>
  <c r="G497" i="3"/>
  <c r="G495" i="3"/>
  <c r="BQ507" i="3"/>
  <c r="BL507" i="3" s="1"/>
  <c r="BQ505" i="3"/>
  <c r="BQ5" i="3" s="1"/>
  <c r="BQ503" i="3"/>
  <c r="BL503" i="3" s="1"/>
  <c r="AZ503" i="3" s="1"/>
  <c r="BQ501" i="3"/>
  <c r="BL501" i="3"/>
  <c r="BQ499" i="3"/>
  <c r="BL499" i="3" s="1"/>
  <c r="AZ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U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2" i="31" s="1"/>
  <c r="S27" i="31"/>
  <c r="S26" i="31"/>
  <c r="AC32" i="36"/>
  <c r="AC33" i="36"/>
  <c r="W23" i="35"/>
  <c r="W14" i="37"/>
  <c r="AB28" i="37"/>
  <c r="U33" i="37"/>
  <c r="U39" i="37"/>
  <c r="W26" i="37"/>
  <c r="AC8" i="37"/>
  <c r="U26" i="37"/>
  <c r="W47" i="34"/>
  <c r="AB13" i="34"/>
  <c r="W37" i="34"/>
  <c r="AC36" i="34"/>
  <c r="AA13" i="33"/>
  <c r="AC31" i="33"/>
  <c r="W44" i="33"/>
  <c r="U11" i="33"/>
  <c r="W44" i="21"/>
  <c r="U26" i="21"/>
  <c r="AC46" i="21"/>
  <c r="AB38" i="21"/>
  <c r="F43" i="33"/>
  <c r="AA43" i="33" s="1"/>
  <c r="W15" i="34"/>
  <c r="AC15" i="34"/>
  <c r="G107" i="37"/>
  <c r="H107" i="37" s="1"/>
  <c r="I107" i="37" s="1"/>
  <c r="J107" i="37" s="1"/>
  <c r="K107" i="37" s="1"/>
  <c r="L107" i="37" s="1"/>
  <c r="M107" i="37" s="1"/>
  <c r="H19" i="34"/>
  <c r="AB19" i="34" s="1"/>
  <c r="F36" i="35"/>
  <c r="S36" i="35" s="1"/>
  <c r="J9" i="37"/>
  <c r="W9" i="37"/>
  <c r="H9" i="37"/>
  <c r="AB9" i="37"/>
  <c r="F9" i="37"/>
  <c r="S9" i="37"/>
  <c r="J12" i="37"/>
  <c r="W12" i="37"/>
  <c r="H12" i="37"/>
  <c r="U12" i="37" s="1"/>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C12" i="43"/>
  <c r="H19" i="40"/>
  <c r="U19" i="40"/>
  <c r="F88" i="40"/>
  <c r="G88" i="40"/>
  <c r="F19" i="40"/>
  <c r="S19" i="40"/>
  <c r="AC13" i="40"/>
  <c r="AC43" i="39"/>
  <c r="W43" i="39"/>
  <c r="U45" i="39"/>
  <c r="AB45" i="39"/>
  <c r="AB44" i="39"/>
  <c r="U44"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AZ502" i="3"/>
  <c r="AZ514" i="3"/>
  <c r="AZ522"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AZ120" i="3" s="1"/>
  <c r="G121" i="3"/>
  <c r="BA123" i="3"/>
  <c r="AZ123" i="3" s="1"/>
  <c r="BL124" i="3"/>
  <c r="AZ124" i="3" s="1"/>
  <c r="G125" i="3"/>
  <c r="BA127" i="3"/>
  <c r="AZ127" i="3" s="1"/>
  <c r="BL128" i="3"/>
  <c r="G129" i="3"/>
  <c r="BA131" i="3"/>
  <c r="AZ131" i="3" s="1"/>
  <c r="BL132" i="3"/>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BL168" i="3"/>
  <c r="AZ168" i="3" s="1"/>
  <c r="G169" i="3"/>
  <c r="BA171" i="3"/>
  <c r="BL172" i="3"/>
  <c r="AZ172" i="3"/>
  <c r="G173" i="3"/>
  <c r="BA175" i="3"/>
  <c r="AZ175" i="3" s="1"/>
  <c r="BL176" i="3"/>
  <c r="G177" i="3"/>
  <c r="BA179" i="3"/>
  <c r="BL180" i="3"/>
  <c r="G181" i="3"/>
  <c r="BA183" i="3"/>
  <c r="AZ183" i="3" s="1"/>
  <c r="BL184" i="3"/>
  <c r="G185" i="3"/>
  <c r="BA187" i="3"/>
  <c r="BL188" i="3"/>
  <c r="G189" i="3"/>
  <c r="BA191" i="3"/>
  <c r="BL192" i="3"/>
  <c r="G193" i="3"/>
  <c r="BA195" i="3"/>
  <c r="AZ195" i="3" s="1"/>
  <c r="BL196" i="3"/>
  <c r="G197" i="3"/>
  <c r="BA199" i="3"/>
  <c r="BL200" i="3"/>
  <c r="G201" i="3"/>
  <c r="BA203" i="3"/>
  <c r="BL204" i="3"/>
  <c r="AZ204" i="3" s="1"/>
  <c r="AZ47" i="3"/>
  <c r="AZ59" i="3"/>
  <c r="AZ144" i="3"/>
  <c r="AZ160" i="3"/>
  <c r="AZ200" i="3"/>
  <c r="AZ85" i="3"/>
  <c r="AZ97" i="3"/>
  <c r="G534" i="3"/>
  <c r="G530" i="3"/>
  <c r="G522" i="3"/>
  <c r="G516" i="3"/>
  <c r="G512" i="3"/>
  <c r="G506" i="3"/>
  <c r="G498" i="3"/>
  <c r="G494" i="3"/>
  <c r="G16" i="3"/>
  <c r="G15" i="3"/>
  <c r="BA304" i="3"/>
  <c r="AZ304" i="3"/>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AZ329" i="3" s="1"/>
  <c r="BL329" i="3"/>
  <c r="G330" i="3"/>
  <c r="G333" i="3"/>
  <c r="BL334" i="3"/>
  <c r="BA336" i="3"/>
  <c r="BA337" i="3"/>
  <c r="BL337" i="3"/>
  <c r="G338" i="3"/>
  <c r="G341" i="3"/>
  <c r="BA342" i="3"/>
  <c r="BL342" i="3"/>
  <c r="AZ342" i="3" s="1"/>
  <c r="BA344" i="3"/>
  <c r="AZ344" i="3" s="1"/>
  <c r="BL344" i="3"/>
  <c r="BA346" i="3"/>
  <c r="BA347" i="3"/>
  <c r="AZ347" i="3" s="1"/>
  <c r="BL347" i="3"/>
  <c r="G350" i="3"/>
  <c r="BA351" i="3"/>
  <c r="AZ351" i="3" s="1"/>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170" i="3"/>
  <c r="AZ202" i="3"/>
  <c r="AZ206" i="3"/>
  <c r="BA16" i="3"/>
  <c r="BL303" i="3"/>
  <c r="G304" i="3"/>
  <c r="BA306" i="3"/>
  <c r="BL307" i="3"/>
  <c r="AZ307" i="3" s="1"/>
  <c r="G308" i="3"/>
  <c r="BA310" i="3"/>
  <c r="AZ310" i="3" s="1"/>
  <c r="BL311" i="3"/>
  <c r="G312" i="3"/>
  <c r="BA314" i="3"/>
  <c r="AZ314" i="3" s="1"/>
  <c r="BL315" i="3"/>
  <c r="G316" i="3"/>
  <c r="BA318" i="3"/>
  <c r="AZ318" i="3" s="1"/>
  <c r="BL319" i="3"/>
  <c r="G320" i="3"/>
  <c r="BA322" i="3"/>
  <c r="AZ322" i="3" s="1"/>
  <c r="BL323" i="3"/>
  <c r="AZ323" i="3" s="1"/>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22" i="3"/>
  <c r="AZ303"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233" i="3"/>
  <c r="AZ237" i="3"/>
  <c r="AZ241" i="3"/>
  <c r="AZ273" i="3"/>
  <c r="BA379" i="3"/>
  <c r="AZ379" i="3"/>
  <c r="BL380" i="3"/>
  <c r="G381" i="3"/>
  <c r="BA383" i="3"/>
  <c r="AZ383" i="3"/>
  <c r="BL384" i="3"/>
  <c r="G385" i="3"/>
  <c r="BA387" i="3"/>
  <c r="AZ387" i="3"/>
  <c r="BL388" i="3"/>
  <c r="G389" i="3"/>
  <c r="BA391" i="3"/>
  <c r="AZ391" i="3"/>
  <c r="BL392" i="3"/>
  <c r="G393" i="3"/>
  <c r="AZ275" i="3"/>
  <c r="AZ291" i="3"/>
  <c r="AZ299" i="3"/>
  <c r="BO5" i="3"/>
  <c r="BM5" i="3"/>
  <c r="BJ5" i="3"/>
  <c r="BH5" i="3"/>
  <c r="BF5" i="3"/>
  <c r="AZ309" i="3"/>
  <c r="AZ317" i="3"/>
  <c r="AZ325" i="3"/>
  <c r="AZ333" i="3"/>
  <c r="AZ341" i="3"/>
  <c r="AC5" i="3"/>
  <c r="AZ496" i="3"/>
  <c r="G548" i="3"/>
  <c r="G538" i="3"/>
  <c r="G520" i="3"/>
  <c r="G502" i="3"/>
  <c r="BS5" i="3"/>
  <c r="BP5" i="3"/>
  <c r="BN5" i="3"/>
  <c r="AZ343" i="3"/>
  <c r="BK5" i="3"/>
  <c r="BI5" i="3"/>
  <c r="BG5" i="3"/>
  <c r="BE5" i="3"/>
  <c r="BC5" i="3"/>
  <c r="G17" i="3"/>
  <c r="BA17" i="3"/>
  <c r="BT5" i="3"/>
  <c r="AZ352" i="3"/>
  <c r="AZ364" i="3"/>
  <c r="BA15" i="3"/>
  <c r="BB5" i="3"/>
  <c r="BR5" i="3"/>
  <c r="AZ380" i="3"/>
  <c r="AZ384" i="3"/>
  <c r="AZ388" i="3"/>
  <c r="AZ392" i="3"/>
  <c r="G509" i="3"/>
  <c r="BL493" i="3"/>
  <c r="AZ376" i="3"/>
  <c r="AZ382" i="3"/>
  <c r="U36" i="40"/>
  <c r="N4" i="43"/>
  <c r="F36" i="43"/>
  <c r="F81" i="43"/>
  <c r="H83" i="43" s="1"/>
  <c r="H113" i="43"/>
  <c r="F48" i="43"/>
  <c r="H52" i="43" s="1"/>
  <c r="N7" i="43"/>
  <c r="F70" i="43"/>
  <c r="H73" i="43" s="1"/>
  <c r="M6" i="43"/>
  <c r="M11" i="43"/>
  <c r="E17" i="43"/>
  <c r="F39" i="43"/>
  <c r="I17" i="43"/>
  <c r="F35" i="43"/>
  <c r="J17" i="43"/>
  <c r="F6" i="1"/>
  <c r="U43" i="21"/>
  <c r="U35" i="21"/>
  <c r="AC35" i="21"/>
  <c r="U10" i="21"/>
  <c r="W37" i="37"/>
  <c r="W44" i="34"/>
  <c r="AC44" i="34"/>
  <c r="U13" i="37"/>
  <c r="U12" i="40"/>
  <c r="AA12" i="40"/>
  <c r="J37" i="33"/>
  <c r="W37" i="33" s="1"/>
  <c r="AC17" i="34"/>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C40" i="11"/>
  <c r="AZ223" i="3"/>
  <c r="AZ248" i="3"/>
  <c r="AZ280" i="3"/>
  <c r="AZ58" i="3"/>
  <c r="AZ66" i="3"/>
  <c r="AZ94"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O9" i="1" s="1"/>
  <c r="P9" i="1" s="1"/>
  <c r="D93" i="9"/>
  <c r="W26" i="33"/>
  <c r="W27" i="34"/>
  <c r="AC27" i="34"/>
  <c r="AB34" i="36"/>
  <c r="U34" i="36"/>
  <c r="AB33" i="36"/>
  <c r="U33" i="36"/>
  <c r="AC12" i="39"/>
  <c r="W12" i="39"/>
  <c r="AC39" i="40"/>
  <c r="W39" i="40"/>
  <c r="AZ417" i="3"/>
  <c r="AZ428" i="3"/>
  <c r="W12" i="33"/>
  <c r="AC12" i="33"/>
  <c r="AA32" i="36"/>
  <c r="S32" i="36"/>
  <c r="AZ457" i="3"/>
  <c r="AZ490" i="3"/>
  <c r="AA39" i="34"/>
  <c r="BL14" i="3"/>
  <c r="AZ266" i="3"/>
  <c r="U30" i="33"/>
  <c r="AC13" i="34"/>
  <c r="AA47" i="34"/>
  <c r="F12" i="33"/>
  <c r="S12" i="33" s="1"/>
  <c r="H12" i="39"/>
  <c r="AB12" i="39" s="1"/>
  <c r="F39" i="40"/>
  <c r="BA14" i="3"/>
  <c r="AZ224" i="3"/>
  <c r="AZ286" i="3"/>
  <c r="AZ165" i="3"/>
  <c r="AZ197" i="3"/>
  <c r="AZ35" i="3"/>
  <c r="S12" i="1"/>
  <c r="AQ12" i="1" s="1"/>
  <c r="R12" i="1"/>
  <c r="B12" i="1"/>
  <c r="E12" i="1" s="1"/>
  <c r="B10" i="1"/>
  <c r="E10" i="1" s="1"/>
  <c r="D1" i="66"/>
  <c r="E10" i="66"/>
  <c r="AZ111" i="3"/>
  <c r="K12" i="1"/>
  <c r="M12" i="1" s="1"/>
  <c r="S13" i="1"/>
  <c r="AR13" i="1" s="1"/>
  <c r="R13" i="1"/>
  <c r="S11" i="1"/>
  <c r="AQ11" i="1" s="1"/>
  <c r="R11" i="1"/>
  <c r="J51" i="67"/>
  <c r="C42" i="1"/>
  <c r="H100" i="43"/>
  <c r="C30" i="66"/>
  <c r="E26" i="66" s="1"/>
  <c r="AC34" i="33"/>
  <c r="AA34" i="33"/>
  <c r="B41" i="1"/>
  <c r="F53" i="9"/>
  <c r="J100" i="43"/>
  <c r="AB37" i="40"/>
  <c r="S35" i="40"/>
  <c r="U35" i="40"/>
  <c r="AC36" i="40"/>
  <c r="AA32" i="40"/>
  <c r="S17" i="40"/>
  <c r="S23" i="40"/>
  <c r="AC17" i="40"/>
  <c r="AC15" i="40"/>
  <c r="AB27" i="40"/>
  <c r="S30" i="40"/>
  <c r="AA19" i="40"/>
  <c r="S28" i="40"/>
  <c r="U21" i="40"/>
  <c r="AB19" i="40"/>
  <c r="W42" i="39"/>
  <c r="U37" i="39"/>
  <c r="W39" i="39"/>
  <c r="S43" i="39"/>
  <c r="S37" i="39"/>
  <c r="U35" i="39"/>
  <c r="U25"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W32" i="35"/>
  <c r="S28" i="35"/>
  <c r="U22" i="35"/>
  <c r="S20" i="35"/>
  <c r="AC20" i="35"/>
  <c r="S22" i="35"/>
  <c r="U14" i="35"/>
  <c r="AC10" i="35"/>
  <c r="AA10" i="35"/>
  <c r="AB10" i="35"/>
  <c r="AA11" i="35"/>
  <c r="S8" i="35"/>
  <c r="AC9" i="35"/>
  <c r="W9" i="35"/>
  <c r="AC12" i="35"/>
  <c r="W13" i="35"/>
  <c r="F9" i="35"/>
  <c r="AA9" i="35" s="1"/>
  <c r="H9" i="35"/>
  <c r="U9" i="35" s="1"/>
  <c r="F26" i="35"/>
  <c r="AA26" i="35" s="1"/>
  <c r="J26" i="35"/>
  <c r="AC26" i="35" s="1"/>
  <c r="H26" i="35"/>
  <c r="AB26" i="35" s="1"/>
  <c r="AB40" i="37"/>
  <c r="W27" i="37"/>
  <c r="AC9" i="37"/>
  <c r="AC29" i="37"/>
  <c r="U29" i="37"/>
  <c r="S32" i="37"/>
  <c r="W30" i="37"/>
  <c r="S36" i="37"/>
  <c r="AA38" i="37"/>
  <c r="U32" i="37"/>
  <c r="W38" i="37"/>
  <c r="AC35" i="37"/>
  <c r="W39" i="37"/>
  <c r="S30" i="37"/>
  <c r="S37" i="37"/>
  <c r="AC15" i="37"/>
  <c r="J17" i="37"/>
  <c r="W17" i="37" s="1"/>
  <c r="G73" i="37"/>
  <c r="F17" i="37"/>
  <c r="AB17" i="37"/>
  <c r="F75" i="37"/>
  <c r="F19" i="37"/>
  <c r="AA19" i="37" s="1"/>
  <c r="F79" i="37"/>
  <c r="F23" i="37"/>
  <c r="S23" i="37" s="1"/>
  <c r="U23" i="37"/>
  <c r="U15" i="37"/>
  <c r="AC13" i="37"/>
  <c r="U9" i="37"/>
  <c r="AA13" i="37"/>
  <c r="AA12" i="37"/>
  <c r="AA9" i="37"/>
  <c r="H10" i="37"/>
  <c r="H60" i="37"/>
  <c r="F63" i="37"/>
  <c r="F11" i="37"/>
  <c r="S11" i="37" s="1"/>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s="1"/>
  <c r="F77" i="21"/>
  <c r="G77" i="21"/>
  <c r="E85" i="21"/>
  <c r="F85" i="21" s="1"/>
  <c r="G85"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c r="U29" i="34"/>
  <c r="E5" i="6"/>
  <c r="D9" i="11" s="1"/>
  <c r="C9" i="11" s="1"/>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C52" i="37"/>
  <c r="D52" i="37" s="1"/>
  <c r="E52" i="37" s="1"/>
  <c r="F52" i="37" s="1"/>
  <c r="G52" i="37" s="1"/>
  <c r="A4" i="51"/>
  <c r="B6" i="72" s="1"/>
  <c r="C48" i="35"/>
  <c r="D48" i="35" s="1"/>
  <c r="E48" i="35" s="1"/>
  <c r="F48" i="35" s="1"/>
  <c r="G48" i="35" s="1"/>
  <c r="H48" i="35" s="1"/>
  <c r="I48" i="35" s="1"/>
  <c r="J48" i="35" s="1"/>
  <c r="H62" i="43"/>
  <c r="H66" i="43"/>
  <c r="H61" i="43"/>
  <c r="H65" i="43"/>
  <c r="H60" i="43"/>
  <c r="H64" i="43"/>
  <c r="H59" i="43"/>
  <c r="H63" i="43"/>
  <c r="H67" i="43"/>
  <c r="H55" i="43"/>
  <c r="H51" i="43"/>
  <c r="H56" i="43"/>
  <c r="H76" i="43"/>
  <c r="H72" i="43"/>
  <c r="H77" i="43"/>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W17" i="39"/>
  <c r="AC17" i="39"/>
  <c r="AB39" i="39"/>
  <c r="W34" i="39"/>
  <c r="S8" i="39"/>
  <c r="S20" i="36"/>
  <c r="AC25" i="36"/>
  <c r="S28" i="36"/>
  <c r="U32" i="36"/>
  <c r="W29" i="36"/>
  <c r="AC20" i="36"/>
  <c r="U25" i="36"/>
  <c r="AB28" i="36"/>
  <c r="AA13" i="36"/>
  <c r="W22" i="36"/>
  <c r="W23"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AA26" i="21"/>
  <c r="AB14" i="21"/>
  <c r="AB46" i="21"/>
  <c r="U40" i="21"/>
  <c r="AB31" i="21"/>
  <c r="U31" i="21"/>
  <c r="U13" i="21"/>
  <c r="AB13" i="21"/>
  <c r="W8" i="21"/>
  <c r="S35" i="21"/>
  <c r="H15" i="21"/>
  <c r="U15" i="21" s="1"/>
  <c r="J17" i="21"/>
  <c r="AC17" i="21" s="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K141" i="21"/>
  <c r="K144" i="21"/>
  <c r="K143" i="21"/>
  <c r="U27" i="21"/>
  <c r="AB25" i="21"/>
  <c r="AB44" i="21"/>
  <c r="AA30" i="21"/>
  <c r="W13" i="21"/>
  <c r="F10" i="21"/>
  <c r="S10" i="21" s="1"/>
  <c r="K145" i="21"/>
  <c r="W25" i="21"/>
  <c r="W31" i="21"/>
  <c r="S27" i="21"/>
  <c r="S17" i="21"/>
  <c r="AA15" i="21"/>
  <c r="AC27" i="21"/>
  <c r="AC26" i="21"/>
  <c r="AB29" i="21"/>
  <c r="S28" i="21"/>
  <c r="AC34" i="21"/>
  <c r="W10" i="21"/>
  <c r="AB36" i="21"/>
  <c r="W30" i="40"/>
  <c r="C19" i="39"/>
  <c r="C15" i="40"/>
  <c r="C23" i="40"/>
  <c r="U30" i="40"/>
  <c r="B65" i="43"/>
  <c r="B49" i="43"/>
  <c r="B52" i="43"/>
  <c r="B56" i="43"/>
  <c r="B60" i="43"/>
  <c r="B63" i="43"/>
  <c r="B67" i="43"/>
  <c r="D23" i="15"/>
  <c r="D22" i="15"/>
  <c r="F30" i="68"/>
  <c r="F30" i="11"/>
  <c r="C48" i="11"/>
  <c r="F28" i="67"/>
  <c r="C28" i="67"/>
  <c r="F31" i="12"/>
  <c r="F52" i="9"/>
  <c r="M18" i="67"/>
  <c r="F32" i="67"/>
  <c r="F60" i="67" s="1"/>
  <c r="F30" i="69"/>
  <c r="F32" i="15"/>
  <c r="F60" i="15" s="1"/>
  <c r="M18" i="15"/>
  <c r="F28" i="15"/>
  <c r="C28" i="15" s="1"/>
  <c r="C30" i="69"/>
  <c r="E7" i="70"/>
  <c r="C24" i="12"/>
  <c r="AA39" i="40"/>
  <c r="S39" i="40"/>
  <c r="AA12" i="33"/>
  <c r="D68" i="9"/>
  <c r="F54" i="9"/>
  <c r="AC21" i="39"/>
  <c r="W21" i="39"/>
  <c r="AB9" i="35"/>
  <c r="W26" i="35"/>
  <c r="AC17" i="37"/>
  <c r="J19" i="37"/>
  <c r="G75" i="37"/>
  <c r="S19" i="37"/>
  <c r="AA23" i="37"/>
  <c r="J23" i="37"/>
  <c r="G79" i="37"/>
  <c r="J10" i="37"/>
  <c r="I60" i="37"/>
  <c r="G63" i="37"/>
  <c r="H11" i="37"/>
  <c r="AB11" i="37" s="1"/>
  <c r="AB10" i="37"/>
  <c r="U10" i="37"/>
  <c r="H11" i="34"/>
  <c r="AB10" i="34"/>
  <c r="U10" i="34"/>
  <c r="J10" i="34"/>
  <c r="I67" i="34"/>
  <c r="U41" i="33"/>
  <c r="W35" i="33"/>
  <c r="AC35" i="33"/>
  <c r="H111" i="33"/>
  <c r="I111" i="33" s="1"/>
  <c r="J111" i="33" s="1"/>
  <c r="K111" i="33" s="1"/>
  <c r="L111" i="33" s="1"/>
  <c r="M111" i="33" s="1"/>
  <c r="J36" i="33"/>
  <c r="AC36" i="33" s="1"/>
  <c r="H36" i="33"/>
  <c r="S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B23" i="33"/>
  <c r="F23" i="33"/>
  <c r="G85" i="33"/>
  <c r="AC23" i="33"/>
  <c r="W23" i="33"/>
  <c r="AA19" i="33"/>
  <c r="H19" i="33"/>
  <c r="G81" i="33"/>
  <c r="G79" i="33"/>
  <c r="H17" i="33"/>
  <c r="AB17" i="33" s="1"/>
  <c r="F17" i="33"/>
  <c r="U10" i="33"/>
  <c r="AB10" i="33"/>
  <c r="AC10" i="33"/>
  <c r="W10" i="33"/>
  <c r="D6" i="52"/>
  <c r="D121" i="9"/>
  <c r="D7" i="52"/>
  <c r="K120" i="9"/>
  <c r="A18" i="62" s="1"/>
  <c r="B64" i="72" s="1"/>
  <c r="R22" i="31"/>
  <c r="B21" i="31"/>
  <c r="U9" i="21"/>
  <c r="S32" i="21"/>
  <c r="W9" i="21"/>
  <c r="AC9" i="21"/>
  <c r="U32" i="21"/>
  <c r="C30" i="11"/>
  <c r="E6" i="70"/>
  <c r="W19" i="37"/>
  <c r="AC19" i="37"/>
  <c r="W23" i="37"/>
  <c r="AC23" i="37"/>
  <c r="H63" i="37"/>
  <c r="I63" i="37"/>
  <c r="J63" i="37" s="1"/>
  <c r="K63" i="37" s="1"/>
  <c r="L63" i="37" s="1"/>
  <c r="M63" i="37" s="1"/>
  <c r="J11" i="37"/>
  <c r="W10" i="37"/>
  <c r="AC10" i="37"/>
  <c r="U11" i="34"/>
  <c r="AB11" i="34"/>
  <c r="AC10" i="34"/>
  <c r="W10" i="34"/>
  <c r="H70" i="34"/>
  <c r="I70" i="34" s="1"/>
  <c r="J70" i="34"/>
  <c r="K70" i="34" s="1"/>
  <c r="L70" i="34" s="1"/>
  <c r="M70" i="34" s="1"/>
  <c r="J11" i="34"/>
  <c r="U36" i="33"/>
  <c r="AB36" i="33"/>
  <c r="W27" i="33"/>
  <c r="AC27" i="33"/>
  <c r="W25" i="33"/>
  <c r="AC25" i="33"/>
  <c r="AA23" i="33"/>
  <c r="S23" i="33"/>
  <c r="AB19" i="33"/>
  <c r="U19" i="33"/>
  <c r="AA17" i="33"/>
  <c r="S17" i="33"/>
  <c r="U17" i="33"/>
  <c r="F1" i="67"/>
  <c r="Q52" i="67"/>
  <c r="AC11" i="37"/>
  <c r="W11" i="37"/>
  <c r="W11" i="34"/>
  <c r="AC11" i="34"/>
  <c r="AE7" i="1"/>
  <c r="AE6" i="1"/>
  <c r="AG6" i="1"/>
  <c r="J7" i="33"/>
  <c r="W7" i="33" s="1"/>
  <c r="H112" i="9"/>
  <c r="D21" i="53" s="1"/>
  <c r="B39" i="72" s="1"/>
  <c r="H111" i="9"/>
  <c r="D126" i="9" s="1"/>
  <c r="D59" i="9"/>
  <c r="M55" i="9" s="1"/>
  <c r="AD3" i="71"/>
  <c r="F6" i="67"/>
  <c r="F26" i="15"/>
  <c r="F42" i="15"/>
  <c r="F38" i="15"/>
  <c r="M24" i="67"/>
  <c r="M27" i="15"/>
  <c r="F7" i="15"/>
  <c r="F41" i="67"/>
  <c r="E13" i="76"/>
  <c r="D5" i="73"/>
  <c r="AO13" i="1"/>
  <c r="E2" i="68"/>
  <c r="L47" i="67"/>
  <c r="M9" i="15"/>
  <c r="E12" i="76"/>
  <c r="D2" i="21"/>
  <c r="E8" i="76"/>
  <c r="AO11" i="1"/>
  <c r="F5" i="73"/>
  <c r="B10" i="76"/>
  <c r="B8" i="76"/>
  <c r="F38" i="67"/>
  <c r="F4" i="73"/>
  <c r="D2" i="36"/>
  <c r="D6" i="73"/>
  <c r="D2" i="37"/>
  <c r="F8" i="67"/>
  <c r="E11" i="76"/>
  <c r="B9" i="76"/>
  <c r="B13" i="76"/>
  <c r="E10" i="76"/>
  <c r="M29" i="15"/>
  <c r="B7" i="76"/>
  <c r="F6" i="73"/>
  <c r="D2" i="33"/>
  <c r="F35" i="67"/>
  <c r="AO7" i="1"/>
  <c r="F36" i="67"/>
  <c r="F26" i="67"/>
  <c r="M28" i="67"/>
  <c r="M9" i="67"/>
  <c r="M23" i="67"/>
  <c r="F13" i="15"/>
  <c r="E7" i="76"/>
  <c r="C76" i="67"/>
  <c r="M22" i="67"/>
  <c r="D7" i="73"/>
  <c r="M26" i="67"/>
  <c r="AO6" i="1"/>
  <c r="E9" i="76"/>
  <c r="M8" i="67"/>
  <c r="F13" i="67"/>
  <c r="L47" i="15"/>
  <c r="F37" i="15"/>
  <c r="M6" i="15"/>
  <c r="F7" i="67"/>
  <c r="B11" i="76"/>
  <c r="D4" i="73"/>
  <c r="L48" i="67"/>
  <c r="F20" i="31"/>
  <c r="F43" i="67"/>
  <c r="F9" i="67"/>
  <c r="F40" i="67"/>
  <c r="J15" i="67"/>
  <c r="F43" i="15"/>
  <c r="M27" i="67"/>
  <c r="D3" i="73"/>
  <c r="F16" i="15"/>
  <c r="M23" i="15"/>
  <c r="M28" i="15"/>
  <c r="F36" i="15"/>
  <c r="D2" i="34"/>
  <c r="M6" i="67"/>
  <c r="D2" i="35"/>
  <c r="F37" i="67"/>
  <c r="F42" i="67"/>
  <c r="M29" i="67"/>
  <c r="E2" i="69"/>
  <c r="F3" i="73"/>
  <c r="F16" i="67"/>
  <c r="M24" i="15"/>
  <c r="C76" i="15"/>
  <c r="B12" i="76"/>
  <c r="F7" i="73"/>
  <c r="F9" i="15"/>
  <c r="M21" i="67"/>
  <c r="AO12" i="1"/>
  <c r="J23" i="21" l="1"/>
  <c r="W23" i="21" s="1"/>
  <c r="F23" i="21"/>
  <c r="W12" i="21"/>
  <c r="H7" i="33"/>
  <c r="AB7" i="33" s="1"/>
  <c r="T48" i="33" s="1"/>
  <c r="G48" i="33" s="1"/>
  <c r="F7" i="33"/>
  <c r="S7" i="33" s="1"/>
  <c r="J51" i="15"/>
  <c r="N59" i="15" s="1"/>
  <c r="AQ13" i="1"/>
  <c r="T12" i="1"/>
  <c r="AR12" i="1"/>
  <c r="AB42" i="21"/>
  <c r="W42" i="21"/>
  <c r="U11" i="37"/>
  <c r="W45" i="21"/>
  <c r="AC45" i="21"/>
  <c r="W36" i="33"/>
  <c r="C7" i="43"/>
  <c r="S17" i="37"/>
  <c r="AA17" i="37"/>
  <c r="W17" i="33"/>
  <c r="C77" i="9"/>
  <c r="C74" i="9" s="1"/>
  <c r="C48" i="68"/>
  <c r="C30" i="68"/>
  <c r="S9" i="21"/>
  <c r="AA9" i="21"/>
  <c r="F101" i="39"/>
  <c r="G101" i="39" s="1"/>
  <c r="J27" i="39"/>
  <c r="AC27" i="39" s="1"/>
  <c r="H27" i="39"/>
  <c r="F27" i="39"/>
  <c r="AA29" i="21"/>
  <c r="S23" i="39"/>
  <c r="E7" i="35"/>
  <c r="F7" i="35" s="1"/>
  <c r="I7" i="35"/>
  <c r="G7" i="35"/>
  <c r="AA36" i="35"/>
  <c r="F28" i="82"/>
  <c r="C28" i="82" s="1"/>
  <c r="F32" i="81"/>
  <c r="F60" i="81" s="1"/>
  <c r="M18" i="81"/>
  <c r="F32" i="82"/>
  <c r="F60" i="82" s="1"/>
  <c r="M18" i="82"/>
  <c r="F28" i="81"/>
  <c r="C28" i="81" s="1"/>
  <c r="F48" i="9"/>
  <c r="O52" i="9" s="1"/>
  <c r="AZ362" i="3"/>
  <c r="AZ326" i="3"/>
  <c r="AZ306" i="3"/>
  <c r="AZ372" i="3"/>
  <c r="AZ320" i="3"/>
  <c r="AZ305" i="3"/>
  <c r="S14" i="40"/>
  <c r="AA25" i="21"/>
  <c r="AB43" i="33"/>
  <c r="BL505" i="3"/>
  <c r="AZ505" i="3" s="1"/>
  <c r="AZ568" i="3"/>
  <c r="AB31" i="33"/>
  <c r="AC30" i="34"/>
  <c r="AB30" i="21"/>
  <c r="U46" i="33"/>
  <c r="W45" i="33"/>
  <c r="AC29" i="33"/>
  <c r="S28" i="34"/>
  <c r="J16" i="35"/>
  <c r="U8" i="35"/>
  <c r="U14" i="37"/>
  <c r="F45" i="39"/>
  <c r="J19" i="21"/>
  <c r="F81" i="21"/>
  <c r="G81" i="21" s="1"/>
  <c r="F12" i="35"/>
  <c r="H12" i="35"/>
  <c r="BL586" i="3"/>
  <c r="AZ586" i="3" s="1"/>
  <c r="H25" i="37"/>
  <c r="J25" i="37"/>
  <c r="H40" i="40"/>
  <c r="F40" i="40"/>
  <c r="W33" i="34"/>
  <c r="C58" i="21"/>
  <c r="D58" i="21" s="1"/>
  <c r="E58" i="21" s="1"/>
  <c r="F58" i="21" s="1"/>
  <c r="G58" i="21" s="1"/>
  <c r="H58" i="21" s="1"/>
  <c r="I58" i="21" s="1"/>
  <c r="I7" i="21"/>
  <c r="G7" i="21"/>
  <c r="E7" i="21"/>
  <c r="S42" i="33"/>
  <c r="AB31" i="37"/>
  <c r="AA27" i="40"/>
  <c r="W28" i="37"/>
  <c r="S15" i="37"/>
  <c r="AZ377" i="3"/>
  <c r="AZ355" i="3"/>
  <c r="AZ337" i="3"/>
  <c r="AB33" i="40"/>
  <c r="W40" i="37"/>
  <c r="AB37" i="34"/>
  <c r="U14" i="40"/>
  <c r="AZ507" i="3"/>
  <c r="AZ564" i="3"/>
  <c r="AZ580" i="3"/>
  <c r="W36" i="39"/>
  <c r="S45" i="33"/>
  <c r="AA44" i="33"/>
  <c r="AB17" i="34"/>
  <c r="W33" i="37"/>
  <c r="F16" i="35"/>
  <c r="AB8" i="39"/>
  <c r="S38" i="39"/>
  <c r="G586" i="3"/>
  <c r="BL585" i="3"/>
  <c r="AZ585" i="3" s="1"/>
  <c r="F19" i="21"/>
  <c r="J9" i="36"/>
  <c r="F9" i="36"/>
  <c r="G551" i="3"/>
  <c r="BL550" i="3"/>
  <c r="AC39" i="34"/>
  <c r="AZ493" i="3"/>
  <c r="AZ336" i="3"/>
  <c r="U35" i="35"/>
  <c r="AZ535" i="3"/>
  <c r="AZ566" i="3"/>
  <c r="AZ582" i="3"/>
  <c r="AA14" i="37"/>
  <c r="AA14" i="33"/>
  <c r="F27" i="34"/>
  <c r="AA39" i="37"/>
  <c r="H16" i="35"/>
  <c r="AC9" i="40"/>
  <c r="U34" i="34"/>
  <c r="U9" i="36"/>
  <c r="J45" i="39"/>
  <c r="AB41" i="21"/>
  <c r="G585" i="3"/>
  <c r="F25" i="37"/>
  <c r="H38" i="40"/>
  <c r="J38" i="40"/>
  <c r="G578" i="3"/>
  <c r="AZ400" i="3"/>
  <c r="G566" i="3"/>
  <c r="BA551" i="3"/>
  <c r="AZ551" i="3" s="1"/>
  <c r="F8" i="1"/>
  <c r="G8" i="1" s="1"/>
  <c r="F10" i="1"/>
  <c r="G10" i="1" s="1"/>
  <c r="BA399" i="3"/>
  <c r="AZ399" i="3" s="1"/>
  <c r="BL401" i="3"/>
  <c r="AZ401" i="3" s="1"/>
  <c r="G404" i="3"/>
  <c r="G409" i="3"/>
  <c r="BA416" i="3"/>
  <c r="AZ416" i="3" s="1"/>
  <c r="BL419" i="3"/>
  <c r="G420" i="3"/>
  <c r="BL420" i="3"/>
  <c r="BL422" i="3"/>
  <c r="AZ427" i="3"/>
  <c r="AZ406" i="3"/>
  <c r="AZ409" i="3"/>
  <c r="AZ419" i="3"/>
  <c r="M20" i="15"/>
  <c r="F34" i="82"/>
  <c r="F62" i="82" s="1"/>
  <c r="M20" i="81"/>
  <c r="M20" i="82"/>
  <c r="F34" i="81"/>
  <c r="F62" i="81" s="1"/>
  <c r="BD5" i="3"/>
  <c r="E15" i="6" s="1"/>
  <c r="E60" i="40" s="1"/>
  <c r="BL15" i="3"/>
  <c r="AZ15" i="3" s="1"/>
  <c r="G398" i="3"/>
  <c r="BL398" i="3"/>
  <c r="BA403" i="3"/>
  <c r="BA407" i="3"/>
  <c r="AZ483" i="3"/>
  <c r="J14" i="35"/>
  <c r="W14" i="35" s="1"/>
  <c r="G400" i="3"/>
  <c r="BL400" i="3"/>
  <c r="BL404" i="3"/>
  <c r="AZ404" i="3" s="1"/>
  <c r="G405" i="3"/>
  <c r="BL405" i="3"/>
  <c r="BL409" i="3"/>
  <c r="G410" i="3"/>
  <c r="BL410" i="3"/>
  <c r="BL413" i="3"/>
  <c r="AZ413" i="3" s="1"/>
  <c r="BL424" i="3"/>
  <c r="AZ424" i="3" s="1"/>
  <c r="BA430" i="3"/>
  <c r="AZ430" i="3" s="1"/>
  <c r="BL439" i="3"/>
  <c r="BL442" i="3"/>
  <c r="BA445" i="3"/>
  <c r="AZ445" i="3" s="1"/>
  <c r="BA446" i="3"/>
  <c r="BA447" i="3"/>
  <c r="AZ447" i="3" s="1"/>
  <c r="BL459" i="3"/>
  <c r="BL466" i="3"/>
  <c r="AZ466" i="3" s="1"/>
  <c r="BL472" i="3"/>
  <c r="AZ472" i="3" s="1"/>
  <c r="BA476" i="3"/>
  <c r="AZ476" i="3" s="1"/>
  <c r="BA477" i="3"/>
  <c r="AZ477" i="3" s="1"/>
  <c r="BA478" i="3"/>
  <c r="AZ478" i="3" s="1"/>
  <c r="BL483" i="3"/>
  <c r="BL491" i="3"/>
  <c r="AZ491" i="3" s="1"/>
  <c r="BA315" i="3"/>
  <c r="AZ315" i="3" s="1"/>
  <c r="BA331" i="3"/>
  <c r="AZ331" i="3" s="1"/>
  <c r="BL353" i="3"/>
  <c r="AZ353" i="3" s="1"/>
  <c r="AZ208" i="3"/>
  <c r="AZ221" i="3"/>
  <c r="AZ236" i="3"/>
  <c r="BA238" i="3"/>
  <c r="AZ238" i="3" s="1"/>
  <c r="BL240" i="3"/>
  <c r="AZ240" i="3" s="1"/>
  <c r="G247" i="3"/>
  <c r="BL247" i="3"/>
  <c r="AZ247" i="3" s="1"/>
  <c r="BL251" i="3"/>
  <c r="AZ251" i="3" s="1"/>
  <c r="AZ272" i="3"/>
  <c r="AZ285" i="3"/>
  <c r="BA287" i="3"/>
  <c r="AZ287" i="3" s="1"/>
  <c r="BA288" i="3"/>
  <c r="AZ288" i="3" s="1"/>
  <c r="G291" i="3"/>
  <c r="G292" i="3"/>
  <c r="BL292" i="3"/>
  <c r="G293" i="3"/>
  <c r="BL295" i="3"/>
  <c r="AZ295" i="3" s="1"/>
  <c r="BL296" i="3"/>
  <c r="AZ296" i="3" s="1"/>
  <c r="BL298" i="3"/>
  <c r="G299" i="3"/>
  <c r="BL121" i="3"/>
  <c r="BA132" i="3"/>
  <c r="AZ132" i="3" s="1"/>
  <c r="AZ169" i="3"/>
  <c r="BA177" i="3"/>
  <c r="BL407" i="3"/>
  <c r="BA411" i="3"/>
  <c r="AZ411" i="3" s="1"/>
  <c r="BA412" i="3"/>
  <c r="AZ412" i="3" s="1"/>
  <c r="G415" i="3"/>
  <c r="BL415" i="3"/>
  <c r="BL418" i="3"/>
  <c r="AZ418" i="3" s="1"/>
  <c r="BA421" i="3"/>
  <c r="AZ421" i="3" s="1"/>
  <c r="BA422" i="3"/>
  <c r="AZ422" i="3" s="1"/>
  <c r="BA423" i="3"/>
  <c r="AZ423" i="3" s="1"/>
  <c r="G426" i="3"/>
  <c r="BL426" i="3"/>
  <c r="BA432" i="3"/>
  <c r="AZ432" i="3" s="1"/>
  <c r="BA433" i="3"/>
  <c r="AZ433" i="3" s="1"/>
  <c r="BA434" i="3"/>
  <c r="AZ434" i="3" s="1"/>
  <c r="G436" i="3"/>
  <c r="BL436" i="3"/>
  <c r="AZ436" i="3" s="1"/>
  <c r="G441" i="3"/>
  <c r="G442" i="3"/>
  <c r="BA449" i="3"/>
  <c r="AZ449" i="3" s="1"/>
  <c r="BA450" i="3"/>
  <c r="AZ450" i="3" s="1"/>
  <c r="G452" i="3"/>
  <c r="BL452" i="3"/>
  <c r="BL454" i="3"/>
  <c r="G459" i="3"/>
  <c r="G461" i="3"/>
  <c r="BL461" i="3"/>
  <c r="BA464" i="3"/>
  <c r="AZ464" i="3" s="1"/>
  <c r="BA465" i="3"/>
  <c r="AZ465" i="3" s="1"/>
  <c r="G468" i="3"/>
  <c r="BL468" i="3"/>
  <c r="BA471" i="3"/>
  <c r="AZ471" i="3" s="1"/>
  <c r="BL473" i="3"/>
  <c r="AZ473" i="3" s="1"/>
  <c r="BA480" i="3"/>
  <c r="AZ480" i="3" s="1"/>
  <c r="BA481" i="3"/>
  <c r="AZ481" i="3" s="1"/>
  <c r="BA482" i="3"/>
  <c r="AZ482" i="3" s="1"/>
  <c r="G485" i="3"/>
  <c r="BL485" i="3"/>
  <c r="BL487" i="3"/>
  <c r="AZ487" i="3" s="1"/>
  <c r="G311" i="3"/>
  <c r="G327" i="3"/>
  <c r="G343" i="3"/>
  <c r="G351" i="3"/>
  <c r="BA354" i="3"/>
  <c r="AZ354" i="3" s="1"/>
  <c r="BL368" i="3"/>
  <c r="AZ368" i="3" s="1"/>
  <c r="G374" i="3"/>
  <c r="BL385" i="3"/>
  <c r="BA211" i="3"/>
  <c r="AZ211" i="3" s="1"/>
  <c r="BL213" i="3"/>
  <c r="AZ213" i="3" s="1"/>
  <c r="BA216" i="3"/>
  <c r="AZ216" i="3" s="1"/>
  <c r="BL218" i="3"/>
  <c r="AZ218" i="3" s="1"/>
  <c r="BA226" i="3"/>
  <c r="AZ226" i="3" s="1"/>
  <c r="BA227" i="3"/>
  <c r="AZ227" i="3" s="1"/>
  <c r="BL229" i="3"/>
  <c r="AZ229" i="3" s="1"/>
  <c r="BL234" i="3"/>
  <c r="AZ234" i="3" s="1"/>
  <c r="AZ246" i="3"/>
  <c r="BL255" i="3"/>
  <c r="AZ255" i="3" s="1"/>
  <c r="BA258" i="3"/>
  <c r="AZ258" i="3" s="1"/>
  <c r="BA259" i="3"/>
  <c r="AZ259" i="3" s="1"/>
  <c r="BL261" i="3"/>
  <c r="AZ261" i="3" s="1"/>
  <c r="BL270" i="3"/>
  <c r="AZ270" i="3" s="1"/>
  <c r="BL281" i="3"/>
  <c r="AZ281" i="3" s="1"/>
  <c r="AZ290" i="3"/>
  <c r="BA301" i="3"/>
  <c r="AZ301" i="3" s="1"/>
  <c r="BA114" i="3"/>
  <c r="AZ114" i="3" s="1"/>
  <c r="BA116" i="3"/>
  <c r="AZ116" i="3" s="1"/>
  <c r="BL118" i="3"/>
  <c r="BL133" i="3"/>
  <c r="BA137" i="3"/>
  <c r="AZ137" i="3" s="1"/>
  <c r="BL142" i="3"/>
  <c r="AZ142" i="3" s="1"/>
  <c r="BA174" i="3"/>
  <c r="AZ174" i="3" s="1"/>
  <c r="BL179" i="3"/>
  <c r="AZ179" i="3" s="1"/>
  <c r="BL403" i="3"/>
  <c r="BL408" i="3"/>
  <c r="AZ408" i="3" s="1"/>
  <c r="BA414" i="3"/>
  <c r="AZ414" i="3" s="1"/>
  <c r="G417" i="3"/>
  <c r="G418" i="3"/>
  <c r="BA425" i="3"/>
  <c r="AZ425" i="3" s="1"/>
  <c r="G428" i="3"/>
  <c r="G429" i="3"/>
  <c r="BL429" i="3"/>
  <c r="BL437" i="3"/>
  <c r="AZ437" i="3" s="1"/>
  <c r="BA440" i="3"/>
  <c r="AZ440" i="3" s="1"/>
  <c r="BA441" i="3"/>
  <c r="AZ441" i="3" s="1"/>
  <c r="BA442" i="3"/>
  <c r="G444" i="3"/>
  <c r="BL444" i="3"/>
  <c r="BL446" i="3"/>
  <c r="G454" i="3"/>
  <c r="G456" i="3"/>
  <c r="BL456" i="3"/>
  <c r="BA459" i="3"/>
  <c r="AZ459" i="3" s="1"/>
  <c r="BA460" i="3"/>
  <c r="AZ460" i="3" s="1"/>
  <c r="BA467" i="3"/>
  <c r="AZ467" i="3" s="1"/>
  <c r="G475" i="3"/>
  <c r="BL475" i="3"/>
  <c r="BL477" i="3"/>
  <c r="BA484" i="3"/>
  <c r="AZ484" i="3" s="1"/>
  <c r="G487" i="3"/>
  <c r="G489" i="3"/>
  <c r="BL489" i="3"/>
  <c r="BA492" i="3"/>
  <c r="AZ492" i="3" s="1"/>
  <c r="BL316" i="3"/>
  <c r="G318" i="3"/>
  <c r="BL332" i="3"/>
  <c r="G334" i="3"/>
  <c r="BL346" i="3"/>
  <c r="AZ346" i="3" s="1"/>
  <c r="G349" i="3"/>
  <c r="BA350" i="3"/>
  <c r="AZ350" i="3" s="1"/>
  <c r="G366" i="3"/>
  <c r="BA367" i="3"/>
  <c r="AZ367" i="3" s="1"/>
  <c r="BA370" i="3"/>
  <c r="AZ370" i="3" s="1"/>
  <c r="BA374" i="3"/>
  <c r="AZ374" i="3" s="1"/>
  <c r="G384" i="3"/>
  <c r="BA386" i="3"/>
  <c r="AZ386" i="3" s="1"/>
  <c r="G396" i="3"/>
  <c r="G397" i="3"/>
  <c r="BL397" i="3"/>
  <c r="AZ397" i="3" s="1"/>
  <c r="BL214" i="3"/>
  <c r="AZ214" i="3" s="1"/>
  <c r="G220" i="3"/>
  <c r="BL220" i="3"/>
  <c r="AZ220" i="3" s="1"/>
  <c r="G231" i="3"/>
  <c r="BL231" i="3"/>
  <c r="BL235" i="3"/>
  <c r="AZ235" i="3" s="1"/>
  <c r="G243" i="3"/>
  <c r="G244" i="3"/>
  <c r="BL244" i="3"/>
  <c r="AZ244" i="3" s="1"/>
  <c r="BL249" i="3"/>
  <c r="AZ249" i="3" s="1"/>
  <c r="BA252" i="3"/>
  <c r="AZ252" i="3" s="1"/>
  <c r="BA253" i="3"/>
  <c r="AZ253" i="3" s="1"/>
  <c r="BA254" i="3"/>
  <c r="AZ254" i="3" s="1"/>
  <c r="BL256" i="3"/>
  <c r="AZ256" i="3" s="1"/>
  <c r="G263" i="3"/>
  <c r="G264" i="3"/>
  <c r="BL264" i="3"/>
  <c r="BA267" i="3"/>
  <c r="AZ267" i="3" s="1"/>
  <c r="BA268" i="3"/>
  <c r="AZ268" i="3" s="1"/>
  <c r="BA269" i="3"/>
  <c r="AZ269" i="3" s="1"/>
  <c r="BL271" i="3"/>
  <c r="AZ271" i="3" s="1"/>
  <c r="G278" i="3"/>
  <c r="BL278" i="3"/>
  <c r="AZ278" i="3" s="1"/>
  <c r="G283" i="3"/>
  <c r="G284" i="3"/>
  <c r="BL284" i="3"/>
  <c r="BA298" i="3"/>
  <c r="AZ298" i="3" s="1"/>
  <c r="AZ122" i="3"/>
  <c r="BA125" i="3"/>
  <c r="AZ125" i="3" s="1"/>
  <c r="BL130" i="3"/>
  <c r="AZ130" i="3" s="1"/>
  <c r="BA134" i="3"/>
  <c r="AZ134" i="3" s="1"/>
  <c r="BA136" i="3"/>
  <c r="AZ136" i="3" s="1"/>
  <c r="BA145" i="3"/>
  <c r="AZ145" i="3" s="1"/>
  <c r="AZ444" i="3"/>
  <c r="AZ453" i="3"/>
  <c r="AZ454" i="3"/>
  <c r="AZ455" i="3"/>
  <c r="AZ456" i="3"/>
  <c r="AZ462" i="3"/>
  <c r="AZ469" i="3"/>
  <c r="AZ474" i="3"/>
  <c r="AZ475" i="3"/>
  <c r="AZ486" i="3"/>
  <c r="AZ488" i="3"/>
  <c r="AZ332" i="3"/>
  <c r="BA395" i="3"/>
  <c r="AZ395" i="3" s="1"/>
  <c r="BA396" i="3"/>
  <c r="AZ396" i="3" s="1"/>
  <c r="G209" i="3"/>
  <c r="G210" i="3"/>
  <c r="BL210" i="3"/>
  <c r="BL215" i="3"/>
  <c r="AZ215" i="3" s="1"/>
  <c r="BA219" i="3"/>
  <c r="AZ219" i="3" s="1"/>
  <c r="G222" i="3"/>
  <c r="G223" i="3"/>
  <c r="G224" i="3"/>
  <c r="G225" i="3"/>
  <c r="BL225" i="3"/>
  <c r="BA230" i="3"/>
  <c r="AZ230" i="3" s="1"/>
  <c r="BL232" i="3"/>
  <c r="AZ232" i="3" s="1"/>
  <c r="G237" i="3"/>
  <c r="G238" i="3"/>
  <c r="G239" i="3"/>
  <c r="BL239" i="3"/>
  <c r="BA242" i="3"/>
  <c r="AZ242" i="3" s="1"/>
  <c r="BA243" i="3"/>
  <c r="AZ243" i="3" s="1"/>
  <c r="BL245" i="3"/>
  <c r="AZ245" i="3" s="1"/>
  <c r="BL250" i="3"/>
  <c r="AZ250" i="3" s="1"/>
  <c r="BL257" i="3"/>
  <c r="AZ257" i="3" s="1"/>
  <c r="BA262" i="3"/>
  <c r="AZ262" i="3" s="1"/>
  <c r="BA263" i="3"/>
  <c r="AZ263" i="3" s="1"/>
  <c r="BL265" i="3"/>
  <c r="AZ265" i="3" s="1"/>
  <c r="G273" i="3"/>
  <c r="G274" i="3"/>
  <c r="BL274" i="3"/>
  <c r="AZ274" i="3" s="1"/>
  <c r="BA277" i="3"/>
  <c r="AZ277" i="3" s="1"/>
  <c r="BL279" i="3"/>
  <c r="AZ279" i="3" s="1"/>
  <c r="BA282" i="3"/>
  <c r="AZ282" i="3" s="1"/>
  <c r="BA283" i="3"/>
  <c r="AZ283" i="3" s="1"/>
  <c r="G286" i="3"/>
  <c r="G287" i="3"/>
  <c r="G288" i="3"/>
  <c r="G289" i="3"/>
  <c r="BL289" i="3"/>
  <c r="BL293" i="3"/>
  <c r="AZ293" i="3" s="1"/>
  <c r="G294" i="3"/>
  <c r="BL294" i="3"/>
  <c r="AZ294" i="3" s="1"/>
  <c r="BL300" i="3"/>
  <c r="AZ205" i="3"/>
  <c r="AZ25" i="3"/>
  <c r="AZ46" i="3"/>
  <c r="AZ57" i="3"/>
  <c r="Z12" i="43"/>
  <c r="Z10" i="43"/>
  <c r="AD12" i="43"/>
  <c r="AD10" i="43"/>
  <c r="AH12" i="43"/>
  <c r="AH10" i="43"/>
  <c r="BL297" i="3"/>
  <c r="AZ297" i="3" s="1"/>
  <c r="G116" i="3"/>
  <c r="BA117" i="3"/>
  <c r="AZ117" i="3" s="1"/>
  <c r="G120" i="3"/>
  <c r="G123" i="3"/>
  <c r="G126" i="3"/>
  <c r="BL126" i="3"/>
  <c r="BL129" i="3"/>
  <c r="BA140" i="3"/>
  <c r="AZ140" i="3" s="1"/>
  <c r="G144" i="3"/>
  <c r="BL146" i="3"/>
  <c r="AZ146" i="3" s="1"/>
  <c r="G150" i="3"/>
  <c r="G151" i="3"/>
  <c r="G154" i="3"/>
  <c r="G155" i="3"/>
  <c r="BL157" i="3"/>
  <c r="AZ157" i="3" s="1"/>
  <c r="BA164" i="3"/>
  <c r="AZ164" i="3" s="1"/>
  <c r="G176" i="3"/>
  <c r="BL178" i="3"/>
  <c r="AZ178" i="3" s="1"/>
  <c r="BA188" i="3"/>
  <c r="AZ188" i="3" s="1"/>
  <c r="G194" i="3"/>
  <c r="BL194" i="3"/>
  <c r="AZ194" i="3" s="1"/>
  <c r="BA198" i="3"/>
  <c r="BL201" i="3"/>
  <c r="G202" i="3"/>
  <c r="BL30" i="3"/>
  <c r="BA32" i="3"/>
  <c r="AZ32" i="3" s="1"/>
  <c r="BA33" i="3"/>
  <c r="AZ33" i="3" s="1"/>
  <c r="G37" i="3"/>
  <c r="G38" i="3"/>
  <c r="BL38" i="3"/>
  <c r="BL39" i="3"/>
  <c r="BA52" i="3"/>
  <c r="BA54" i="3"/>
  <c r="AZ54" i="3" s="1"/>
  <c r="BA60" i="3"/>
  <c r="BL63" i="3"/>
  <c r="AZ63" i="3" s="1"/>
  <c r="BA65" i="3"/>
  <c r="BL67" i="3"/>
  <c r="G68" i="3"/>
  <c r="BL68" i="3"/>
  <c r="BL69" i="3"/>
  <c r="AZ69" i="3" s="1"/>
  <c r="G76" i="3"/>
  <c r="BA77" i="3"/>
  <c r="AZ77" i="3" s="1"/>
  <c r="E15" i="71"/>
  <c r="E16" i="71" s="1"/>
  <c r="E17" i="71" s="1"/>
  <c r="U17" i="71" s="1"/>
  <c r="AA12" i="71"/>
  <c r="Y19" i="71"/>
  <c r="Z19" i="71" s="1"/>
  <c r="C20" i="71"/>
  <c r="Y17" i="71"/>
  <c r="Z17" i="71" s="1"/>
  <c r="Y14" i="71"/>
  <c r="Z14" i="71" s="1"/>
  <c r="C36" i="71"/>
  <c r="D35" i="71"/>
  <c r="C49" i="71"/>
  <c r="D48" i="71"/>
  <c r="T57" i="71"/>
  <c r="D57" i="71"/>
  <c r="C56" i="71"/>
  <c r="T65" i="71"/>
  <c r="D65" i="71"/>
  <c r="C64" i="71"/>
  <c r="BA149" i="3"/>
  <c r="AZ149" i="3" s="1"/>
  <c r="BA150" i="3"/>
  <c r="AZ150" i="3" s="1"/>
  <c r="BA153" i="3"/>
  <c r="AZ153" i="3" s="1"/>
  <c r="BA154" i="3"/>
  <c r="AZ154" i="3" s="1"/>
  <c r="BL158" i="3"/>
  <c r="AZ158" i="3" s="1"/>
  <c r="BL161" i="3"/>
  <c r="BL167" i="3"/>
  <c r="AZ167" i="3" s="1"/>
  <c r="BL171" i="3"/>
  <c r="AZ171" i="3" s="1"/>
  <c r="BA176" i="3"/>
  <c r="AZ176" i="3" s="1"/>
  <c r="BA184" i="3"/>
  <c r="AZ184" i="3" s="1"/>
  <c r="BL189" i="3"/>
  <c r="AZ189" i="3" s="1"/>
  <c r="BL191" i="3"/>
  <c r="AZ191" i="3" s="1"/>
  <c r="BL25" i="3"/>
  <c r="BA36" i="3"/>
  <c r="AZ36" i="3" s="1"/>
  <c r="BA37" i="3"/>
  <c r="AZ37" i="3" s="1"/>
  <c r="BL45" i="3"/>
  <c r="AZ45" i="3" s="1"/>
  <c r="BL55" i="3"/>
  <c r="AZ55" i="3" s="1"/>
  <c r="BL56" i="3"/>
  <c r="AZ56" i="3" s="1"/>
  <c r="AZ68" i="3"/>
  <c r="AZ76" i="3"/>
  <c r="AC18" i="36"/>
  <c r="W18" i="36"/>
  <c r="AB25" i="40"/>
  <c r="U25" i="40"/>
  <c r="AA21" i="34"/>
  <c r="S21" i="34"/>
  <c r="D47" i="71"/>
  <c r="G302" i="3"/>
  <c r="BL302" i="3"/>
  <c r="AZ302" i="3" s="1"/>
  <c r="BL113" i="3"/>
  <c r="AZ113" i="3" s="1"/>
  <c r="BA128" i="3"/>
  <c r="AZ128" i="3" s="1"/>
  <c r="G132" i="3"/>
  <c r="BA133" i="3"/>
  <c r="AZ133" i="3" s="1"/>
  <c r="G136" i="3"/>
  <c r="BL138" i="3"/>
  <c r="AZ138" i="3" s="1"/>
  <c r="BL141" i="3"/>
  <c r="BA148" i="3"/>
  <c r="AZ148" i="3" s="1"/>
  <c r="G160" i="3"/>
  <c r="BL162" i="3"/>
  <c r="AZ162" i="3" s="1"/>
  <c r="G166" i="3"/>
  <c r="G167" i="3"/>
  <c r="G170" i="3"/>
  <c r="G171" i="3"/>
  <c r="BL173" i="3"/>
  <c r="AZ173" i="3" s="1"/>
  <c r="BA180" i="3"/>
  <c r="AZ180" i="3" s="1"/>
  <c r="BL187" i="3"/>
  <c r="AZ187" i="3" s="1"/>
  <c r="G191" i="3"/>
  <c r="BA192" i="3"/>
  <c r="AZ192" i="3" s="1"/>
  <c r="BA196" i="3"/>
  <c r="AZ196" i="3" s="1"/>
  <c r="BL198" i="3"/>
  <c r="G199" i="3"/>
  <c r="BA201" i="3"/>
  <c r="AZ201" i="3" s="1"/>
  <c r="G204" i="3"/>
  <c r="G205" i="3"/>
  <c r="BL205" i="3"/>
  <c r="G29" i="3"/>
  <c r="BA30" i="3"/>
  <c r="AZ30" i="3" s="1"/>
  <c r="BA39" i="3"/>
  <c r="AZ39" i="3" s="1"/>
  <c r="BA40" i="3"/>
  <c r="AZ40" i="3" s="1"/>
  <c r="BA41" i="3"/>
  <c r="AZ41" i="3" s="1"/>
  <c r="BA42" i="3"/>
  <c r="AZ42" i="3" s="1"/>
  <c r="BA43" i="3"/>
  <c r="AZ43" i="3" s="1"/>
  <c r="G47" i="3"/>
  <c r="G48" i="3"/>
  <c r="BL48" i="3"/>
  <c r="BL52" i="3"/>
  <c r="BL54" i="3"/>
  <c r="G55" i="3"/>
  <c r="G58" i="3"/>
  <c r="G59" i="3"/>
  <c r="BA62" i="3"/>
  <c r="AZ62" i="3" s="1"/>
  <c r="BL65" i="3"/>
  <c r="G66" i="3"/>
  <c r="BA67" i="3"/>
  <c r="BA73" i="3"/>
  <c r="BL77" i="3"/>
  <c r="G78" i="3"/>
  <c r="BL78" i="3"/>
  <c r="BA82" i="3"/>
  <c r="AB17" i="71"/>
  <c r="AB16" i="71"/>
  <c r="AB12" i="71"/>
  <c r="AB13" i="71"/>
  <c r="E19" i="71"/>
  <c r="E20" i="71" s="1"/>
  <c r="E21" i="71" s="1"/>
  <c r="U21" i="71" s="1"/>
  <c r="AA18" i="71"/>
  <c r="AA15" i="71"/>
  <c r="AA16" i="71"/>
  <c r="Y23" i="71"/>
  <c r="Z23" i="71" s="1"/>
  <c r="Y21" i="71"/>
  <c r="Z21" i="71" s="1"/>
  <c r="Y22" i="71"/>
  <c r="Z22" i="71" s="1"/>
  <c r="AB24" i="71"/>
  <c r="AB22" i="71"/>
  <c r="C28" i="71"/>
  <c r="D27" i="71"/>
  <c r="Y3" i="71"/>
  <c r="Z3" i="71" s="1"/>
  <c r="BL61" i="3"/>
  <c r="AZ61" i="3" s="1"/>
  <c r="BL73" i="3"/>
  <c r="BA79" i="3"/>
  <c r="AZ79" i="3" s="1"/>
  <c r="BA81" i="3"/>
  <c r="AZ81" i="3" s="1"/>
  <c r="BL83" i="3"/>
  <c r="AZ83" i="3" s="1"/>
  <c r="BL92" i="3"/>
  <c r="AZ92" i="3" s="1"/>
  <c r="BA105" i="3"/>
  <c r="AZ105" i="3" s="1"/>
  <c r="E59" i="43"/>
  <c r="B57" i="43" s="1"/>
  <c r="K108" i="43"/>
  <c r="K100" i="43"/>
  <c r="G108" i="43"/>
  <c r="G100" i="43"/>
  <c r="C21" i="68"/>
  <c r="C40" i="68"/>
  <c r="AC21" i="33"/>
  <c r="AA25" i="40"/>
  <c r="S25" i="40"/>
  <c r="X16" i="71"/>
  <c r="X14" i="71"/>
  <c r="AB21" i="71"/>
  <c r="AB20" i="71"/>
  <c r="E23" i="71"/>
  <c r="E24" i="71" s="1"/>
  <c r="E25" i="71" s="1"/>
  <c r="U25" i="71" s="1"/>
  <c r="AA22" i="71"/>
  <c r="AF12" i="43"/>
  <c r="AF10" i="43"/>
  <c r="AA10" i="71"/>
  <c r="BA181" i="3"/>
  <c r="AZ181" i="3" s="1"/>
  <c r="BA182" i="3"/>
  <c r="AZ182" i="3" s="1"/>
  <c r="BA185" i="3"/>
  <c r="AZ185" i="3" s="1"/>
  <c r="BA186" i="3"/>
  <c r="AZ186" i="3" s="1"/>
  <c r="BL190" i="3"/>
  <c r="AZ190" i="3" s="1"/>
  <c r="BL193" i="3"/>
  <c r="BL199" i="3"/>
  <c r="AZ199" i="3" s="1"/>
  <c r="BL203" i="3"/>
  <c r="AZ203" i="3" s="1"/>
  <c r="BA207" i="3"/>
  <c r="AZ207" i="3" s="1"/>
  <c r="BA18" i="3"/>
  <c r="BA22" i="3"/>
  <c r="AZ22" i="3" s="1"/>
  <c r="BA23" i="3"/>
  <c r="BA28" i="3"/>
  <c r="G32" i="3"/>
  <c r="G33" i="3"/>
  <c r="G34" i="3"/>
  <c r="BL34" i="3"/>
  <c r="G41" i="3"/>
  <c r="G42" i="3"/>
  <c r="G43" i="3"/>
  <c r="G44" i="3"/>
  <c r="BL44" i="3"/>
  <c r="BA49" i="3"/>
  <c r="AZ49" i="3" s="1"/>
  <c r="BA50" i="3"/>
  <c r="AZ50" i="3" s="1"/>
  <c r="BA51" i="3"/>
  <c r="AZ51" i="3" s="1"/>
  <c r="BL53" i="3"/>
  <c r="AZ53" i="3" s="1"/>
  <c r="G63" i="3"/>
  <c r="G64" i="3"/>
  <c r="BL64" i="3"/>
  <c r="BA70" i="3"/>
  <c r="AZ70" i="3" s="1"/>
  <c r="BA71" i="3"/>
  <c r="AZ71" i="3" s="1"/>
  <c r="BA72" i="3"/>
  <c r="AZ72" i="3" s="1"/>
  <c r="G75" i="3"/>
  <c r="BL75" i="3"/>
  <c r="AZ75" i="3" s="1"/>
  <c r="BL82" i="3"/>
  <c r="G83" i="3"/>
  <c r="BA84" i="3"/>
  <c r="AZ84" i="3" s="1"/>
  <c r="BL86" i="3"/>
  <c r="AZ86" i="3" s="1"/>
  <c r="G88" i="3"/>
  <c r="BL88" i="3"/>
  <c r="AZ88" i="3" s="1"/>
  <c r="BL89" i="3"/>
  <c r="AZ89" i="3" s="1"/>
  <c r="G92" i="3"/>
  <c r="BA93" i="3"/>
  <c r="AZ93" i="3" s="1"/>
  <c r="G96" i="3"/>
  <c r="AZ103" i="3"/>
  <c r="G110" i="3"/>
  <c r="AB11" i="71"/>
  <c r="X10" i="71"/>
  <c r="Y15" i="71"/>
  <c r="Z15" i="71" s="1"/>
  <c r="C16" i="71"/>
  <c r="Y16" i="71"/>
  <c r="Z16" i="71" s="1"/>
  <c r="X21" i="71"/>
  <c r="X19" i="71"/>
  <c r="C44" i="71"/>
  <c r="D43" i="71"/>
  <c r="AB10" i="43"/>
  <c r="M56" i="9"/>
  <c r="N56" i="9"/>
  <c r="K56" i="9"/>
  <c r="BL74" i="3"/>
  <c r="AZ74" i="3" s="1"/>
  <c r="BL80" i="3"/>
  <c r="AZ80" i="3" s="1"/>
  <c r="G91" i="3"/>
  <c r="BL91" i="3"/>
  <c r="BA99" i="3"/>
  <c r="AZ99" i="3" s="1"/>
  <c r="BL101" i="3"/>
  <c r="AZ101" i="3" s="1"/>
  <c r="G107" i="3"/>
  <c r="G108" i="3"/>
  <c r="BL108" i="3"/>
  <c r="C7" i="80"/>
  <c r="J51" i="82"/>
  <c r="J51" i="81"/>
  <c r="AC21" i="34"/>
  <c r="B11" i="71"/>
  <c r="AA19" i="71"/>
  <c r="F25" i="71"/>
  <c r="V25" i="71" s="1"/>
  <c r="AC10" i="43"/>
  <c r="F7" i="71"/>
  <c r="G84" i="3"/>
  <c r="G85" i="3"/>
  <c r="G86" i="3"/>
  <c r="G87" i="3"/>
  <c r="BL87" i="3"/>
  <c r="AZ87" i="3" s="1"/>
  <c r="BA90" i="3"/>
  <c r="AZ90" i="3" s="1"/>
  <c r="G93" i="3"/>
  <c r="G94" i="3"/>
  <c r="G95" i="3"/>
  <c r="BL95" i="3"/>
  <c r="AZ95" i="3" s="1"/>
  <c r="BL102" i="3"/>
  <c r="AZ102" i="3" s="1"/>
  <c r="BA106" i="3"/>
  <c r="AZ106" i="3" s="1"/>
  <c r="BA107" i="3"/>
  <c r="AZ107" i="3" s="1"/>
  <c r="BL109" i="3"/>
  <c r="AZ109" i="3" s="1"/>
  <c r="BA112" i="3"/>
  <c r="AZ112" i="3" s="1"/>
  <c r="AB21" i="33"/>
  <c r="B55" i="43"/>
  <c r="P27" i="6"/>
  <c r="O50" i="71"/>
  <c r="C67" i="71"/>
  <c r="D67" i="71" s="1"/>
  <c r="C24" i="71"/>
  <c r="X11" i="71"/>
  <c r="X15" i="71"/>
  <c r="AB15" i="71"/>
  <c r="AB19" i="71"/>
  <c r="AB23" i="71"/>
  <c r="B28" i="71"/>
  <c r="B29" i="71" s="1"/>
  <c r="S29" i="71" s="1"/>
  <c r="B36" i="71"/>
  <c r="B37" i="71" s="1"/>
  <c r="S37" i="71" s="1"/>
  <c r="G97" i="3"/>
  <c r="G98" i="3"/>
  <c r="BL98" i="3"/>
  <c r="G104" i="3"/>
  <c r="BL104" i="3"/>
  <c r="BL110" i="3"/>
  <c r="AZ110" i="3" s="1"/>
  <c r="O51" i="71"/>
  <c r="C41" i="71"/>
  <c r="AA3" i="71"/>
  <c r="D23" i="71"/>
  <c r="X12" i="71"/>
  <c r="AB14" i="71"/>
  <c r="AA20" i="71"/>
  <c r="B48" i="71"/>
  <c r="B49" i="71" s="1"/>
  <c r="S49" i="71" s="1"/>
  <c r="E14" i="6"/>
  <c r="E64" i="39" s="1"/>
  <c r="AR11" i="1"/>
  <c r="T13" i="1"/>
  <c r="T11" i="1"/>
  <c r="AZ13" i="3"/>
  <c r="U38" i="39"/>
  <c r="G20" i="3"/>
  <c r="G25" i="3"/>
  <c r="G28" i="3"/>
  <c r="I4" i="6"/>
  <c r="C11" i="39" s="1"/>
  <c r="E20" i="6"/>
  <c r="E19" i="6"/>
  <c r="G14" i="3"/>
  <c r="AZ14" i="3"/>
  <c r="BL19" i="3"/>
  <c r="BL24" i="3"/>
  <c r="BL16" i="3"/>
  <c r="AZ16" i="3" s="1"/>
  <c r="BA21" i="3"/>
  <c r="G28" i="6"/>
  <c r="F28" i="6"/>
  <c r="E28" i="6" s="1"/>
  <c r="F29" i="6"/>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AC18" i="35"/>
  <c r="AB11" i="35"/>
  <c r="S9" i="35"/>
  <c r="U26" i="35"/>
  <c r="U18" i="35"/>
  <c r="S26" i="35"/>
  <c r="S18" i="35"/>
  <c r="AC14" i="35"/>
  <c r="S14" i="35"/>
  <c r="U33" i="35"/>
  <c r="U30" i="35"/>
  <c r="P61" i="15"/>
  <c r="C16" i="43"/>
  <c r="C5" i="43" s="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G30" i="6" s="1"/>
  <c r="E8" i="6"/>
  <c r="F27" i="6" s="1"/>
  <c r="K87" i="9" s="1"/>
  <c r="BL31" i="3"/>
  <c r="AZ31" i="3" s="1"/>
  <c r="G31" i="3"/>
  <c r="AY3" i="3" s="1"/>
  <c r="G30" i="3"/>
  <c r="BA29" i="3"/>
  <c r="AZ29" i="3" s="1"/>
  <c r="BA27" i="3"/>
  <c r="G27" i="3"/>
  <c r="BL27" i="3"/>
  <c r="BL26" i="3"/>
  <c r="G26" i="3"/>
  <c r="BA26" i="3"/>
  <c r="BA24" i="3"/>
  <c r="G23" i="3"/>
  <c r="BA20" i="3"/>
  <c r="BA19" i="3"/>
  <c r="G18" i="3"/>
  <c r="G22" i="3"/>
  <c r="G21" i="3"/>
  <c r="BL21" i="3"/>
  <c r="AZ21" i="3" s="1"/>
  <c r="D9" i="68"/>
  <c r="C9" i="68" s="1"/>
  <c r="D9" i="69"/>
  <c r="C9" i="69" s="1"/>
  <c r="E13" i="6"/>
  <c r="BL18" i="3"/>
  <c r="AZ18" i="3" s="1"/>
  <c r="BL20" i="3"/>
  <c r="BL23" i="3"/>
  <c r="AZ23" i="3" s="1"/>
  <c r="BL28" i="3"/>
  <c r="AZ28" i="3" s="1"/>
  <c r="D19" i="12"/>
  <c r="C19" i="12" s="1"/>
  <c r="D19" i="53"/>
  <c r="C65" i="40"/>
  <c r="D63" i="40"/>
  <c r="AA7" i="33"/>
  <c r="R48" i="33" s="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K48" i="35"/>
  <c r="L48" i="35" s="1"/>
  <c r="M48" i="35" s="1"/>
  <c r="N48" i="35" s="1"/>
  <c r="O48" i="35" s="1"/>
  <c r="J7" i="35"/>
  <c r="J46" i="36"/>
  <c r="K46" i="36" s="1"/>
  <c r="L46" i="36" s="1"/>
  <c r="M46" i="36" s="1"/>
  <c r="N46" i="36" s="1"/>
  <c r="O46" i="36" s="1"/>
  <c r="O11" i="1"/>
  <c r="P11" i="1" s="1"/>
  <c r="C70" i="39"/>
  <c r="D68" i="39"/>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0" i="43"/>
  <c r="I108" i="43"/>
  <c r="I100" i="43"/>
  <c r="E108" i="43"/>
  <c r="E100" i="43"/>
  <c r="D24" i="67"/>
  <c r="D23" i="67"/>
  <c r="AC21" i="37"/>
  <c r="U21" i="34"/>
  <c r="D49" i="71"/>
  <c r="T49" i="71"/>
  <c r="P50" i="71"/>
  <c r="P51" i="71"/>
  <c r="D108" i="43"/>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F71" i="67"/>
  <c r="F66" i="15"/>
  <c r="F50" i="15"/>
  <c r="M7" i="15"/>
  <c r="F68" i="67"/>
  <c r="F66" i="67"/>
  <c r="L59" i="67"/>
  <c r="M59" i="67"/>
  <c r="N59" i="67"/>
  <c r="L58" i="67"/>
  <c r="M59" i="15"/>
  <c r="L59" i="15" s="1"/>
  <c r="F65" i="15"/>
  <c r="Q71" i="67"/>
  <c r="B13" i="70"/>
  <c r="E20" i="43"/>
  <c r="C34" i="67"/>
  <c r="F63" i="67"/>
  <c r="C62" i="67" s="1"/>
  <c r="B20" i="31"/>
  <c r="B7" i="70"/>
  <c r="F69" i="67"/>
  <c r="J20" i="67"/>
  <c r="F71" i="15"/>
  <c r="F65" i="67"/>
  <c r="Q71" i="15"/>
  <c r="M7" i="67"/>
  <c r="J6" i="67" s="1"/>
  <c r="F50" i="67"/>
  <c r="F51" i="67"/>
  <c r="C6" i="67"/>
  <c r="B11" i="70"/>
  <c r="I1" i="73"/>
  <c r="B39" i="1" s="1"/>
  <c r="C27" i="15"/>
  <c r="F64" i="15"/>
  <c r="I54" i="67"/>
  <c r="J57" i="67"/>
  <c r="J55" i="67" s="1"/>
  <c r="J58" i="67" s="1"/>
  <c r="Q50" i="67" s="1"/>
  <c r="L56" i="67"/>
  <c r="C27" i="67"/>
  <c r="B12" i="70"/>
  <c r="K1" i="73"/>
  <c r="F31" i="15"/>
  <c r="M17" i="15"/>
  <c r="F59" i="67"/>
  <c r="F31" i="67"/>
  <c r="F59" i="15"/>
  <c r="M17" i="67"/>
  <c r="F40" i="82"/>
  <c r="M8" i="82"/>
  <c r="M9" i="81"/>
  <c r="F13" i="82"/>
  <c r="F6" i="15"/>
  <c r="F16" i="81"/>
  <c r="L48" i="81"/>
  <c r="M6" i="81"/>
  <c r="M6" i="82"/>
  <c r="M26" i="15"/>
  <c r="F37" i="81"/>
  <c r="C76" i="81"/>
  <c r="F7" i="81"/>
  <c r="F43" i="81"/>
  <c r="F42" i="81"/>
  <c r="F40" i="15"/>
  <c r="F40" i="81"/>
  <c r="C16" i="15"/>
  <c r="M27" i="82"/>
  <c r="F8" i="82"/>
  <c r="M9" i="82"/>
  <c r="M22" i="82"/>
  <c r="F9" i="82"/>
  <c r="F36" i="81"/>
  <c r="F6" i="81"/>
  <c r="F38" i="81"/>
  <c r="M8" i="81"/>
  <c r="M23" i="81"/>
  <c r="F38" i="82"/>
  <c r="M28" i="82"/>
  <c r="F26" i="81"/>
  <c r="F26" i="82"/>
  <c r="F37" i="82"/>
  <c r="C16" i="67"/>
  <c r="F13" i="81"/>
  <c r="M26" i="82"/>
  <c r="F36" i="82"/>
  <c r="F8" i="15"/>
  <c r="J15" i="81"/>
  <c r="F8" i="81"/>
  <c r="L47" i="82"/>
  <c r="F6" i="82"/>
  <c r="M8" i="15"/>
  <c r="M29" i="81"/>
  <c r="J15" i="82"/>
  <c r="C17" i="67"/>
  <c r="M26" i="81"/>
  <c r="C14" i="67"/>
  <c r="M23" i="82"/>
  <c r="M27" i="81"/>
  <c r="C76" i="82"/>
  <c r="F16" i="82"/>
  <c r="L48" i="82"/>
  <c r="M24" i="82"/>
  <c r="M22" i="81"/>
  <c r="M28" i="81"/>
  <c r="G1" i="73"/>
  <c r="L48" i="15"/>
  <c r="M24" i="81"/>
  <c r="F9" i="81"/>
  <c r="J15" i="15"/>
  <c r="L47" i="81"/>
  <c r="M22" i="15"/>
  <c r="F42" i="82"/>
  <c r="AC23" i="21" l="1"/>
  <c r="S23" i="21"/>
  <c r="AA23" i="21"/>
  <c r="J58" i="21"/>
  <c r="K58" i="21" s="1"/>
  <c r="L58" i="21" s="1"/>
  <c r="M58" i="21" s="1"/>
  <c r="N58" i="21" s="1"/>
  <c r="O58" i="21" s="1"/>
  <c r="H7" i="21"/>
  <c r="J7" i="21"/>
  <c r="F7" i="36"/>
  <c r="AA7" i="36" s="1"/>
  <c r="R36" i="36" s="1"/>
  <c r="J7" i="34"/>
  <c r="F7" i="21"/>
  <c r="AA7" i="21" s="1"/>
  <c r="E11" i="6"/>
  <c r="E61" i="39" s="1"/>
  <c r="E10" i="6"/>
  <c r="E12" i="6"/>
  <c r="E62" i="39" s="1"/>
  <c r="E59" i="40"/>
  <c r="C89" i="9"/>
  <c r="C87" i="9" s="1"/>
  <c r="J53" i="15"/>
  <c r="F1" i="15" s="1"/>
  <c r="L56" i="15"/>
  <c r="J57" i="15"/>
  <c r="J55" i="15" s="1"/>
  <c r="J58" i="15" s="1"/>
  <c r="Q50" i="15" s="1"/>
  <c r="L58" i="15"/>
  <c r="Q73" i="15" s="1"/>
  <c r="I54" i="15"/>
  <c r="F51" i="15"/>
  <c r="C49" i="15" s="1"/>
  <c r="F68" i="15"/>
  <c r="C6" i="15"/>
  <c r="T41" i="71"/>
  <c r="D41" i="71"/>
  <c r="C58" i="80"/>
  <c r="D58" i="80" s="1"/>
  <c r="E58" i="80" s="1"/>
  <c r="F58" i="80" s="1"/>
  <c r="G58" i="80" s="1"/>
  <c r="H58" i="80" s="1"/>
  <c r="I58" i="80" s="1"/>
  <c r="J58" i="80" s="1"/>
  <c r="K58" i="80" s="1"/>
  <c r="L58" i="80" s="1"/>
  <c r="M58" i="80" s="1"/>
  <c r="N58" i="80" s="1"/>
  <c r="O58" i="80" s="1"/>
  <c r="I7" i="80"/>
  <c r="E7" i="80"/>
  <c r="F7" i="80" s="1"/>
  <c r="G7" i="80"/>
  <c r="AZ67" i="3"/>
  <c r="D36" i="71"/>
  <c r="C37" i="71"/>
  <c r="AZ198" i="3"/>
  <c r="AZ442" i="3"/>
  <c r="AZ403" i="3"/>
  <c r="AB38" i="40"/>
  <c r="U38" i="40"/>
  <c r="W45" i="39"/>
  <c r="AC45" i="39"/>
  <c r="U16" i="35"/>
  <c r="AB16" i="35"/>
  <c r="S16" i="35"/>
  <c r="AA16" i="35"/>
  <c r="AC25" i="37"/>
  <c r="W25" i="37"/>
  <c r="U27" i="39"/>
  <c r="AB27" i="39"/>
  <c r="H7" i="36"/>
  <c r="AB7" i="36" s="1"/>
  <c r="T36" i="36" s="1"/>
  <c r="G36" i="36" s="1"/>
  <c r="D28" i="71"/>
  <c r="C29" i="71"/>
  <c r="AA25" i="37"/>
  <c r="S25" i="37"/>
  <c r="AA9" i="36"/>
  <c r="S9" i="36"/>
  <c r="U25" i="37"/>
  <c r="AB25" i="37"/>
  <c r="W19" i="21"/>
  <c r="AC19" i="21"/>
  <c r="AC16" i="35"/>
  <c r="W16" i="35"/>
  <c r="AZ20" i="3"/>
  <c r="AZ27" i="3"/>
  <c r="D56" i="71"/>
  <c r="C55" i="71"/>
  <c r="D55" i="71" s="1"/>
  <c r="AZ65" i="3"/>
  <c r="AZ52" i="3"/>
  <c r="AA27" i="34"/>
  <c r="S27" i="34"/>
  <c r="AC9" i="36"/>
  <c r="W9" i="36"/>
  <c r="AA40" i="40"/>
  <c r="S40" i="40"/>
  <c r="U12" i="35"/>
  <c r="AB12" i="35"/>
  <c r="S45" i="39"/>
  <c r="AA45" i="39"/>
  <c r="J6" i="15"/>
  <c r="J7" i="36"/>
  <c r="W7" i="36" s="1"/>
  <c r="G5" i="3"/>
  <c r="B3" i="3" s="1"/>
  <c r="E137" i="3" s="1"/>
  <c r="AZ26" i="3"/>
  <c r="D44" i="71"/>
  <c r="C45" i="71"/>
  <c r="D16" i="71"/>
  <c r="C17" i="71"/>
  <c r="AZ82" i="3"/>
  <c r="AZ73" i="3"/>
  <c r="C63" i="71"/>
  <c r="D63" i="71" s="1"/>
  <c r="D64" i="71"/>
  <c r="C21" i="71"/>
  <c r="D20" i="71"/>
  <c r="AZ446" i="3"/>
  <c r="AC38" i="40"/>
  <c r="W38" i="40"/>
  <c r="AA19" i="21"/>
  <c r="S19" i="21"/>
  <c r="AB40" i="40"/>
  <c r="U40" i="40"/>
  <c r="S12" i="35"/>
  <c r="AA12" i="35"/>
  <c r="AA27" i="39"/>
  <c r="S27" i="39"/>
  <c r="BL5" i="3"/>
  <c r="AZ24" i="3"/>
  <c r="G3" i="43"/>
  <c r="Y11" i="43" s="1"/>
  <c r="Y13" i="43" s="1"/>
  <c r="E389" i="3"/>
  <c r="E330" i="3"/>
  <c r="E284" i="3"/>
  <c r="E537" i="3"/>
  <c r="E380" i="3"/>
  <c r="E183" i="3"/>
  <c r="E567" i="3"/>
  <c r="E314" i="3"/>
  <c r="E56" i="40"/>
  <c r="AZ19" i="3"/>
  <c r="AG6" i="3"/>
  <c r="F30" i="6"/>
  <c r="E29" i="6"/>
  <c r="K15" i="1" s="1"/>
  <c r="C11" i="80"/>
  <c r="H11" i="80" s="1"/>
  <c r="C11" i="21"/>
  <c r="J11" i="21" s="1"/>
  <c r="D3" i="80"/>
  <c r="D7" i="12"/>
  <c r="K7" i="1"/>
  <c r="E21" i="6"/>
  <c r="G27" i="6"/>
  <c r="G31" i="6" s="1"/>
  <c r="K6" i="1"/>
  <c r="C7" i="12"/>
  <c r="E32" i="6"/>
  <c r="J11" i="39"/>
  <c r="H11" i="39"/>
  <c r="F11" i="39"/>
  <c r="Q71" i="82"/>
  <c r="C27" i="82"/>
  <c r="F65" i="82"/>
  <c r="F51" i="82"/>
  <c r="F68" i="82"/>
  <c r="L57" i="82"/>
  <c r="J53" i="82"/>
  <c r="I54" i="82"/>
  <c r="L56" i="82"/>
  <c r="J57" i="82"/>
  <c r="J55" i="82" s="1"/>
  <c r="J58" i="82" s="1"/>
  <c r="Q50" i="82" s="1"/>
  <c r="L60" i="82"/>
  <c r="F64" i="82"/>
  <c r="F66" i="82"/>
  <c r="N59" i="82"/>
  <c r="M59" i="82"/>
  <c r="L59" i="82" s="1"/>
  <c r="L58" i="82"/>
  <c r="Q71" i="81"/>
  <c r="C6" i="81"/>
  <c r="F64" i="81"/>
  <c r="F66" i="81"/>
  <c r="M7" i="81"/>
  <c r="J6" i="81" s="1"/>
  <c r="F50" i="81"/>
  <c r="L58" i="81"/>
  <c r="N59" i="81"/>
  <c r="M59" i="81"/>
  <c r="L59" i="81" s="1"/>
  <c r="Q74" i="81" s="1"/>
  <c r="C27" i="81"/>
  <c r="F65" i="81"/>
  <c r="F51" i="8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1" i="81"/>
  <c r="M11" i="81"/>
  <c r="W37" i="21"/>
  <c r="AC37" i="21"/>
  <c r="U37" i="21"/>
  <c r="AB37" i="21"/>
  <c r="AA37" i="21"/>
  <c r="S37" i="21"/>
  <c r="E65" i="39"/>
  <c r="F31" i="6"/>
  <c r="E51" i="40"/>
  <c r="E56" i="39"/>
  <c r="E58" i="40"/>
  <c r="E63" i="39"/>
  <c r="E57" i="40"/>
  <c r="E16" i="6"/>
  <c r="K14" i="1"/>
  <c r="B38" i="72"/>
  <c r="D20" i="53"/>
  <c r="B40" i="72" s="1"/>
  <c r="K4" i="4"/>
  <c r="B46" i="48" s="1"/>
  <c r="B4" i="72" s="1"/>
  <c r="B4" i="62"/>
  <c r="B71" i="72" s="1"/>
  <c r="H7" i="35"/>
  <c r="U7" i="35" s="1"/>
  <c r="H7" i="34"/>
  <c r="U7" i="34" s="1"/>
  <c r="F7" i="34"/>
  <c r="E63" i="40"/>
  <c r="D65" i="40"/>
  <c r="B8" i="71"/>
  <c r="B7" i="71" s="1"/>
  <c r="B6" i="71" s="1"/>
  <c r="B5" i="71" s="1"/>
  <c r="S9" i="71"/>
  <c r="N52" i="71"/>
  <c r="B51" i="71"/>
  <c r="C7" i="71"/>
  <c r="D8" i="71"/>
  <c r="C11" i="71"/>
  <c r="D11" i="71" s="1"/>
  <c r="D12" i="71"/>
  <c r="D25" i="71"/>
  <c r="T25" i="71"/>
  <c r="AZ550" i="3"/>
  <c r="BA5" i="3"/>
  <c r="AB23" i="36"/>
  <c r="U23" i="36"/>
  <c r="U12" i="36"/>
  <c r="AB12" i="36"/>
  <c r="AC36" i="35"/>
  <c r="W36" i="35"/>
  <c r="AA34" i="35"/>
  <c r="S34" i="35"/>
  <c r="S7" i="36"/>
  <c r="AA7" i="35"/>
  <c r="S7" i="35"/>
  <c r="AC7" i="34"/>
  <c r="V49" i="34" s="1"/>
  <c r="I49" i="34" s="1"/>
  <c r="W7" i="34"/>
  <c r="E53" i="33"/>
  <c r="F53" i="33" s="1"/>
  <c r="E52" i="33"/>
  <c r="F52" i="33" s="1"/>
  <c r="AC7" i="37"/>
  <c r="V42" i="37" s="1"/>
  <c r="I42" i="37" s="1"/>
  <c r="W7" i="37"/>
  <c r="U7" i="21"/>
  <c r="AB7" i="21"/>
  <c r="AA26" i="37"/>
  <c r="S26" i="37"/>
  <c r="AA23" i="36"/>
  <c r="S23" i="36"/>
  <c r="AB34" i="35"/>
  <c r="U34" i="35"/>
  <c r="AZ548" i="3"/>
  <c r="I52" i="33"/>
  <c r="J52" i="33" s="1"/>
  <c r="I53" i="33"/>
  <c r="J53" i="33" s="1"/>
  <c r="D70" i="39"/>
  <c r="E68" i="39"/>
  <c r="AC7" i="36"/>
  <c r="V36" i="36" s="1"/>
  <c r="I36" i="36" s="1"/>
  <c r="AC7" i="35"/>
  <c r="V38" i="35" s="1"/>
  <c r="I38" i="35" s="1"/>
  <c r="W7" i="35"/>
  <c r="S7" i="34"/>
  <c r="AA7" i="34"/>
  <c r="R49" i="34" s="1"/>
  <c r="C49" i="33"/>
  <c r="C48" i="33"/>
  <c r="S7" i="37"/>
  <c r="AA7" i="37"/>
  <c r="R42" i="37" s="1"/>
  <c r="U7" i="37"/>
  <c r="AB7" i="37"/>
  <c r="T42" i="37" s="1"/>
  <c r="G42" i="37" s="1"/>
  <c r="S7" i="21"/>
  <c r="AC7" i="21"/>
  <c r="W7" i="21"/>
  <c r="P25" i="43"/>
  <c r="C49" i="67"/>
  <c r="B40" i="1"/>
  <c r="C18" i="67"/>
  <c r="C15" i="67"/>
  <c r="M11" i="15"/>
  <c r="F11" i="67"/>
  <c r="F11" i="15"/>
  <c r="M11" i="67"/>
  <c r="J10" i="67" s="1"/>
  <c r="J5" i="67" s="1"/>
  <c r="Q73" i="67"/>
  <c r="Q60" i="67"/>
  <c r="P17" i="43"/>
  <c r="M17" i="43"/>
  <c r="N17" i="43"/>
  <c r="O17" i="43"/>
  <c r="Q74" i="15"/>
  <c r="Q61" i="15"/>
  <c r="Q61" i="67"/>
  <c r="Q74" i="67"/>
  <c r="AE9" i="1"/>
  <c r="C16" i="81"/>
  <c r="F41" i="15"/>
  <c r="J7" i="80" l="1"/>
  <c r="U7" i="36"/>
  <c r="AB7" i="34"/>
  <c r="T49" i="34" s="1"/>
  <c r="G49" i="34" s="1"/>
  <c r="H7" i="80"/>
  <c r="AB7" i="80" s="1"/>
  <c r="E181" i="3"/>
  <c r="E554" i="3"/>
  <c r="E309" i="3"/>
  <c r="E24" i="3"/>
  <c r="AF6" i="3"/>
  <c r="E409" i="3"/>
  <c r="E239" i="3"/>
  <c r="E126" i="3"/>
  <c r="E132" i="3"/>
  <c r="E168" i="3"/>
  <c r="E174" i="3"/>
  <c r="F11" i="80"/>
  <c r="AA11" i="80" s="1"/>
  <c r="E558" i="3"/>
  <c r="E403" i="3"/>
  <c r="E480" i="3"/>
  <c r="E336" i="3"/>
  <c r="E474" i="3"/>
  <c r="E26" i="3"/>
  <c r="AI6" i="3"/>
  <c r="E410" i="3"/>
  <c r="E575" i="3"/>
  <c r="E492" i="3"/>
  <c r="E145" i="3"/>
  <c r="E297" i="3"/>
  <c r="E215" i="3"/>
  <c r="E372" i="3"/>
  <c r="E490" i="3"/>
  <c r="E66" i="39"/>
  <c r="N101" i="43"/>
  <c r="N105" i="43" s="1"/>
  <c r="AG11" i="43"/>
  <c r="AG13" i="43" s="1"/>
  <c r="N104" i="46"/>
  <c r="AF11" i="43"/>
  <c r="AF13" i="43" s="1"/>
  <c r="J101" i="43"/>
  <c r="J102" i="43" s="1"/>
  <c r="AE11" i="43"/>
  <c r="AE13" i="43" s="1"/>
  <c r="E22" i="43"/>
  <c r="H22" i="43"/>
  <c r="E101" i="43"/>
  <c r="E104" i="43" s="1"/>
  <c r="J10" i="15"/>
  <c r="J5" i="15" s="1"/>
  <c r="J18" i="15" s="1"/>
  <c r="Q52" i="15"/>
  <c r="Q60" i="15"/>
  <c r="E443" i="3"/>
  <c r="E191" i="3"/>
  <c r="E260" i="3"/>
  <c r="E417" i="3"/>
  <c r="E92" i="3"/>
  <c r="E547" i="3"/>
  <c r="E574" i="3"/>
  <c r="AJ6" i="3"/>
  <c r="E81" i="3"/>
  <c r="E249" i="3"/>
  <c r="E30" i="3"/>
  <c r="E39" i="3"/>
  <c r="E207" i="3"/>
  <c r="E538" i="3"/>
  <c r="E426" i="3"/>
  <c r="E248" i="3"/>
  <c r="E460" i="3"/>
  <c r="E54" i="3"/>
  <c r="W6" i="3"/>
  <c r="E529" i="3"/>
  <c r="M6" i="3"/>
  <c r="E138" i="3"/>
  <c r="E206" i="3"/>
  <c r="E96" i="3"/>
  <c r="E346" i="3"/>
  <c r="E494" i="3"/>
  <c r="E230" i="3"/>
  <c r="E363" i="3"/>
  <c r="E463" i="3"/>
  <c r="E177" i="3"/>
  <c r="E22" i="3"/>
  <c r="E212" i="3"/>
  <c r="E75" i="3"/>
  <c r="E219" i="3"/>
  <c r="J6" i="3"/>
  <c r="E83" i="3"/>
  <c r="E50" i="3"/>
  <c r="E194" i="3"/>
  <c r="E14" i="3"/>
  <c r="E40" i="3"/>
  <c r="K6" i="3"/>
  <c r="E76" i="3"/>
  <c r="E524" i="3"/>
  <c r="E176" i="3"/>
  <c r="E289" i="3"/>
  <c r="E325" i="3"/>
  <c r="E100" i="3"/>
  <c r="E32" i="3"/>
  <c r="E394" i="3"/>
  <c r="E202" i="3"/>
  <c r="E483" i="3"/>
  <c r="E422" i="3"/>
  <c r="E221" i="3"/>
  <c r="E530" i="3"/>
  <c r="E337" i="3"/>
  <c r="E462" i="3"/>
  <c r="E82" i="3"/>
  <c r="E559" i="3"/>
  <c r="E254" i="3"/>
  <c r="Q6" i="3"/>
  <c r="E512" i="3"/>
  <c r="E556" i="3"/>
  <c r="E452" i="3"/>
  <c r="E104" i="3"/>
  <c r="E139" i="3"/>
  <c r="E243" i="3"/>
  <c r="E391" i="3"/>
  <c r="AL6" i="3"/>
  <c r="E94" i="3"/>
  <c r="E482" i="3"/>
  <c r="E78" i="3"/>
  <c r="E220" i="3"/>
  <c r="E383" i="3"/>
  <c r="E86" i="3"/>
  <c r="E232" i="3"/>
  <c r="E102" i="3"/>
  <c r="E436" i="3"/>
  <c r="E544" i="3"/>
  <c r="E209" i="3"/>
  <c r="E19" i="3"/>
  <c r="E508" i="3"/>
  <c r="E311" i="3"/>
  <c r="AB6" i="3"/>
  <c r="E189" i="3"/>
  <c r="E77" i="3"/>
  <c r="E519" i="3"/>
  <c r="E437" i="3"/>
  <c r="E481" i="3"/>
  <c r="E424" i="3"/>
  <c r="E344" i="3"/>
  <c r="AE6" i="3"/>
  <c r="E429" i="3"/>
  <c r="E496" i="3"/>
  <c r="E55" i="3"/>
  <c r="E73" i="3"/>
  <c r="E203" i="3"/>
  <c r="E256" i="3"/>
  <c r="E148" i="3"/>
  <c r="E90" i="3"/>
  <c r="E348" i="3"/>
  <c r="E58" i="3"/>
  <c r="E47" i="3"/>
  <c r="E266" i="3"/>
  <c r="E87" i="3"/>
  <c r="E154" i="3"/>
  <c r="E319" i="3"/>
  <c r="E328" i="3"/>
  <c r="E246" i="3"/>
  <c r="E390" i="3"/>
  <c r="E523" i="3"/>
  <c r="E418" i="3"/>
  <c r="E321" i="3"/>
  <c r="E169" i="3"/>
  <c r="E290" i="3"/>
  <c r="E252" i="3"/>
  <c r="E164" i="3"/>
  <c r="E525" i="3"/>
  <c r="T6" i="3"/>
  <c r="E555" i="3"/>
  <c r="E120" i="3"/>
  <c r="E500" i="3"/>
  <c r="E37" i="3"/>
  <c r="E192" i="3"/>
  <c r="E331" i="3"/>
  <c r="E384" i="3"/>
  <c r="E44" i="3"/>
  <c r="E441" i="3"/>
  <c r="E64" i="3"/>
  <c r="E142" i="3"/>
  <c r="E300" i="3"/>
  <c r="E23" i="3"/>
  <c r="E144" i="3"/>
  <c r="E381" i="3"/>
  <c r="E118" i="3"/>
  <c r="E513" i="3"/>
  <c r="E366" i="3"/>
  <c r="E282" i="3"/>
  <c r="E329" i="3"/>
  <c r="E510" i="3"/>
  <c r="E237" i="3"/>
  <c r="E17" i="3"/>
  <c r="E359" i="3"/>
  <c r="E511" i="3"/>
  <c r="E306" i="3"/>
  <c r="E236" i="3"/>
  <c r="E224" i="3"/>
  <c r="E499" i="3"/>
  <c r="E466" i="3"/>
  <c r="E255" i="3"/>
  <c r="E581" i="3"/>
  <c r="E444" i="3"/>
  <c r="E404" i="3"/>
  <c r="E88" i="3"/>
  <c r="E121" i="3"/>
  <c r="E166" i="3"/>
  <c r="E295" i="3"/>
  <c r="E316" i="3"/>
  <c r="E491" i="3"/>
  <c r="E566" i="3"/>
  <c r="E552" i="3"/>
  <c r="E122" i="3"/>
  <c r="E536" i="3"/>
  <c r="E388" i="3"/>
  <c r="E69" i="3"/>
  <c r="E563" i="3"/>
  <c r="E445" i="3"/>
  <c r="E509" i="3"/>
  <c r="E431" i="3"/>
  <c r="E201" i="3"/>
  <c r="E495" i="3"/>
  <c r="E586" i="3"/>
  <c r="E350" i="3"/>
  <c r="E301" i="3"/>
  <c r="E99" i="3"/>
  <c r="E157" i="3"/>
  <c r="E238" i="3"/>
  <c r="E105" i="3"/>
  <c r="E585" i="3"/>
  <c r="E515" i="3"/>
  <c r="E478" i="3"/>
  <c r="E414" i="3"/>
  <c r="E477" i="3"/>
  <c r="E505" i="3"/>
  <c r="E401" i="3"/>
  <c r="E31" i="3"/>
  <c r="E242" i="3"/>
  <c r="E308" i="3"/>
  <c r="E455" i="3"/>
  <c r="E427" i="3"/>
  <c r="E326" i="3"/>
  <c r="E147" i="3"/>
  <c r="E38" i="3"/>
  <c r="E357" i="3"/>
  <c r="E419" i="3"/>
  <c r="E130" i="3"/>
  <c r="E365" i="3"/>
  <c r="E62" i="3"/>
  <c r="E123" i="3"/>
  <c r="E299" i="3"/>
  <c r="E79" i="3"/>
  <c r="E74" i="3"/>
  <c r="E315" i="3"/>
  <c r="E178" i="3"/>
  <c r="E498" i="3"/>
  <c r="E486" i="3"/>
  <c r="E294" i="3"/>
  <c r="E127" i="3"/>
  <c r="E582" i="3"/>
  <c r="E163" i="3"/>
  <c r="E305" i="3"/>
  <c r="V6" i="3"/>
  <c r="E149" i="3"/>
  <c r="E405" i="3"/>
  <c r="E408" i="3"/>
  <c r="E497" i="3"/>
  <c r="E470" i="3"/>
  <c r="E41" i="3"/>
  <c r="E225" i="3"/>
  <c r="E276" i="3"/>
  <c r="E333" i="3"/>
  <c r="L6" i="3"/>
  <c r="E43" i="3"/>
  <c r="E412" i="3"/>
  <c r="E129" i="3"/>
  <c r="E275" i="3"/>
  <c r="E342" i="3"/>
  <c r="E34" i="3"/>
  <c r="E251" i="3"/>
  <c r="E261" i="3"/>
  <c r="E187" i="3"/>
  <c r="E59" i="3"/>
  <c r="E354" i="3"/>
  <c r="E323" i="3"/>
  <c r="AA6" i="3"/>
  <c r="E514" i="3"/>
  <c r="E387" i="3"/>
  <c r="E134" i="3"/>
  <c r="E253" i="3"/>
  <c r="E532" i="3"/>
  <c r="E458" i="3"/>
  <c r="E527" i="3"/>
  <c r="E457" i="3"/>
  <c r="E562" i="3"/>
  <c r="E571" i="3"/>
  <c r="E450" i="3"/>
  <c r="E433" i="3"/>
  <c r="E72" i="3"/>
  <c r="E111" i="3"/>
  <c r="E150" i="3"/>
  <c r="E279" i="3"/>
  <c r="E542" i="3"/>
  <c r="E131" i="3"/>
  <c r="E378" i="3"/>
  <c r="E110" i="3"/>
  <c r="E65" i="3"/>
  <c r="E386" i="3"/>
  <c r="E250" i="3"/>
  <c r="E222" i="3"/>
  <c r="E501" i="3"/>
  <c r="E583" i="3"/>
  <c r="E124" i="3"/>
  <c r="E533" i="3"/>
  <c r="E561" i="3"/>
  <c r="E439" i="3"/>
  <c r="E231" i="3"/>
  <c r="E185" i="3"/>
  <c r="E161" i="3"/>
  <c r="E271" i="3"/>
  <c r="E107" i="3"/>
  <c r="E493" i="3"/>
  <c r="E543" i="3"/>
  <c r="E397" i="3"/>
  <c r="E312" i="3"/>
  <c r="E413" i="3"/>
  <c r="E95" i="3"/>
  <c r="E258" i="3"/>
  <c r="E377" i="3"/>
  <c r="E572" i="3"/>
  <c r="E109" i="3"/>
  <c r="E484" i="3"/>
  <c r="E46" i="3"/>
  <c r="E200" i="3"/>
  <c r="E371" i="3"/>
  <c r="E84" i="3"/>
  <c r="E184" i="3"/>
  <c r="E68" i="3"/>
  <c r="E264" i="3"/>
  <c r="E21" i="3"/>
  <c r="E526" i="3"/>
  <c r="E322" i="3"/>
  <c r="E539" i="3"/>
  <c r="E461" i="3"/>
  <c r="E304" i="3"/>
  <c r="E302" i="3"/>
  <c r="E285" i="3"/>
  <c r="E16" i="3"/>
  <c r="E296" i="3"/>
  <c r="E269" i="3"/>
  <c r="E193" i="3"/>
  <c r="R6" i="3"/>
  <c r="E541" i="3"/>
  <c r="I3" i="6"/>
  <c r="AS6" i="3"/>
  <c r="E476" i="3"/>
  <c r="E447" i="3"/>
  <c r="E27" i="3"/>
  <c r="E162" i="3"/>
  <c r="E186" i="3"/>
  <c r="E210" i="3"/>
  <c r="E56" i="3"/>
  <c r="E435" i="3"/>
  <c r="E459" i="3"/>
  <c r="AD6" i="3"/>
  <c r="E156" i="3"/>
  <c r="E568" i="3"/>
  <c r="E361" i="3"/>
  <c r="E114" i="3"/>
  <c r="E395" i="3"/>
  <c r="E550" i="3"/>
  <c r="E516" i="3"/>
  <c r="E396" i="3"/>
  <c r="E151" i="3"/>
  <c r="E518" i="3"/>
  <c r="E578" i="3"/>
  <c r="E382" i="3"/>
  <c r="E245" i="3"/>
  <c r="E188" i="3"/>
  <c r="E140" i="3"/>
  <c r="E197" i="3"/>
  <c r="E327" i="3"/>
  <c r="Z6" i="3"/>
  <c r="AO6" i="3"/>
  <c r="E485" i="3"/>
  <c r="E400" i="3"/>
  <c r="E345" i="3"/>
  <c r="E557" i="3"/>
  <c r="E170" i="3"/>
  <c r="E340" i="3"/>
  <c r="E158" i="3"/>
  <c r="E440" i="3"/>
  <c r="E80" i="3"/>
  <c r="E351" i="3"/>
  <c r="E407" i="3"/>
  <c r="E287" i="3"/>
  <c r="E52" i="3"/>
  <c r="E473" i="3"/>
  <c r="E257" i="3"/>
  <c r="E376" i="3"/>
  <c r="E358" i="3"/>
  <c r="E265" i="3"/>
  <c r="E20" i="3"/>
  <c r="E36" i="3"/>
  <c r="E234" i="3"/>
  <c r="E15" i="3"/>
  <c r="E580" i="3"/>
  <c r="E274" i="3"/>
  <c r="E25" i="3"/>
  <c r="AH6" i="3"/>
  <c r="E560" i="3"/>
  <c r="E551" i="3"/>
  <c r="E98" i="3"/>
  <c r="E240" i="3"/>
  <c r="E66" i="3"/>
  <c r="E399" i="3"/>
  <c r="E320" i="3"/>
  <c r="E167" i="3"/>
  <c r="E456" i="3"/>
  <c r="E451" i="3"/>
  <c r="E13" i="3"/>
  <c r="E420" i="3"/>
  <c r="E115" i="3"/>
  <c r="E281" i="3"/>
  <c r="E332" i="3"/>
  <c r="E356" i="3"/>
  <c r="E42" i="3"/>
  <c r="E488" i="3"/>
  <c r="E18" i="3"/>
  <c r="E190" i="3"/>
  <c r="E235" i="3"/>
  <c r="E522" i="3"/>
  <c r="E49" i="3"/>
  <c r="E370" i="3"/>
  <c r="E368" i="3"/>
  <c r="E259" i="3"/>
  <c r="E446" i="3"/>
  <c r="E48" i="3"/>
  <c r="E175" i="3"/>
  <c r="E280" i="3"/>
  <c r="E570" i="3"/>
  <c r="E335" i="3"/>
  <c r="E91" i="3"/>
  <c r="E199" i="3"/>
  <c r="E573" i="3"/>
  <c r="E472" i="3"/>
  <c r="E406" i="3"/>
  <c r="E465" i="3"/>
  <c r="E587" i="3"/>
  <c r="E577" i="3"/>
  <c r="E468" i="3"/>
  <c r="E454" i="3"/>
  <c r="E106" i="3"/>
  <c r="E146" i="3"/>
  <c r="E171" i="3"/>
  <c r="E503" i="3"/>
  <c r="E374" i="3"/>
  <c r="E155" i="3"/>
  <c r="E375" i="3"/>
  <c r="E540" i="3"/>
  <c r="E195" i="3"/>
  <c r="E584" i="3"/>
  <c r="E341" i="3"/>
  <c r="E373" i="3"/>
  <c r="E153" i="3"/>
  <c r="X6" i="3"/>
  <c r="E293" i="3"/>
  <c r="S6" i="3"/>
  <c r="E506" i="3"/>
  <c r="E338" i="3"/>
  <c r="E298" i="3"/>
  <c r="E61" i="3"/>
  <c r="E117" i="3"/>
  <c r="E204" i="3"/>
  <c r="E369" i="3"/>
  <c r="E534" i="3"/>
  <c r="E549" i="3"/>
  <c r="E421" i="3"/>
  <c r="E520" i="3"/>
  <c r="E152" i="3"/>
  <c r="E241" i="3"/>
  <c r="E317" i="3"/>
  <c r="AM6" i="3"/>
  <c r="E29" i="3"/>
  <c r="E425" i="3"/>
  <c r="E103" i="3"/>
  <c r="E267" i="3"/>
  <c r="E310" i="3"/>
  <c r="E67" i="3"/>
  <c r="E233" i="3"/>
  <c r="E63" i="3"/>
  <c r="E283" i="3"/>
  <c r="E125" i="3"/>
  <c r="E553" i="3"/>
  <c r="N6" i="3"/>
  <c r="E545" i="3"/>
  <c r="E352" i="3"/>
  <c r="E565" i="3"/>
  <c r="O6" i="3"/>
  <c r="E97" i="3"/>
  <c r="AK6" i="3"/>
  <c r="E262" i="3"/>
  <c r="E89" i="3"/>
  <c r="E286" i="3"/>
  <c r="E502" i="3"/>
  <c r="E430" i="3"/>
  <c r="AP6" i="3"/>
  <c r="E531" i="3"/>
  <c r="E489" i="3"/>
  <c r="E28" i="3"/>
  <c r="E70" i="3"/>
  <c r="E182" i="3"/>
  <c r="E211" i="3"/>
  <c r="E273" i="3"/>
  <c r="E479" i="3"/>
  <c r="E517" i="3"/>
  <c r="E398" i="3"/>
  <c r="E133" i="3"/>
  <c r="E244" i="3"/>
  <c r="E143" i="3"/>
  <c r="E528" i="3"/>
  <c r="E278" i="3"/>
  <c r="E172" i="3"/>
  <c r="E535" i="3"/>
  <c r="E579" i="3"/>
  <c r="E247" i="3"/>
  <c r="E353" i="3"/>
  <c r="AN6" i="3"/>
  <c r="E402" i="3"/>
  <c r="E303" i="3"/>
  <c r="E159" i="3"/>
  <c r="E228" i="3"/>
  <c r="E85" i="3"/>
  <c r="E116" i="3"/>
  <c r="E379" i="3"/>
  <c r="U6" i="3"/>
  <c r="E411" i="3"/>
  <c r="E548" i="3"/>
  <c r="E432" i="3"/>
  <c r="E367" i="3"/>
  <c r="E57" i="3"/>
  <c r="E318" i="3"/>
  <c r="E392" i="3"/>
  <c r="E347" i="3"/>
  <c r="E112" i="3"/>
  <c r="E108" i="3"/>
  <c r="E307" i="3"/>
  <c r="E113" i="3"/>
  <c r="E339" i="3"/>
  <c r="E93" i="3"/>
  <c r="E119" i="3"/>
  <c r="E507" i="3"/>
  <c r="E179" i="3"/>
  <c r="E101" i="3"/>
  <c r="E218" i="3"/>
  <c r="E364" i="3"/>
  <c r="E576" i="3"/>
  <c r="E385" i="3"/>
  <c r="E453" i="3"/>
  <c r="E45" i="3"/>
  <c r="P6" i="3"/>
  <c r="E173" i="3"/>
  <c r="E263" i="3"/>
  <c r="E229" i="3"/>
  <c r="E415" i="3"/>
  <c r="E277" i="3"/>
  <c r="E291" i="3"/>
  <c r="E71" i="3"/>
  <c r="E449" i="3"/>
  <c r="E136" i="3"/>
  <c r="E213" i="3"/>
  <c r="E268" i="3"/>
  <c r="E355" i="3"/>
  <c r="E160" i="3"/>
  <c r="E334" i="3"/>
  <c r="E416" i="3"/>
  <c r="E564" i="3"/>
  <c r="E135" i="3"/>
  <c r="AR6" i="3"/>
  <c r="E53" i="3"/>
  <c r="E521" i="3"/>
  <c r="I6" i="3"/>
  <c r="E475" i="3"/>
  <c r="E288" i="3"/>
  <c r="E313" i="3"/>
  <c r="E165" i="3"/>
  <c r="E349" i="3"/>
  <c r="E35" i="3"/>
  <c r="E428" i="3"/>
  <c r="E226" i="3"/>
  <c r="E360" i="3"/>
  <c r="E128" i="3"/>
  <c r="E205" i="3"/>
  <c r="E214" i="3"/>
  <c r="AQ6" i="3"/>
  <c r="E448" i="3"/>
  <c r="E223" i="3"/>
  <c r="E423" i="3"/>
  <c r="E569" i="3"/>
  <c r="AT6" i="3"/>
  <c r="E464" i="3"/>
  <c r="E272" i="3"/>
  <c r="E546" i="3"/>
  <c r="E442" i="3"/>
  <c r="E434" i="3"/>
  <c r="E227" i="3"/>
  <c r="E217" i="3"/>
  <c r="E33" i="3"/>
  <c r="E467" i="3"/>
  <c r="E292" i="3"/>
  <c r="E196" i="3"/>
  <c r="E393" i="3"/>
  <c r="E216" i="3"/>
  <c r="E270" i="3"/>
  <c r="E51" i="3"/>
  <c r="E504" i="3"/>
  <c r="E208" i="3"/>
  <c r="E471" i="3"/>
  <c r="E438" i="3"/>
  <c r="E180" i="3"/>
  <c r="E343" i="3"/>
  <c r="E487" i="3"/>
  <c r="E324" i="3"/>
  <c r="E60" i="3"/>
  <c r="E198" i="3"/>
  <c r="E469" i="3"/>
  <c r="Y6" i="3"/>
  <c r="E141" i="3"/>
  <c r="E362" i="3"/>
  <c r="T45" i="71"/>
  <c r="D45" i="71"/>
  <c r="T29" i="71"/>
  <c r="D29" i="71"/>
  <c r="W7" i="80"/>
  <c r="AC7" i="80"/>
  <c r="AZ5" i="3"/>
  <c r="E3" i="6" s="1"/>
  <c r="R38" i="35"/>
  <c r="T21" i="71"/>
  <c r="D21" i="71"/>
  <c r="C49" i="81"/>
  <c r="T17" i="71"/>
  <c r="D17" i="71"/>
  <c r="T37" i="71"/>
  <c r="D37" i="71"/>
  <c r="AA7" i="80"/>
  <c r="S7" i="80"/>
  <c r="J11" i="80"/>
  <c r="W11" i="80" s="1"/>
  <c r="C101" i="43"/>
  <c r="D101" i="43"/>
  <c r="G101" i="43"/>
  <c r="G22" i="43"/>
  <c r="Z7" i="43"/>
  <c r="F22" i="43"/>
  <c r="H101" i="43"/>
  <c r="AD11" i="43"/>
  <c r="AD13" i="43" s="1"/>
  <c r="B113" i="43"/>
  <c r="K101" i="43"/>
  <c r="AJ11" i="43"/>
  <c r="AJ13" i="43" s="1"/>
  <c r="AI11" i="43"/>
  <c r="AI13" i="43" s="1"/>
  <c r="F101" i="43"/>
  <c r="M101" i="43"/>
  <c r="Z11" i="43"/>
  <c r="Z13" i="43" s="1"/>
  <c r="J22" i="43"/>
  <c r="I101" i="43"/>
  <c r="AB11" i="43"/>
  <c r="AB13" i="43" s="1"/>
  <c r="AA11" i="43"/>
  <c r="AA13" i="43" s="1"/>
  <c r="L101" i="43"/>
  <c r="AH11" i="43"/>
  <c r="AH13" i="43" s="1"/>
  <c r="AC11" i="43"/>
  <c r="AC13" i="43" s="1"/>
  <c r="E27" i="6"/>
  <c r="K22" i="6" s="1"/>
  <c r="N109" i="43"/>
  <c r="L20" i="6"/>
  <c r="N104" i="43"/>
  <c r="F11" i="21"/>
  <c r="AA11" i="21" s="1"/>
  <c r="E30" i="6"/>
  <c r="L19" i="6"/>
  <c r="H11" i="21"/>
  <c r="AB11" i="21" s="1"/>
  <c r="M6" i="1"/>
  <c r="O6" i="1" s="1"/>
  <c r="P6" i="1" s="1"/>
  <c r="AP6" i="1"/>
  <c r="K8" i="1"/>
  <c r="K16" i="1" s="1"/>
  <c r="E7" i="12"/>
  <c r="M7" i="1"/>
  <c r="O7" i="1" s="1"/>
  <c r="P7" i="1" s="1"/>
  <c r="C13" i="12" s="1"/>
  <c r="AP7" i="1"/>
  <c r="AA11" i="39"/>
  <c r="S11" i="39"/>
  <c r="W11" i="39"/>
  <c r="AC11" i="39"/>
  <c r="S11" i="21"/>
  <c r="U11" i="80"/>
  <c r="AB11" i="80"/>
  <c r="AB11" i="39"/>
  <c r="U11" i="39"/>
  <c r="U11" i="21"/>
  <c r="W11" i="21"/>
  <c r="AC11" i="21"/>
  <c r="L27" i="6"/>
  <c r="J10" i="81"/>
  <c r="J5" i="81" s="1"/>
  <c r="J24" i="81" s="1"/>
  <c r="Q61" i="81"/>
  <c r="F1" i="81"/>
  <c r="Q52" i="81"/>
  <c r="Q73" i="82"/>
  <c r="Q60" i="82"/>
  <c r="Q57" i="82"/>
  <c r="Q66" i="82"/>
  <c r="Q52" i="82"/>
  <c r="F1" i="82"/>
  <c r="Q60" i="81"/>
  <c r="Q73" i="81"/>
  <c r="Q74" i="82"/>
  <c r="Q61" i="82"/>
  <c r="C53" i="82"/>
  <c r="F24" i="81"/>
  <c r="C24" i="81" s="1"/>
  <c r="F24" i="82"/>
  <c r="AB7" i="35"/>
  <c r="T38" i="35" s="1"/>
  <c r="G38" i="35" s="1"/>
  <c r="G43" i="35" s="1"/>
  <c r="H43" i="35" s="1"/>
  <c r="F69" i="15"/>
  <c r="C53" i="81"/>
  <c r="C10" i="81"/>
  <c r="C5" i="81" s="1"/>
  <c r="M14" i="1"/>
  <c r="S6" i="43"/>
  <c r="S4" i="43"/>
  <c r="S3" i="43"/>
  <c r="S2" i="43"/>
  <c r="S5" i="43"/>
  <c r="C23" i="43"/>
  <c r="C21" i="43" s="1"/>
  <c r="S7" i="43"/>
  <c r="E65" i="40"/>
  <c r="F63" i="40"/>
  <c r="AY6" i="3"/>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I43" i="35" s="1"/>
  <c r="J43" i="35" s="1"/>
  <c r="R39" i="35"/>
  <c r="D7" i="71"/>
  <c r="C6" i="71"/>
  <c r="G42" i="35"/>
  <c r="H42" i="35" s="1"/>
  <c r="I42" i="35"/>
  <c r="J42" i="35" s="1"/>
  <c r="G40" i="36"/>
  <c r="H40" i="36" s="1"/>
  <c r="G41" i="36"/>
  <c r="H41" i="36" s="1"/>
  <c r="F68" i="39"/>
  <c r="E70" i="39"/>
  <c r="E36" i="36"/>
  <c r="R37" i="36"/>
  <c r="K21" i="6"/>
  <c r="N51" i="71"/>
  <c r="N50" i="71"/>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F7" i="82"/>
  <c r="M29" i="82"/>
  <c r="AE10" i="1"/>
  <c r="AE8" i="1"/>
  <c r="F43" i="82"/>
  <c r="AC11" i="80" l="1"/>
  <c r="C48" i="81"/>
  <c r="C66" i="81" s="1"/>
  <c r="U7" i="80"/>
  <c r="S11" i="80"/>
  <c r="K26" i="6"/>
  <c r="M26" i="6" s="1"/>
  <c r="I26" i="6" s="1"/>
  <c r="S26" i="6" s="1"/>
  <c r="K19" i="6"/>
  <c r="S6" i="1" s="1"/>
  <c r="T6" i="1" s="1"/>
  <c r="K25" i="6"/>
  <c r="M25" i="6" s="1"/>
  <c r="I25" i="6" s="1"/>
  <c r="S25" i="6" s="1"/>
  <c r="K20" i="6"/>
  <c r="E31" i="6"/>
  <c r="N102" i="43"/>
  <c r="N107" i="43"/>
  <c r="K23" i="6"/>
  <c r="M23" i="6" s="1"/>
  <c r="I23" i="6" s="1"/>
  <c r="S23" i="6" s="1"/>
  <c r="N103" i="43"/>
  <c r="N106" i="43"/>
  <c r="H6" i="3"/>
  <c r="C34" i="69"/>
  <c r="C38" i="69" s="1"/>
  <c r="K24" i="6"/>
  <c r="M24" i="6" s="1"/>
  <c r="I24" i="6" s="1"/>
  <c r="S24" i="6" s="1"/>
  <c r="J24" i="15"/>
  <c r="J106" i="43"/>
  <c r="J104" i="43"/>
  <c r="E105" i="43"/>
  <c r="J105" i="43"/>
  <c r="J103" i="43"/>
  <c r="J107" i="43"/>
  <c r="J109" i="43"/>
  <c r="E106" i="43"/>
  <c r="E102" i="43"/>
  <c r="E103" i="43"/>
  <c r="E107" i="43"/>
  <c r="E109" i="43"/>
  <c r="J26" i="15"/>
  <c r="J29" i="15" s="1"/>
  <c r="AC6" i="3"/>
  <c r="D22" i="43"/>
  <c r="D109" i="43"/>
  <c r="D103" i="43"/>
  <c r="D107" i="43"/>
  <c r="D106" i="43"/>
  <c r="D104" i="43"/>
  <c r="D105" i="43"/>
  <c r="D102" i="43"/>
  <c r="H103" i="43"/>
  <c r="H107" i="43"/>
  <c r="H105" i="43"/>
  <c r="H102" i="43"/>
  <c r="H104" i="43"/>
  <c r="H106" i="43"/>
  <c r="H109" i="43"/>
  <c r="G102" i="43"/>
  <c r="G104" i="43"/>
  <c r="G105" i="43"/>
  <c r="G106" i="43"/>
  <c r="G107" i="43"/>
  <c r="G109" i="43"/>
  <c r="G103" i="43"/>
  <c r="C106" i="43"/>
  <c r="C103" i="43"/>
  <c r="C109" i="43"/>
  <c r="C105" i="43"/>
  <c r="C107" i="43"/>
  <c r="C102" i="43"/>
  <c r="C104" i="43"/>
  <c r="L109" i="43"/>
  <c r="L105" i="43"/>
  <c r="L106" i="43"/>
  <c r="L103" i="43"/>
  <c r="L102" i="43"/>
  <c r="L104" i="43"/>
  <c r="L107" i="43"/>
  <c r="M102" i="43"/>
  <c r="M103" i="43"/>
  <c r="M107" i="43"/>
  <c r="M109" i="43"/>
  <c r="M106" i="43"/>
  <c r="M104" i="43"/>
  <c r="M105" i="43"/>
  <c r="K103" i="43"/>
  <c r="K106" i="43"/>
  <c r="K104" i="43"/>
  <c r="K109" i="43"/>
  <c r="K102" i="43"/>
  <c r="K107" i="43"/>
  <c r="K105" i="43"/>
  <c r="I109" i="43"/>
  <c r="I102" i="43"/>
  <c r="I103" i="43"/>
  <c r="I107" i="43"/>
  <c r="I106" i="43"/>
  <c r="I104" i="43"/>
  <c r="I105" i="43"/>
  <c r="F102" i="43"/>
  <c r="F107" i="43"/>
  <c r="F105" i="43"/>
  <c r="F104" i="43"/>
  <c r="F103" i="43"/>
  <c r="F106" i="43"/>
  <c r="F109" i="43"/>
  <c r="D116" i="43"/>
  <c r="E116" i="43" s="1"/>
  <c r="F116" i="43" s="1"/>
  <c r="G116" i="43" s="1"/>
  <c r="H116" i="43" s="1"/>
  <c r="B117" i="43"/>
  <c r="C117" i="43" s="1"/>
  <c r="D115" i="43"/>
  <c r="E115" i="43" s="1"/>
  <c r="F115" i="43" s="1"/>
  <c r="G115" i="43" s="1"/>
  <c r="H115" i="43" s="1"/>
  <c r="D117" i="43"/>
  <c r="E117" i="43" s="1"/>
  <c r="F117" i="43" s="1"/>
  <c r="G117" i="43" s="1"/>
  <c r="H117" i="43" s="1"/>
  <c r="G118" i="43"/>
  <c r="H118" i="43" s="1"/>
  <c r="B118" i="43"/>
  <c r="C118" i="43" s="1"/>
  <c r="I115" i="43"/>
  <c r="J115" i="43" s="1"/>
  <c r="K115" i="43" s="1"/>
  <c r="L115" i="43" s="1"/>
  <c r="M115" i="43" s="1"/>
  <c r="D118" i="43"/>
  <c r="E118" i="43" s="1"/>
  <c r="F118" i="43" s="1"/>
  <c r="I116" i="43"/>
  <c r="J116" i="43" s="1"/>
  <c r="K116" i="43" s="1"/>
  <c r="L116" i="43" s="1"/>
  <c r="M116" i="43" s="1"/>
  <c r="B115" i="43"/>
  <c r="C115" i="43" s="1"/>
  <c r="I118" i="43"/>
  <c r="J118" i="43" s="1"/>
  <c r="K118" i="43" s="1"/>
  <c r="L118" i="43" s="1"/>
  <c r="M118" i="43" s="1"/>
  <c r="B116" i="43"/>
  <c r="C116" i="43" s="1"/>
  <c r="I117" i="43"/>
  <c r="J117" i="43" s="1"/>
  <c r="K117" i="43" s="1"/>
  <c r="L117" i="43" s="1"/>
  <c r="M117" i="43" s="1"/>
  <c r="M7" i="82"/>
  <c r="J6" i="82" s="1"/>
  <c r="J10" i="82" s="1"/>
  <c r="J5" i="82" s="1"/>
  <c r="J24" i="82" s="1"/>
  <c r="C6" i="82"/>
  <c r="C10" i="82" s="1"/>
  <c r="C5" i="82" s="1"/>
  <c r="C38" i="82" s="1"/>
  <c r="F50" i="82"/>
  <c r="C49" i="82" s="1"/>
  <c r="C48" i="82" s="1"/>
  <c r="C66" i="82" s="1"/>
  <c r="F71" i="82"/>
  <c r="M8" i="1"/>
  <c r="Q16" i="1"/>
  <c r="C36" i="69"/>
  <c r="G16" i="1"/>
  <c r="H16" i="1"/>
  <c r="J26" i="81"/>
  <c r="C33" i="80"/>
  <c r="C33" i="21"/>
  <c r="J18" i="81"/>
  <c r="S10" i="1"/>
  <c r="C24" i="82"/>
  <c r="C38" i="81"/>
  <c r="C32" i="81"/>
  <c r="M21" i="6"/>
  <c r="I21" i="6" s="1"/>
  <c r="S21" i="6" s="1"/>
  <c r="S8" i="1"/>
  <c r="AQ6" i="1"/>
  <c r="M22" i="6"/>
  <c r="I22" i="6" s="1"/>
  <c r="S22" i="6" s="1"/>
  <c r="S9" i="1"/>
  <c r="O14" i="1"/>
  <c r="M16" i="1"/>
  <c r="N16" i="1" s="1"/>
  <c r="G63" i="40"/>
  <c r="F65" i="40"/>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C24"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6" i="82"/>
  <c r="F41" i="82"/>
  <c r="C17" i="81"/>
  <c r="C17" i="15"/>
  <c r="C17" i="82"/>
  <c r="F41" i="81"/>
  <c r="C60" i="81" l="1"/>
  <c r="C35" i="69"/>
  <c r="M19" i="6"/>
  <c r="AR6" i="1"/>
  <c r="K27" i="6"/>
  <c r="S7" i="1"/>
  <c r="S16" i="1" s="1"/>
  <c r="M20" i="6"/>
  <c r="I20" i="6" s="1"/>
  <c r="S20" i="6" s="1"/>
  <c r="E6" i="3"/>
  <c r="C32" i="82"/>
  <c r="D113" i="43"/>
  <c r="J18" i="82"/>
  <c r="J26" i="82"/>
  <c r="J29" i="82" s="1"/>
  <c r="J10" i="40"/>
  <c r="F10" i="39"/>
  <c r="F10" i="40"/>
  <c r="H10" i="39"/>
  <c r="H10" i="40"/>
  <c r="J10" i="39"/>
  <c r="F27" i="69"/>
  <c r="F27" i="11"/>
  <c r="F28" i="12"/>
  <c r="C29" i="12" s="1"/>
  <c r="D28" i="12" s="1"/>
  <c r="F27" i="68"/>
  <c r="O8" i="1"/>
  <c r="P8" i="1" s="1"/>
  <c r="B2" i="37"/>
  <c r="B3" i="37" s="1"/>
  <c r="C60" i="82"/>
  <c r="E8" i="70"/>
  <c r="E10" i="70"/>
  <c r="F33" i="21"/>
  <c r="H33" i="21"/>
  <c r="J33" i="21"/>
  <c r="J33" i="80"/>
  <c r="F33" i="80"/>
  <c r="H33" i="80"/>
  <c r="F69" i="81"/>
  <c r="J29" i="81"/>
  <c r="F69" i="82"/>
  <c r="AQ10" i="1"/>
  <c r="T10" i="1"/>
  <c r="AR10" i="1"/>
  <c r="B3" i="35"/>
  <c r="F8" i="12"/>
  <c r="F34" i="11"/>
  <c r="C36" i="11" s="1"/>
  <c r="F34" i="68"/>
  <c r="C36" i="68" s="1"/>
  <c r="F11" i="12"/>
  <c r="AR9" i="1"/>
  <c r="AQ9" i="1"/>
  <c r="T9" i="1"/>
  <c r="AR8" i="1"/>
  <c r="T8" i="1"/>
  <c r="AQ8" i="1"/>
  <c r="AQ7" i="1"/>
  <c r="AR7" i="1"/>
  <c r="F50" i="69"/>
  <c r="F50" i="11"/>
  <c r="F50" i="68"/>
  <c r="P14" i="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82"/>
  <c r="C14" i="81"/>
  <c r="C14" i="15"/>
  <c r="T7" i="1" l="1"/>
  <c r="T16" i="1" s="1"/>
  <c r="P16" i="1"/>
  <c r="C11" i="12" s="1"/>
  <c r="C15" i="12" s="1"/>
  <c r="E2" i="70"/>
  <c r="C29" i="68"/>
  <c r="D27" i="68" s="1"/>
  <c r="C47" i="68"/>
  <c r="D45" i="68" s="1"/>
  <c r="C47" i="11"/>
  <c r="D45" i="11" s="1"/>
  <c r="C29" i="11"/>
  <c r="D27" i="11" s="1"/>
  <c r="W10" i="39"/>
  <c r="AC10" i="39"/>
  <c r="U10" i="39"/>
  <c r="AB10" i="39"/>
  <c r="AA10" i="39"/>
  <c r="S10" i="39"/>
  <c r="C47" i="69"/>
  <c r="D45" i="69" s="1"/>
  <c r="C29" i="69"/>
  <c r="D27" i="69" s="1"/>
  <c r="U10" i="40"/>
  <c r="AB10" i="40"/>
  <c r="S10" i="40"/>
  <c r="AA10" i="40"/>
  <c r="AC10" i="40"/>
  <c r="W10" i="40"/>
  <c r="AB33" i="80"/>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28" i="11"/>
  <c r="C27" i="11" s="1"/>
  <c r="R25" i="6"/>
  <c r="H65" i="40"/>
  <c r="I63" i="40"/>
  <c r="C10" i="69"/>
  <c r="C8" i="69" s="1"/>
  <c r="C5" i="69" s="1"/>
  <c r="D19" i="69"/>
  <c r="R21" i="6"/>
  <c r="R23" i="6"/>
  <c r="R10" i="1" s="1"/>
  <c r="A7" i="51"/>
  <c r="B7" i="72" s="1"/>
  <c r="C4" i="52"/>
  <c r="B45" i="72" s="1"/>
  <c r="A10" i="51"/>
  <c r="B9" i="72" s="1"/>
  <c r="R19" i="6"/>
  <c r="D27" i="6"/>
  <c r="D31" i="6" s="1"/>
  <c r="C10" i="68"/>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E6" i="76"/>
  <c r="B6" i="76"/>
  <c r="B29" i="1" l="1"/>
  <c r="C8" i="68" s="1"/>
  <c r="C12" i="12"/>
  <c r="C16" i="12" s="1"/>
  <c r="C31" i="1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C33" i="11" s="1"/>
  <c r="R8" i="1"/>
  <c r="R9" i="1"/>
  <c r="R27" i="6"/>
  <c r="R6" i="1"/>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L51" i="67"/>
  <c r="M21" i="15"/>
  <c r="F35" i="15"/>
  <c r="F35" i="81"/>
  <c r="F35" i="82"/>
  <c r="M21" i="82"/>
  <c r="M21" i="81"/>
  <c r="C18" i="12" l="1"/>
  <c r="C21" i="12" s="1"/>
  <c r="C22" i="12" s="1"/>
  <c r="C39" i="11"/>
  <c r="C43" i="11" s="1"/>
  <c r="C42" i="11"/>
  <c r="C33" i="68"/>
  <c r="C23" i="82"/>
  <c r="C29" i="82" s="1"/>
  <c r="C57" i="82" s="1"/>
  <c r="E53" i="80"/>
  <c r="F53" i="80" s="1"/>
  <c r="E52" i="80"/>
  <c r="F52" i="80" s="1"/>
  <c r="I53" i="80"/>
  <c r="J53" i="80" s="1"/>
  <c r="I53" i="21"/>
  <c r="J53" i="21" s="1"/>
  <c r="E52" i="21"/>
  <c r="F52" i="21" s="1"/>
  <c r="E53" i="21"/>
  <c r="F53" i="21" s="1"/>
  <c r="C48" i="80"/>
  <c r="C49" i="80"/>
  <c r="P11" i="79" s="1"/>
  <c r="C49" i="21"/>
  <c r="C48" i="21"/>
  <c r="C23" i="81"/>
  <c r="C29" i="81" s="1"/>
  <c r="C26" i="15"/>
  <c r="C23" i="15"/>
  <c r="F63" i="82"/>
  <c r="C62" i="82" s="1"/>
  <c r="C34" i="82"/>
  <c r="J20" i="82"/>
  <c r="J20" i="15"/>
  <c r="F63" i="15"/>
  <c r="C62" i="15" s="1"/>
  <c r="C34" i="15"/>
  <c r="C34" i="81"/>
  <c r="F63" i="81"/>
  <c r="C62" i="81" s="1"/>
  <c r="J20" i="81"/>
  <c r="R16" i="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39" i="68" l="1"/>
  <c r="C43" i="68" s="1"/>
  <c r="C91" i="9"/>
  <c r="C94" i="9" s="1"/>
  <c r="C41" i="11"/>
  <c r="C49" i="11" s="1"/>
  <c r="C51" i="11" s="1"/>
  <c r="C52" i="11" s="1"/>
  <c r="B2" i="11" s="1"/>
  <c r="B3" i="11" s="1"/>
  <c r="C42" i="68"/>
  <c r="J19" i="82"/>
  <c r="J17" i="82" s="1"/>
  <c r="C13" i="82"/>
  <c r="C75" i="82" s="1"/>
  <c r="Q49" i="82"/>
  <c r="J59" i="82"/>
  <c r="J60" i="82" s="1"/>
  <c r="L46" i="82" s="1"/>
  <c r="C29" i="15"/>
  <c r="Q49" i="15" s="1"/>
  <c r="J14" i="82"/>
  <c r="J22" i="82" s="1"/>
  <c r="C36" i="82"/>
  <c r="C33" i="82"/>
  <c r="C31" i="82" s="1"/>
  <c r="B2" i="2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28" i="69"/>
  <c r="C27" i="69" s="1"/>
  <c r="C31" i="69" s="1"/>
  <c r="L63" i="40"/>
  <c r="K65" i="40"/>
  <c r="K70" i="39"/>
  <c r="L68" i="39"/>
  <c r="C46" i="69"/>
  <c r="C45" i="69" s="1"/>
  <c r="C43" i="69"/>
  <c r="C41" i="69" s="1"/>
  <c r="Q66" i="67"/>
  <c r="Q75" i="67" s="1"/>
  <c r="Q57" i="67"/>
  <c r="Q62" i="67" s="1"/>
  <c r="B2" i="67"/>
  <c r="B3" i="67"/>
  <c r="C46" i="68" l="1"/>
  <c r="C45" i="68" s="1"/>
  <c r="C41" i="68"/>
  <c r="C92" i="9"/>
  <c r="C13" i="15"/>
  <c r="C56" i="15" s="1"/>
  <c r="C65" i="15" s="1"/>
  <c r="C57" i="15"/>
  <c r="C64" i="15" s="1"/>
  <c r="J14" i="15"/>
  <c r="J22" i="15" s="1"/>
  <c r="C33" i="15"/>
  <c r="C31" i="15" s="1"/>
  <c r="C37" i="82"/>
  <c r="C30" i="82" s="1"/>
  <c r="C39" i="82" s="1"/>
  <c r="C40" i="82" s="1"/>
  <c r="J13" i="82"/>
  <c r="J23" i="82" s="1"/>
  <c r="J16" i="82" s="1"/>
  <c r="J25" i="82" s="1"/>
  <c r="Q70" i="82"/>
  <c r="Q48" i="82"/>
  <c r="C56" i="82"/>
  <c r="C65" i="82" s="1"/>
  <c r="C58" i="82" s="1"/>
  <c r="C67" i="82" s="1"/>
  <c r="C68" i="82" s="1"/>
  <c r="C71" i="82" s="1"/>
  <c r="J19" i="15"/>
  <c r="J17" i="15" s="1"/>
  <c r="C36" i="15"/>
  <c r="J59" i="15"/>
  <c r="J60" i="15" s="1"/>
  <c r="Q48" i="15" s="1"/>
  <c r="Q70" i="81"/>
  <c r="C56" i="81"/>
  <c r="C65" i="81" s="1"/>
  <c r="C75" i="81"/>
  <c r="C37" i="81"/>
  <c r="C30" i="81" s="1"/>
  <c r="C39" i="81" s="1"/>
  <c r="J22" i="81"/>
  <c r="J13" i="81"/>
  <c r="J23" i="81" s="1"/>
  <c r="C61" i="81"/>
  <c r="C59" i="81" s="1"/>
  <c r="C64" i="81"/>
  <c r="Q66" i="15"/>
  <c r="Q57" i="15"/>
  <c r="L46" i="81"/>
  <c r="Q57" i="81"/>
  <c r="Q66" i="81"/>
  <c r="C56" i="11"/>
  <c r="C57" i="11" s="1"/>
  <c r="C49" i="69"/>
  <c r="C51" i="69" s="1"/>
  <c r="C52" i="69" s="1"/>
  <c r="B2" i="69" s="1"/>
  <c r="B3" i="69" s="1"/>
  <c r="L65" i="40"/>
  <c r="M63" i="40"/>
  <c r="M68" i="39"/>
  <c r="L70" i="39"/>
  <c r="AO9" i="1"/>
  <c r="L51" i="81"/>
  <c r="C49" i="68" l="1"/>
  <c r="C51" i="68" s="1"/>
  <c r="Q70" i="15"/>
  <c r="C75" i="15"/>
  <c r="C37" i="15"/>
  <c r="C30" i="15" s="1"/>
  <c r="C39" i="15" s="1"/>
  <c r="L46" i="15"/>
  <c r="C61" i="15"/>
  <c r="C59" i="15" s="1"/>
  <c r="C58" i="15" s="1"/>
  <c r="C67" i="15" s="1"/>
  <c r="C68" i="15" s="1"/>
  <c r="C71" i="15" s="1"/>
  <c r="J13" i="15"/>
  <c r="J23" i="15" s="1"/>
  <c r="J16" i="15" s="1"/>
  <c r="J25" i="15" s="1"/>
  <c r="C80" i="82"/>
  <c r="C79" i="82" s="1"/>
  <c r="Q47" i="82"/>
  <c r="Q53" i="82" s="1"/>
  <c r="Q56" i="82"/>
  <c r="Q62" i="82" s="1"/>
  <c r="C46" i="82"/>
  <c r="B2" i="82"/>
  <c r="E8" i="12" s="1"/>
  <c r="C83" i="82"/>
  <c r="C82" i="82" s="1"/>
  <c r="Q69" i="82"/>
  <c r="Q68" i="82" s="1"/>
  <c r="C43" i="82"/>
  <c r="Q65" i="82"/>
  <c r="Q75" i="82" s="1"/>
  <c r="C58" i="81"/>
  <c r="C67" i="81" s="1"/>
  <c r="C68" i="81" s="1"/>
  <c r="C71" i="81" s="1"/>
  <c r="J16" i="81"/>
  <c r="J25" i="81" s="1"/>
  <c r="Q67" i="81"/>
  <c r="Q69" i="81"/>
  <c r="Q68" i="81" s="1"/>
  <c r="C40" i="81"/>
  <c r="B2" i="81" s="1"/>
  <c r="B3" i="81" s="1"/>
  <c r="C80" i="81"/>
  <c r="C79" i="81" s="1"/>
  <c r="B9" i="70"/>
  <c r="N63" i="40"/>
  <c r="M65" i="40"/>
  <c r="M70" i="39"/>
  <c r="N68" i="39"/>
  <c r="C57" i="69"/>
  <c r="C56" i="69" s="1"/>
  <c r="L51" i="82"/>
  <c r="AO8" i="1"/>
  <c r="AO10" i="1"/>
  <c r="G6" i="12" l="1"/>
  <c r="P12" i="79"/>
  <c r="P14" i="79" s="1"/>
  <c r="Q69" i="15"/>
  <c r="Q68" i="15" s="1"/>
  <c r="C40" i="15"/>
  <c r="C43" i="15" s="1"/>
  <c r="Q67" i="82"/>
  <c r="B3" i="82"/>
  <c r="E6" i="12" s="1"/>
  <c r="C80" i="15"/>
  <c r="C79" i="15" s="1"/>
  <c r="B8" i="70"/>
  <c r="B10" i="70"/>
  <c r="G8" i="12"/>
  <c r="C46" i="81"/>
  <c r="Q47" i="81"/>
  <c r="Q53" i="81" s="1"/>
  <c r="C43" i="81"/>
  <c r="C83" i="81"/>
  <c r="C82" i="81" s="1"/>
  <c r="Q65" i="81"/>
  <c r="Q75" i="81" s="1"/>
  <c r="Q56" i="81"/>
  <c r="Q62" i="81" s="1"/>
  <c r="N65" i="40"/>
  <c r="O63" i="40"/>
  <c r="O65" i="40" s="1"/>
  <c r="H7" i="40" s="1"/>
  <c r="O68" i="39"/>
  <c r="O70" i="39" s="1"/>
  <c r="N70" i="39"/>
  <c r="L51" i="15"/>
  <c r="C4" i="12" l="1"/>
  <c r="Q67" i="15"/>
  <c r="Q65" i="15"/>
  <c r="Q75" i="15" s="1"/>
  <c r="C46" i="15"/>
  <c r="Q47" i="15"/>
  <c r="Q53" i="15" s="1"/>
  <c r="C83" i="15"/>
  <c r="C82" i="15" s="1"/>
  <c r="Q56" i="15"/>
  <c r="Q62" i="15" s="1"/>
  <c r="B2" i="15"/>
  <c r="B3" i="15" s="1"/>
  <c r="B2" i="70"/>
  <c r="B3" i="70" s="1"/>
  <c r="J7" i="40"/>
  <c r="AB7" i="40"/>
  <c r="T42" i="40" s="1"/>
  <c r="G42" i="40" s="1"/>
  <c r="U7" i="40"/>
  <c r="F7" i="40"/>
  <c r="J7" i="39"/>
  <c r="F7" i="39"/>
  <c r="H7" i="39"/>
  <c r="C23" i="12" l="1"/>
  <c r="C30" i="12" s="1"/>
  <c r="C28" i="12" s="1"/>
  <c r="C31" i="12"/>
  <c r="AA7" i="40"/>
  <c r="R42" i="40" s="1"/>
  <c r="S7" i="40"/>
  <c r="G46" i="40"/>
  <c r="H46" i="40" s="1"/>
  <c r="W7" i="40"/>
  <c r="AC7" i="40"/>
  <c r="V42" i="40" s="1"/>
  <c r="I42" i="40" s="1"/>
  <c r="S7" i="39"/>
  <c r="AA7" i="39"/>
  <c r="R47" i="39" s="1"/>
  <c r="AB7" i="39"/>
  <c r="T47" i="39" s="1"/>
  <c r="G47" i="39" s="1"/>
  <c r="U7" i="39"/>
  <c r="AC7" i="39"/>
  <c r="V47" i="39" s="1"/>
  <c r="I47" i="39" s="1"/>
  <c r="W7" i="39"/>
  <c r="C27" i="12" l="1"/>
  <c r="C25" i="12" s="1"/>
  <c r="C32" i="12" s="1"/>
  <c r="B2" i="12" s="1"/>
  <c r="I46" i="40"/>
  <c r="J46" i="40" s="1"/>
  <c r="G47" i="40"/>
  <c r="H47" i="40" s="1"/>
  <c r="R43" i="40"/>
  <c r="E42" i="40"/>
  <c r="I51" i="39"/>
  <c r="J51" i="39" s="1"/>
  <c r="E47" i="39"/>
  <c r="I52" i="39" s="1"/>
  <c r="J52" i="39" s="1"/>
  <c r="R48" i="39"/>
  <c r="G52" i="39"/>
  <c r="H52" i="39" s="1"/>
  <c r="G51" i="39"/>
  <c r="H51" i="39" s="1"/>
  <c r="D19" i="9"/>
  <c r="D102" i="9" l="1"/>
  <c r="D21" i="9"/>
  <c r="B3" i="12"/>
  <c r="C43" i="40"/>
  <c r="C42" i="40"/>
  <c r="E46" i="40"/>
  <c r="F46" i="40" s="1"/>
  <c r="E47" i="40"/>
  <c r="F47" i="40" s="1"/>
  <c r="I47" i="40"/>
  <c r="J47" i="40" s="1"/>
  <c r="C48" i="39"/>
  <c r="C47" i="39"/>
  <c r="E51" i="39"/>
  <c r="F51" i="39" s="1"/>
  <c r="E52" i="39"/>
  <c r="F52" i="39" s="1"/>
  <c r="D20" i="9"/>
  <c r="D103" i="9" l="1"/>
  <c r="B55" i="40"/>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D35" i="9"/>
  <c r="C20" i="9"/>
  <c r="D34" i="9"/>
  <c r="C32" i="9" l="1"/>
  <c r="H118" i="9" s="1"/>
  <c r="M6" i="12" s="1"/>
  <c r="C103" i="9"/>
  <c r="G20" i="9"/>
  <c r="N6" i="12" l="1"/>
  <c r="N7" i="12" s="1"/>
  <c r="O6" i="12"/>
  <c r="O7" i="12" s="1"/>
  <c r="P6" i="12"/>
  <c r="P7" i="12" s="1"/>
  <c r="Q6" i="12"/>
  <c r="Q7" i="12" s="1"/>
  <c r="C35" i="9"/>
  <c r="F118" i="9" s="1"/>
  <c r="F119" i="9" s="1"/>
  <c r="F5" i="52" s="1"/>
  <c r="B53" i="72" s="1"/>
  <c r="H101" i="9"/>
  <c r="D14" i="74"/>
  <c r="H4" i="52"/>
  <c r="H119" i="9"/>
  <c r="H5" i="52" s="1"/>
  <c r="I118" i="9"/>
  <c r="C104" i="9"/>
  <c r="R6" i="12" l="1"/>
  <c r="R7" i="12" s="1"/>
  <c r="F4" i="52"/>
  <c r="B51" i="72" s="1"/>
  <c r="G118" i="9"/>
  <c r="G4" i="52" s="1"/>
  <c r="B52" i="72" s="1"/>
  <c r="C34" i="9"/>
  <c r="D118" i="9" s="1"/>
  <c r="H102" i="9"/>
  <c r="D7" i="53" s="1"/>
  <c r="B21" i="72" s="1"/>
  <c r="I4" i="52"/>
  <c r="C105" i="9"/>
  <c r="M48" i="9"/>
  <c r="D5" i="53"/>
  <c r="D45" i="9"/>
  <c r="H109" i="9"/>
  <c r="F14" i="74"/>
  <c r="B5" i="74"/>
  <c r="E14" i="74"/>
  <c r="E118" i="9" l="1"/>
  <c r="E4" i="52" s="1"/>
  <c r="B48" i="72" s="1"/>
  <c r="D4" i="52"/>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D48" i="9" s="1"/>
  <c r="M52" i="9" s="1"/>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<sst xmlns="http://schemas.openxmlformats.org/spreadsheetml/2006/main" count="13818" uniqueCount="3424">
  <si>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</si>
  <si>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</si>
  <si>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</si>
  <si>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</si>
  <si>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</si>
  <si>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</si>
  <si>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</si>
  <si>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</si>
  <si>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</si>
  <si>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</si>
  <si>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</si>
  <si>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</si>
  <si>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</si>
  <si>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</si>
  <si>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</si>
  <si>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</si>
  <si>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</si>
  <si>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</si>
  <si>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</si>
  <si>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</si>
  <si>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</si>
  <si>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</si>
  <si>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</si>
  <si>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</si>
  <si>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</si>
  <si>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</si>
  <si>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</si>
  <si>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</si>
  <si>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</si>
  <si>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</si>
  <si>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</si>
  <si>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</si>
  <si>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</si>
  <si>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</si>
  <si>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</si>
  <si>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</si>
  <si>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</si>
  <si>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</si>
  <si>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</si>
  <si>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</si>
  <si>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</si>
  <si>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</si>
  <si>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</si>
  <si>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</si>
  <si>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</si>
  <si>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</si>
  <si>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</si>
  <si>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</si>
  <si>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</si>
  <si>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</si>
  <si>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</si>
  <si>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</si>
  <si>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</si>
  <si>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</si>
  <si>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</si>
  <si>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</si>
  <si>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</si>
  <si>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</si>
  <si>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</si>
  <si>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</si>
  <si>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</si>
  <si>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</si>
  <si>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</si>
  <si>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</si>
  <si>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</si>
  <si>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</si>
  <si>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</si>
  <si>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</si>
  <si>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</si>
  <si>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</si>
  <si>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</si>
  <si>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</si>
  <si>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</si>
  <si>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</si>
  <si>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</si>
  <si>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</si>
  <si>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</si>
  <si>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</si>
  <si>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</si>
  <si>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</si>
  <si>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</si>
  <si>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</si>
  <si>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</si>
  <si>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</si>
  <si>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</si>
  <si>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</si>
  <si>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</si>
  <si>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</si>
  <si>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</si>
  <si>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</si>
  <si>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</si>
  <si>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</si>
  <si>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</si>
  <si>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</si>
  <si>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</si>
  <si>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</si>
  <si>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</si>
  <si>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</si>
  <si>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</si>
  <si>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</si>
  <si>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</si>
  <si>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</si>
  <si>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</si>
  <si>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</si>
  <si>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</si>
  <si>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</si>
  <si>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</si>
  <si>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</si>
  <si>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</si>
  <si>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</si>
  <si>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</si>
  <si>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</si>
  <si>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</si>
  <si>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</si>
  <si>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</si>
  <si>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</si>
  <si>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</si>
  <si>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</si>
  <si>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</si>
  <si>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</si>
  <si>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</si>
  <si>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</si>
  <si>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</si>
  <si>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</si>
  <si>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</si>
  <si>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</si>
  <si>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</si>
  <si>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</si>
  <si>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</si>
  <si>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</si>
  <si>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</si>
  <si>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</si>
  <si>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</si>
  <si>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</si>
  <si>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</si>
  <si>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</si>
  <si>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</si>
  <si>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</si>
  <si>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</si>
  <si>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</si>
  <si>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</si>
  <si>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</si>
  <si>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</si>
  <si>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</si>
  <si>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</si>
  <si>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</si>
  <si>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</si>
  <si>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</si>
  <si>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</si>
  <si>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</si>
  <si>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</si>
  <si>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</si>
  <si>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</si>
  <si>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</si>
  <si>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</si>
  <si>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</si>
  <si>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</si>
  <si>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</si>
  <si>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</si>
  <si>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</si>
  <si>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</si>
  <si>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</si>
  <si>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</si>
  <si>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</si>
  <si>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</si>
  <si>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</si>
  <si>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</si>
  <si>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</si>
  <si>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</si>
  <si>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</si>
  <si>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</si>
  <si>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</si>
  <si>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</si>
  <si>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</si>
  <si>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</si>
  <si>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</si>
  <si>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</si>
  <si>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</si>
  <si>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</si>
  <si>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</si>
  <si>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</si>
  <si>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</si>
  <si>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</si>
  <si>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</si>
  <si>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</si>
  <si>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</si>
  <si>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</si>
  <si>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</si>
  <si>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</si>
  <si>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</si>
  <si>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</si>
  <si>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</si>
  <si>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</si>
  <si>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</si>
  <si>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</si>
  <si>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</si>
  <si>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</si>
  <si>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</si>
  <si>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</si>
  <si>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</si>
  <si>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</si>
  <si>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</si>
  <si>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</si>
  <si>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</si>
  <si>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</si>
  <si>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</si>
  <si>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</si>
  <si>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</si>
  <si>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</si>
  <si>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</si>
  <si>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</si>
  <si>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</si>
  <si>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</si>
  <si>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</si>
  <si>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</si>
  <si>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</si>
  <si>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</si>
  <si>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</si>
  <si>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</si>
  <si>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</si>
  <si>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</si>
  <si>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</si>
  <si>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</si>
  <si>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</si>
  <si>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</si>
  <si>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</si>
  <si>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</si>
  <si>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</si>
  <si>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</si>
  <si>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</si>
  <si>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</si>
  <si>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</si>
  <si>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</si>
  <si>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</si>
  <si>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</si>
  <si>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</si>
  <si>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</si>
  <si>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</si>
  <si>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</si>
  <si>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</si>
  <si>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</si>
  <si>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</si>
  <si>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</si>
  <si>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</si>
  <si>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</si>
  <si>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</si>
  <si>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</si>
  <si>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</si>
  <si>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</si>
  <si>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</si>
  <si>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</si>
  <si>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</si>
  <si>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</si>
  <si>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</si>
  <si>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</si>
  <si>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</si>
  <si>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</si>
  <si>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</si>
  <si>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</si>
  <si>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</si>
  <si>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</si>
  <si>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</si>
  <si>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</si>
  <si>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</si>
  <si>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</si>
  <si>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</si>
  <si>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</si>
  <si>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</si>
  <si>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</si>
  <si>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</si>
  <si>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</si>
  <si>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</si>
  <si>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</si>
  <si>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</si>
  <si>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</si>
  <si>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</si>
  <si>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</si>
  <si>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</si>
  <si>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</si>
  <si>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</si>
  <si>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</si>
  <si>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</si>
  <si>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</si>
  <si>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</si>
  <si>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</si>
  <si>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</si>
  <si>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</si>
  <si>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</si>
  <si>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</si>
  <si>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</si>
  <si>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</si>
  <si>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</si>
  <si>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</si>
  <si>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</si>
  <si>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</si>
  <si>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</si>
  <si>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</si>
  <si>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</si>
  <si>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</si>
  <si>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</si>
  <si>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</si>
  <si>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</si>
  <si>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</si>
  <si>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</si>
  <si>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</si>
  <si>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</si>
  <si>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</si>
  <si>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</si>
  <si>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</si>
  <si>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</si>
  <si>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</si>
  <si>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</si>
  <si>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</si>
  <si>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</si>
  <si>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</si>
  <si>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</si>
  <si>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</si>
  <si>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</si>
  <si>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</si>
  <si>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</si>
  <si>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</si>
  <si>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</si>
  <si>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</si>
  <si>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</si>
  <si>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</si>
  <si>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</si>
  <si>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</si>
  <si>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</si>
  <si>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</si>
  <si>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</si>
  <si>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</si>
  <si>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</si>
  <si>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</si>
  <si>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</si>
  <si>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</si>
  <si>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</si>
  <si>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</si>
  <si>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</si>
  <si>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</si>
  <si>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</si>
  <si>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</si>
  <si>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</si>
  <si>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</si>
  <si>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</si>
  <si>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</si>
  <si>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</si>
  <si>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</si>
  <si>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</si>
  <si>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</si>
  <si>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</si>
  <si>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</si>
  <si>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</si>
  <si>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</si>
  <si>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</si>
  <si>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</si>
  <si>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</si>
  <si>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</si>
  <si>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</si>
  <si>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</si>
  <si>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</si>
  <si>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</si>
  <si>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</si>
  <si>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</si>
  <si>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</si>
  <si>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</si>
  <si>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</si>
  <si>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</si>
  <si>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</si>
  <si>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</si>
  <si>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</si>
  <si>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</si>
  <si>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</si>
  <si>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</si>
  <si>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</si>
  <si>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</si>
  <si>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</si>
  <si>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</si>
  <si>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</si>
  <si>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</si>
  <si>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</si>
  <si>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</si>
  <si>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</si>
  <si>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</si>
  <si>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</si>
  <si>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</si>
  <si>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</si>
  <si>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</si>
  <si>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</si>
  <si>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</si>
  <si>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</si>
  <si>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</si>
  <si>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</si>
  <si>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</si>
  <si>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</si>
  <si>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</si>
  <si>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</si>
  <si>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</si>
  <si>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</si>
  <si>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</si>
  <si>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</si>
  <si>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</si>
  <si>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</si>
  <si>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</si>
  <si>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</si>
  <si>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</si>
  <si>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</si>
  <si>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</si>
  <si>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</si>
  <si>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</si>
  <si>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</si>
  <si>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</si>
  <si>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</si>
  <si>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</si>
  <si>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</si>
  <si>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</si>
  <si>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</si>
  <si>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</si>
  <si>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</si>
  <si>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</si>
  <si>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</si>
  <si>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</si>
  <si>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</si>
  <si>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</si>
  <si>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</si>
  <si>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</si>
  <si>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</si>
  <si>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</si>
  <si>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</si>
  <si>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</si>
  <si>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</si>
  <si>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</si>
  <si>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</si>
  <si>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</si>
  <si>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</si>
  <si>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</si>
  <si>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</si>
  <si>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</si>
  <si>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</si>
  <si>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</si>
  <si>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</si>
  <si>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</si>
  <si>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</si>
  <si>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</si>
  <si>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</si>
  <si>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</si>
  <si>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</si>
  <si>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</si>
  <si>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</si>
  <si>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</si>
  <si>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</si>
  <si>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</si>
  <si>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</si>
  <si>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</si>
  <si>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</si>
  <si>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</si>
  <si>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</si>
  <si>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</si>
  <si>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</si>
  <si>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</si>
  <si>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</si>
  <si>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</si>
  <si>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</si>
  <si>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</si>
  <si>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</si>
  <si>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</si>
  <si>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</si>
  <si>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</si>
  <si>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</si>
  <si>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</si>
  <si>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</si>
  <si>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</si>
  <si>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</si>
  <si>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</si>
  <si>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</si>
  <si>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</si>
  <si>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</si>
  <si>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</si>
  <si>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</si>
  <si>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</si>
  <si>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</si>
  <si>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</si>
  <si>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</si>
  <si>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</si>
  <si>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</si>
  <si>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</si>
  <si>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</si>
  <si>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</si>
  <si>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</si>
  <si>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</si>
  <si>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</si>
  <si>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</si>
  <si>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</si>
  <si>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</si>
  <si>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</si>
  <si>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</si>
  <si>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</si>
  <si>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</si>
  <si>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</si>
  <si>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</si>
  <si>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</si>
  <si>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</si>
  <si>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</si>
  <si>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</si>
  <si>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</si>
  <si>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</si>
  <si>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</si>
  <si>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</si>
  <si>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</si>
  <si>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</si>
  <si>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</si>
  <si>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</si>
  <si>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</si>
  <si>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</si>
  <si>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</si>
  <si>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</si>
  <si>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</si>
  <si>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</si>
  <si>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</si>
  <si>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</si>
  <si>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</si>
  <si>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</si>
  <si>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</si>
  <si>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</si>
  <si>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</si>
  <si>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</si>
  <si>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</si>
  <si>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</si>
  <si>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</si>
  <si>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</si>
  <si>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</si>
  <si>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</si>
  <si>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</si>
  <si>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</si>
  <si>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</si>
  <si>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</si>
  <si>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</si>
  <si>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</si>
  <si>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</si>
  <si>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</si>
  <si>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</si>
  <si>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</si>
  <si>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</si>
  <si>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</si>
  <si>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</si>
  <si>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</si>
  <si>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</si>
  <si>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</si>
  <si>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</si>
  <si>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</si>
  <si>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</si>
  <si>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</si>
  <si>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</si>
  <si>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</si>
  <si>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</si>
  <si>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</si>
  <si>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</si>
  <si>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</si>
  <si>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</si>
  <si>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</si>
  <si>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</si>
  <si>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</si>
  <si>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</si>
  <si>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</si>
  <si>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</si>
  <si>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</si>
  <si>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</si>
  <si>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</si>
  <si>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</si>
  <si>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</si>
  <si>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</si>
  <si>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</si>
  <si>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</si>
  <si>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</si>
  <si>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</si>
  <si>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</si>
  <si>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</si>
  <si>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</si>
  <si>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</si>
  <si>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</si>
  <si>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</si>
  <si>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</si>
  <si>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</si>
  <si>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</si>
  <si>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</si>
  <si>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</si>
  <si>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</si>
  <si>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</si>
  <si>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</si>
  <si>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</si>
  <si>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</si>
  <si>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</si>
  <si>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</si>
  <si>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</si>
  <si>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</si>
  <si>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</si>
  <si>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</si>
  <si>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</si>
  <si>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</si>
  <si>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</si>
  <si>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</si>
  <si>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</si>
  <si>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</si>
  <si>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</si>
  <si>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</si>
  <si>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</si>
  <si>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</si>
  <si>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</si>
  <si>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</si>
  <si>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</si>
  <si>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</si>
  <si>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</si>
  <si>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</si>
  <si>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</si>
  <si>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</si>
  <si>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</si>
  <si>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</si>
  <si>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</si>
  <si>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</si>
  <si>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</si>
  <si>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</si>
  <si>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</si>
  <si>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</si>
  <si>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</si>
  <si>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</si>
  <si>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</si>
  <si>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</si>
  <si>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</si>
  <si>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</si>
  <si>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</si>
  <si>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</si>
  <si>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</si>
  <si>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</si>
  <si>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</si>
  <si>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</si>
  <si>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</si>
  <si>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</si>
  <si>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</si>
  <si>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</si>
  <si>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</si>
  <si>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</si>
  <si>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</si>
  <si>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</si>
  <si>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</si>
  <si>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</si>
  <si>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</si>
  <si>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</si>
  <si>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</si>
  <si>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</si>
  <si>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</si>
  <si>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</si>
  <si>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</si>
  <si>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</si>
  <si>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</si>
  <si>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</si>
  <si>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</si>
  <si>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</si>
  <si>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</si>
  <si>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</si>
  <si>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</si>
  <si>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</si>
  <si>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</si>
  <si>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</si>
  <si>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</si>
  <si>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</si>
  <si>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</si>
  <si>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</si>
  <si>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</si>
  <si>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</si>
  <si>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</si>
  <si>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</si>
  <si>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</si>
  <si>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</si>
  <si>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</si>
  <si>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</si>
  <si>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</si>
  <si>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</si>
  <si>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</si>
  <si>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</si>
  <si>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</si>
  <si>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</si>
  <si>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</si>
  <si>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</si>
  <si>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</si>
  <si>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</si>
  <si>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</si>
  <si>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</si>
  <si>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</si>
  <si>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</si>
  <si>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</si>
  <si>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</si>
  <si>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</si>
  <si>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</si>
  <si>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</si>
  <si>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</si>
  <si>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</si>
  <si>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</si>
  <si>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</si>
  <si>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</si>
  <si>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</si>
  <si>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</si>
  <si>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</si>
  <si>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</si>
  <si>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</si>
  <si>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</si>
  <si>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</si>
  <si>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</si>
  <si>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</si>
  <si>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</si>
  <si>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</si>
  <si>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</si>
  <si>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</si>
  <si>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</si>
  <si>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</si>
  <si>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</si>
  <si>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</si>
  <si>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</si>
  <si>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</si>
  <si>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</si>
  <si>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</si>
  <si>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</si>
  <si>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</si>
  <si>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</si>
  <si>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</si>
  <si>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</si>
  <si>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</si>
  <si>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</si>
  <si>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</si>
  <si>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</si>
  <si>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</si>
  <si>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</si>
  <si>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</si>
  <si>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</si>
  <si>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</si>
  <si>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</si>
  <si>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</si>
  <si>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</si>
  <si>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</si>
  <si>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</si>
  <si>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</si>
  <si>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</si>
  <si>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</si>
  <si>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</si>
  <si>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</si>
  <si>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</si>
  <si>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</si>
  <si>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</si>
  <si>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</si>
  <si>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</si>
  <si>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</si>
  <si>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</si>
  <si>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</si>
  <si>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</si>
  <si>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</si>
  <si>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</si>
  <si>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</si>
  <si>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</si>
  <si>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</si>
  <si>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</si>
  <si>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</si>
  <si>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</si>
  <si>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</si>
  <si>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</si>
  <si>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</si>
  <si>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</si>
  <si>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</si>
  <si>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</si>
  <si>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</si>
  <si>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</si>
  <si>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</si>
  <si>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</si>
  <si>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</si>
  <si>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</si>
  <si>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</si>
  <si>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</si>
  <si>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</si>
  <si>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</si>
  <si>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</si>
  <si>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</si>
  <si>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</si>
  <si>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</si>
  <si>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</si>
  <si>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</si>
  <si>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</si>
  <si>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</si>
  <si>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</si>
  <si>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</si>
  <si>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</si>
  <si>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</si>
  <si>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</si>
  <si>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</si>
  <si>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</si>
  <si>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</si>
  <si>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</si>
  <si>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</si>
  <si>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</si>
  <si>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</si>
  <si>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</si>
  <si>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</si>
  <si>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</si>
  <si>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</si>
  <si>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</si>
  <si>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</si>
  <si>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</si>
  <si>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</si>
  <si>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</si>
  <si>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</si>
  <si>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</si>
  <si>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</si>
  <si>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</si>
  <si>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</si>
  <si>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</si>
  <si>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</si>
  <si>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</si>
  <si>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</si>
  <si>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</si>
  <si>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</si>
  <si>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</si>
  <si>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</si>
  <si>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</si>
  <si>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</si>
  <si>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</si>
  <si>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</si>
  <si>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</si>
  <si>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</si>
  <si>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</si>
  <si>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</si>
  <si>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</si>
  <si>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</si>
  <si>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</si>
  <si>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</si>
  <si>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</si>
  <si>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</si>
  <si>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</si>
  <si>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</si>
  <si>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</si>
  <si>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</si>
  <si>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</si>
  <si>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</si>
  <si>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</si>
  <si>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</si>
  <si>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</si>
  <si>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</si>
  <si>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</si>
  <si>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</si>
  <si>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</si>
  <si>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</si>
  <si>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</si>
  <si>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</si>
  <si>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</si>
  <si>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</si>
  <si>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</si>
  <si>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</si>
  <si>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</si>
  <si>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</si>
  <si>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</si>
  <si>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</si>
  <si>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</si>
  <si>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</si>
  <si>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</si>
  <si>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</si>
  <si>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</si>
  <si>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</si>
  <si>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</si>
  <si>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</si>
  <si>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</si>
  <si>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</si>
  <si>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</si>
  <si>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</si>
  <si>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</si>
  <si>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</si>
  <si>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</si>
  <si>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</si>
  <si>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</si>
  <si>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</si>
  <si>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</si>
  <si>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</si>
  <si>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</si>
  <si>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</si>
  <si>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</si>
  <si>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</si>
  <si>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</si>
  <si>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</si>
  <si>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</si>
  <si>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</si>
  <si>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</si>
  <si>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</si>
  <si>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</si>
  <si>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</si>
  <si>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</si>
  <si>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</si>
  <si>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</si>
  <si>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</si>
  <si>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</si>
  <si>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</si>
  <si>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</si>
  <si>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</si>
  <si>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</si>
  <si>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</si>
  <si>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</si>
  <si>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</si>
  <si>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</si>
  <si>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</si>
  <si>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</si>
  <si>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</si>
  <si>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</si>
  <si>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</si>
  <si>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</si>
  <si>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</si>
  <si>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</si>
  <si>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</si>
  <si>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</si>
  <si>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</si>
  <si>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</si>
  <si>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</si>
  <si>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</si>
  <si>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</si>
  <si>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</si>
  <si>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</si>
  <si>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</si>
  <si>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</si>
  <si>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</si>
  <si>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</si>
  <si>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</si>
  <si>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</si>
  <si>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</si>
  <si>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</si>
  <si>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</si>
  <si>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</si>
  <si>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</si>
  <si>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</si>
  <si>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</si>
  <si>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</si>
  <si>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</si>
  <si>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</si>
  <si>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</si>
  <si>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</si>
  <si>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</si>
  <si>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</si>
  <si>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</si>
  <si>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</si>
  <si>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</si>
  <si>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</si>
  <si>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</si>
  <si>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</si>
  <si>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</si>
  <si>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</si>
  <si>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</si>
  <si>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</si>
  <si>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</si>
  <si>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</si>
  <si>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</si>
  <si>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</si>
  <si>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</si>
  <si>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</si>
  <si>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</si>
  <si>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</si>
  <si>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</si>
  <si>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</si>
  <si>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</si>
  <si>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</si>
  <si>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</si>
  <si>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</si>
  <si>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</si>
  <si>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</si>
  <si>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</si>
  <si>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</si>
  <si>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</si>
  <si>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</si>
  <si>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</si>
  <si>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</si>
  <si>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</si>
  <si>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</si>
  <si>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</si>
  <si>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</si>
  <si>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</si>
  <si>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</si>
  <si>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</si>
  <si>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</si>
  <si>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</si>
  <si>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</si>
  <si>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</si>
  <si>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</si>
  <si>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</si>
  <si>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</si>
  <si>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</si>
  <si>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</si>
  <si>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</si>
  <si>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</si>
  <si>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</si>
  <si>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</si>
  <si>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</si>
  <si>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</si>
  <si>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</si>
  <si>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</si>
  <si>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</si>
  <si>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</si>
  <si>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</si>
  <si>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</si>
  <si>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</si>
  <si>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</si>
  <si>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</si>
  <si>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</si>
  <si>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</si>
  <si>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</si>
  <si>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</si>
  <si>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</si>
  <si>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</si>
  <si>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</si>
  <si>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</si>
  <si>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</si>
  <si>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</si>
  <si>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</si>
  <si>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</si>
  <si>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</si>
  <si>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</si>
  <si>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</si>
  <si>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</si>
  <si>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</si>
  <si>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</si>
  <si>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</si>
  <si>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</si>
  <si>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</si>
  <si>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</si>
  <si>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</si>
  <si>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</si>
  <si>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</si>
  <si>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</si>
  <si>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</si>
  <si>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</si>
  <si>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</si>
  <si>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</si>
  <si>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</si>
  <si>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</si>
  <si>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</si>
  <si>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</si>
  <si>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</si>
  <si>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</si>
  <si>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</si>
  <si>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</si>
  <si>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</si>
  <si>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</si>
  <si>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</si>
  <si>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</si>
  <si>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</si>
  <si>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</si>
  <si>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</si>
  <si>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</si>
  <si>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</si>
  <si>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</si>
  <si>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</si>
  <si>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</si>
  <si>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</si>
  <si>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</si>
  <si>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</si>
  <si>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</si>
  <si>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</si>
  <si>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</si>
  <si>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</si>
  <si>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</si>
  <si>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</si>
  <si>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</si>
  <si>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</si>
  <si>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</si>
  <si>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</si>
  <si>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</si>
  <si>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</si>
  <si>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</si>
  <si>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</si>
  <si>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</si>
  <si>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</si>
  <si>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</si>
  <si>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</si>
  <si>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</si>
  <si>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</si>
  <si>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</si>
  <si>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</si>
  <si>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</si>
  <si>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</si>
  <si>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</si>
  <si>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</si>
  <si>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</si>
  <si>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</si>
  <si>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</si>
  <si>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</si>
  <si>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</si>
  <si>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</si>
  <si>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</si>
  <si>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</si>
  <si>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</si>
  <si>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</si>
  <si>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</si>
  <si>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</si>
  <si>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</si>
  <si>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</si>
  <si>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</si>
  <si>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</si>
  <si>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</si>
  <si>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</si>
  <si>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</si>
  <si>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</si>
  <si>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</si>
  <si>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</si>
  <si>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</si>
  <si>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</si>
  <si>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</si>
  <si>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</si>
  <si>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</si>
  <si>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</si>
  <si>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</si>
  <si>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</si>
  <si>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</si>
  <si>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</si>
  <si>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</si>
  <si>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</si>
  <si>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</si>
  <si>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</si>
  <si>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</si>
  <si>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</si>
  <si>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</si>
  <si>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</si>
  <si>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</si>
  <si>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</si>
  <si>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</si>
  <si>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</si>
  <si>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</si>
  <si>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</si>
  <si>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</si>
  <si>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</si>
  <si>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</si>
  <si>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</si>
  <si>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</si>
  <si>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</si>
  <si>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</si>
  <si>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</si>
  <si>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</si>
  <si>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</si>
  <si>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</si>
  <si>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</si>
  <si>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</si>
  <si>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</si>
  <si>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</si>
  <si>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</si>
  <si>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</si>
  <si>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</si>
  <si>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</si>
  <si>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</si>
  <si>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</si>
  <si>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</si>
  <si>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</si>
  <si>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</si>
  <si>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</si>
  <si>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</si>
  <si>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</si>
  <si>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</si>
  <si>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</si>
  <si>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</si>
  <si>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</si>
  <si>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</si>
  <si>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</si>
  <si>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</si>
  <si>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</si>
  <si>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</si>
  <si>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</si>
  <si>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</si>
  <si>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</si>
  <si>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</si>
  <si>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</si>
  <si>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</si>
  <si>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</si>
  <si>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</si>
  <si>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</si>
  <si>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</si>
  <si>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</si>
  <si>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</si>
  <si>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</si>
  <si>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</si>
  <si>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</si>
  <si>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</si>
  <si>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</si>
  <si>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</si>
  <si>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</si>
  <si>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</si>
  <si>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</si>
  <si>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</si>
  <si>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</si>
  <si>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</si>
  <si>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</si>
  <si>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</si>
  <si>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</si>
  <si>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</si>
  <si>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</si>
  <si>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</si>
  <si>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</si>
  <si>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</si>
  <si>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</si>
  <si>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</si>
  <si>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</si>
  <si>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</si>
  <si>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</si>
  <si>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</si>
  <si>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</si>
  <si>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</si>
  <si>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</si>
  <si>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</si>
  <si>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</si>
  <si>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</si>
  <si>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</si>
  <si>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</si>
  <si>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</si>
  <si>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</si>
  <si>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</si>
  <si>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</si>
  <si>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</si>
  <si>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</si>
  <si>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</si>
  <si>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</si>
  <si>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</si>
  <si>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</si>
  <si>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</si>
  <si>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</si>
  <si>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</si>
  <si>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</si>
  <si>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</si>
  <si>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</si>
  <si>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</si>
  <si>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</si>
  <si>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</si>
  <si>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</si>
  <si>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</si>
  <si>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</si>
  <si>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</si>
  <si>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</si>
  <si>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</si>
  <si>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</si>
  <si>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</si>
  <si>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</si>
  <si>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</si>
  <si>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</si>
  <si>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</si>
  <si>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</si>
  <si>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</si>
  <si>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</si>
  <si>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</si>
  <si>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</si>
  <si>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</si>
  <si>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</si>
  <si>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</si>
  <si>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</si>
  <si>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</si>
  <si>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</si>
  <si>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</si>
  <si>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</si>
  <si>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</si>
  <si>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</si>
  <si>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</si>
  <si>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</si>
  <si>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</si>
  <si>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</si>
  <si>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</si>
  <si>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</si>
  <si>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</si>
  <si>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</si>
  <si>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</si>
  <si>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</si>
  <si>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</si>
  <si>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</si>
  <si>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</si>
  <si>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</si>
  <si>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</si>
  <si>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</si>
  <si>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</si>
  <si>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</si>
  <si>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</si>
  <si>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</si>
  <si>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</si>
  <si>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</si>
  <si>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</si>
  <si>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</si>
  <si>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</si>
  <si>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</si>
  <si>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</si>
  <si>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</si>
  <si>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</si>
  <si>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</si>
  <si>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</si>
  <si>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</si>
  <si>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</si>
  <si>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</si>
  <si>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</si>
  <si>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</si>
  <si>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</si>
  <si>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</si>
  <si>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</si>
  <si>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</si>
  <si>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</si>
  <si>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</si>
  <si>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</si>
  <si>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</si>
  <si>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</si>
  <si>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</si>
  <si>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</si>
  <si>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</si>
  <si>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</si>
  <si>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</si>
  <si>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</si>
  <si>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</si>
  <si>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</si>
  <si>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</si>
  <si>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</si>
  <si>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</si>
  <si>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</si>
  <si>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</si>
  <si>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</si>
  <si>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</si>
  <si>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</si>
  <si>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</si>
  <si>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</si>
  <si>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</si>
  <si>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</si>
  <si>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</si>
  <si>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</si>
  <si>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</si>
  <si>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</si>
  <si>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</si>
  <si>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</si>
  <si>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</si>
  <si>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</si>
  <si>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</si>
  <si>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</si>
  <si>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</si>
  <si>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</si>
  <si>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</si>
  <si>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</si>
  <si>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</si>
  <si>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</si>
  <si>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</si>
  <si>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</si>
  <si>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</si>
  <si>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</si>
  <si>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</si>
  <si>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</si>
  <si>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</si>
  <si>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</si>
  <si>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</si>
  <si>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</si>
  <si>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</si>
  <si>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</si>
  <si>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</si>
  <si>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</si>
  <si>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</si>
  <si>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</si>
  <si>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</si>
  <si>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</si>
  <si>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</si>
  <si>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</si>
  <si>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</si>
  <si>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</si>
  <si>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</si>
  <si>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</si>
  <si>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</si>
  <si>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</si>
  <si>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</si>
  <si>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</si>
  <si>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</si>
  <si>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</si>
  <si>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</si>
  <si>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</si>
  <si>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</si>
  <si>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</si>
  <si>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</si>
  <si>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</si>
  <si>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</si>
  <si>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</si>
  <si>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</si>
  <si>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</si>
  <si>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</si>
  <si>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</si>
  <si>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</si>
  <si>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</si>
  <si>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</si>
  <si>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</si>
  <si>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</si>
  <si>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</si>
  <si>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</si>
  <si>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</si>
  <si>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</si>
  <si>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</si>
  <si>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</si>
  <si>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</si>
  <si>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</si>
  <si>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</si>
  <si>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</si>
  <si>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</si>
  <si>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</si>
  <si>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</si>
  <si>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</si>
  <si>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</si>
  <si>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</si>
  <si>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</si>
  <si>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</si>
  <si>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</si>
  <si>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</si>
  <si>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</si>
  <si>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</si>
  <si>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</si>
  <si>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</si>
  <si>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</si>
  <si>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</si>
  <si>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</si>
  <si>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</si>
  <si>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</si>
  <si>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</si>
  <si>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</si>
  <si>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</si>
  <si>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</si>
  <si>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</si>
  <si>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</si>
  <si>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</si>
  <si>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</si>
  <si>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</si>
  <si>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</si>
  <si>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</si>
  <si>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</si>
  <si>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</si>
  <si>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</si>
  <si>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</si>
  <si>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</si>
  <si>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</si>
  <si>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</si>
  <si>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</si>
  <si>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</si>
  <si>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</si>
  <si>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</si>
  <si>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</si>
  <si>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</si>
  <si>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</si>
  <si>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</si>
  <si>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</si>
  <si>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</si>
  <si>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</si>
  <si>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</si>
  <si>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</si>
  <si>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</si>
  <si>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</si>
  <si>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</si>
  <si>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</si>
  <si>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</si>
  <si>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</si>
  <si>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</si>
  <si>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</si>
  <si>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</si>
  <si>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</si>
  <si>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</si>
  <si>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</si>
  <si>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</si>
  <si>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</si>
  <si>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</si>
  <si>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</si>
  <si>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</si>
  <si>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</si>
  <si>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</si>
  <si>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</si>
  <si>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</si>
  <si>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</si>
  <si>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</si>
  <si>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</si>
  <si>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</si>
  <si>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</si>
  <si>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</si>
  <si>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</si>
  <si>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</si>
  <si>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</si>
  <si>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</si>
  <si>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</si>
  <si>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</si>
  <si>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</si>
  <si>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</si>
  <si>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</si>
  <si>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</si>
  <si>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</si>
  <si>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</si>
  <si>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</si>
  <si>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</si>
  <si>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</si>
  <si>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</si>
  <si>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</si>
  <si>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</si>
  <si>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</si>
  <si>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</si>
  <si>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</si>
  <si>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</si>
  <si>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</si>
  <si>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</si>
  <si>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</si>
  <si>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</si>
  <si>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</si>
  <si>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</si>
  <si>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</si>
  <si>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</si>
  <si>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</si>
  <si>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</si>
  <si>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</si>
  <si>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</si>
  <si>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</si>
  <si>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</si>
  <si>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</si>
  <si>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</si>
  <si>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</si>
  <si>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</si>
  <si>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</si>
  <si>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</si>
  <si>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</si>
  <si>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</si>
  <si>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</si>
  <si>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</si>
  <si>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</si>
  <si>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</si>
  <si>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</si>
  <si>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</si>
  <si>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</si>
  <si>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</si>
  <si>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</si>
  <si>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</si>
  <si>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</si>
  <si>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</si>
  <si>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</si>
  <si>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</si>
  <si>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</si>
  <si>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</si>
  <si>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</si>
  <si>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</si>
  <si>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</si>
  <si>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</si>
  <si>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</si>
  <si>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</si>
  <si>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</si>
  <si>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</si>
  <si>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</si>
  <si>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</si>
  <si>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</si>
  <si>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</si>
  <si>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</si>
  <si>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</si>
  <si>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</si>
  <si>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</si>
  <si>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</si>
  <si>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</si>
  <si>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</si>
  <si>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</si>
  <si>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</si>
  <si>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</si>
  <si>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</si>
  <si>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</si>
  <si>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</si>
  <si>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</si>
  <si>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</si>
  <si>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</si>
  <si>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</si>
  <si>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</si>
  <si>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</si>
  <si>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</si>
  <si>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</si>
  <si>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</si>
  <si>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</si>
  <si>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</si>
  <si>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</si>
  <si>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</si>
  <si>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</si>
  <si>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</si>
  <si>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</si>
  <si>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</si>
  <si>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</si>
  <si>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</si>
  <si>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</si>
  <si>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</si>
  <si>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</si>
  <si>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</si>
  <si>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</si>
  <si>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</si>
  <si>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</si>
  <si>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</si>
  <si>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</si>
  <si>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</si>
  <si>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</si>
  <si>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</si>
  <si>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</si>
  <si>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</si>
  <si>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</si>
  <si>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</si>
  <si>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</si>
  <si>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</si>
  <si>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</si>
  <si>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</si>
  <si>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</si>
  <si>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</si>
  <si>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</si>
  <si>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</si>
  <si>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</si>
  <si>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</si>
  <si>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</si>
  <si>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</si>
  <si>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</si>
  <si>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</si>
  <si>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</si>
  <si>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</si>
  <si>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</si>
  <si>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</si>
  <si>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</si>
  <si>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</si>
  <si>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</si>
  <si>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</si>
  <si>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</si>
  <si>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</si>
  <si>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</si>
  <si>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</si>
  <si>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</si>
  <si>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</si>
  <si>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</si>
  <si>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</si>
  <si>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</si>
  <si>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</si>
  <si>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</si>
  <si>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</si>
  <si>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</si>
  <si>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</si>
  <si>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</si>
  <si>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</si>
  <si>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</si>
  <si>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</si>
  <si>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</si>
  <si>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</si>
  <si>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</si>
  <si>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</si>
  <si>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</si>
  <si>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</si>
  <si>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</si>
  <si>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</si>
  <si>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</si>
  <si>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</si>
  <si>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</si>
  <si>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</si>
  <si>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</si>
  <si>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</si>
  <si>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</si>
  <si>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</si>
  <si>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</si>
  <si>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</si>
  <si>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</si>
  <si>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</si>
  <si>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</si>
  <si>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</si>
  <si>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</si>
  <si>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</si>
  <si>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</si>
  <si>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</si>
  <si>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</si>
  <si>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</si>
  <si>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</si>
  <si>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</si>
  <si>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</si>
  <si>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</si>
  <si>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</si>
  <si>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</si>
  <si>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</si>
  <si>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</si>
  <si>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</si>
  <si>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</si>
  <si>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</si>
  <si>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</si>
  <si>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</si>
  <si>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</si>
  <si>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</si>
  <si>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</si>
  <si>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</si>
  <si>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</si>
  <si>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</si>
  <si>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</si>
  <si>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</si>
  <si>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</si>
  <si>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</si>
  <si>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</si>
  <si>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</si>
  <si>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</si>
  <si>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</si>
  <si>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</si>
  <si>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</si>
  <si>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</si>
  <si>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</si>
  <si>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</si>
  <si>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</si>
  <si>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</si>
  <si>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</si>
  <si>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</si>
  <si>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</si>
  <si>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</si>
  <si>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</si>
  <si>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</si>
  <si>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</si>
  <si>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</si>
  <si>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</si>
  <si>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</si>
  <si>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</si>
  <si>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</si>
  <si>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</si>
  <si>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</si>
  <si>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</si>
  <si>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</si>
  <si>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</si>
  <si>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</si>
  <si>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</si>
  <si>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</si>
  <si>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</si>
  <si>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</si>
  <si>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</si>
  <si>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</si>
  <si>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</si>
  <si>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</si>
  <si>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</si>
  <si>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</si>
  <si>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</si>
  <si>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</si>
  <si>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</si>
  <si>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</si>
  <si>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</si>
  <si>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</si>
  <si>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</si>
  <si>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</si>
  <si>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</si>
  <si>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</si>
  <si>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</si>
  <si>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</si>
  <si>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</si>
  <si>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</si>
  <si>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</si>
  <si>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</si>
  <si>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</si>
  <si>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</si>
  <si>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</si>
  <si>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</si>
  <si>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</si>
  <si>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</si>
  <si>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</si>
  <si>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</si>
  <si>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</si>
  <si>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</si>
  <si>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</si>
  <si>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</si>
  <si>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</si>
  <si>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</si>
  <si>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</si>
  <si>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</si>
  <si>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</si>
  <si>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</si>
  <si>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</si>
  <si>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</si>
  <si>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</si>
  <si>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</si>
  <si>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</si>
  <si>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</si>
  <si>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</si>
  <si>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</si>
  <si>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</si>
  <si>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</si>
  <si>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</si>
  <si>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</si>
  <si>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</si>
  <si>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</si>
  <si>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</si>
  <si>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</si>
  <si>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</si>
  <si>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</si>
  <si>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</si>
  <si>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</si>
  <si>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</si>
  <si>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</si>
  <si>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</si>
  <si>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</si>
  <si>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</si>
  <si>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</si>
  <si>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</si>
  <si>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</si>
  <si>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</si>
  <si>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</si>
  <si>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</si>
  <si>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</si>
  <si>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</si>
  <si>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</si>
  <si>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</si>
  <si>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</si>
  <si>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</si>
  <si>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</si>
  <si>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</si>
  <si>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</si>
  <si>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</si>
  <si>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</si>
  <si>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</si>
  <si>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</si>
  <si>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</si>
  <si>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</si>
  <si>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</si>
  <si>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</si>
  <si>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</si>
  <si>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</si>
  <si>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</si>
  <si>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</si>
  <si>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</si>
  <si>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</si>
  <si>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</si>
  <si>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</si>
  <si>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</si>
  <si>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</si>
  <si>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</si>
  <si>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</si>
  <si>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</si>
  <si>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</si>
  <si>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</si>
  <si>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</si>
  <si>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</si>
  <si>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</si>
  <si>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</si>
  <si>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</si>
  <si>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</si>
  <si>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</si>
  <si>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</si>
  <si>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</si>
  <si>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</si>
  <si>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</si>
  <si>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</si>
  <si>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</si>
  <si>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</si>
  <si>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</si>
  <si>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</si>
  <si>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</si>
  <si>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</si>
  <si>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</si>
  <si>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</si>
  <si>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</si>
  <si>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</si>
  <si>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</si>
  <si>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</si>
  <si>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</si>
  <si>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</si>
  <si>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</si>
  <si>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</si>
  <si>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</si>
  <si>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</si>
  <si>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</si>
  <si>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</si>
  <si>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</si>
  <si>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</si>
  <si>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</si>
  <si>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</si>
  <si>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</si>
  <si>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</si>
  <si>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</si>
  <si>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</si>
  <si>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</si>
  <si>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</si>
  <si>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</si>
  <si>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</si>
  <si>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</si>
  <si>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</si>
  <si>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</si>
  <si>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</si>
  <si>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</si>
  <si>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</si>
  <si>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</si>
  <si>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</si>
  <si>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</si>
  <si>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</si>
  <si>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</si>
  <si>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</si>
  <si>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</si>
  <si>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</si>
  <si>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</si>
  <si>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</si>
  <si>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</si>
  <si>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</si>
  <si>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</si>
  <si>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</si>
  <si>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</si>
  <si>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</si>
  <si>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</si>
  <si>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</si>
  <si>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</si>
  <si>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</si>
  <si>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</si>
  <si>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</si>
  <si>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</si>
  <si>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</si>
  <si>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</si>
  <si>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</si>
  <si>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</si>
  <si>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</si>
  <si>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</si>
  <si>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</si>
  <si>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</si>
  <si>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</si>
  <si>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</si>
  <si>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</si>
  <si>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</si>
  <si>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</si>
  <si>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</si>
  <si>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</si>
  <si>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</si>
  <si>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</si>
  <si>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</si>
  <si>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</si>
  <si>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</si>
  <si>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</si>
  <si>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</si>
  <si>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</si>
  <si>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</si>
  <si>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</si>
  <si>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</si>
  <si>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</si>
  <si>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</si>
  <si>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</si>
  <si>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</si>
  <si>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</si>
  <si>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</si>
  <si>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</si>
  <si>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</si>
  <si>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</si>
  <si>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</si>
  <si>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</si>
  <si>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</si>
  <si>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</si>
  <si>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</si>
  <si>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</si>
  <si>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</si>
  <si>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</si>
  <si>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</si>
  <si>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</si>
  <si>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</si>
  <si>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</si>
  <si>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</si>
  <si>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</si>
  <si>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</si>
  <si>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</si>
  <si>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</si>
  <si>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</si>
  <si>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</si>
  <si>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</si>
  <si>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</si>
  <si>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</si>
  <si>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</si>
  <si>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</si>
  <si>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</si>
  <si>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</si>
  <si>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</si>
  <si>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</si>
  <si>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</si>
  <si>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</si>
  <si>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</si>
  <si>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</si>
  <si>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</si>
  <si>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</si>
  <si>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</si>
  <si>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</si>
  <si>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</si>
  <si>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</si>
  <si>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</si>
  <si>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</si>
  <si>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</si>
  <si>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</si>
  <si>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</si>
  <si>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</si>
  <si>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</si>
  <si>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</si>
  <si>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</si>
  <si>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</si>
  <si>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</si>
  <si>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</si>
  <si>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</si>
  <si>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</si>
  <si>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</si>
  <si>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</si>
  <si>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</si>
  <si>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</si>
  <si>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</si>
  <si>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</si>
  <si>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</si>
  <si>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</si>
  <si>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</si>
  <si>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</si>
  <si>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</si>
  <si>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</si>
  <si>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</si>
  <si>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</si>
  <si>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</si>
  <si>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</si>
  <si>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</si>
  <si>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</si>
  <si>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</si>
  <si>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</si>
  <si>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</si>
  <si>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</si>
  <si>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</si>
  <si>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</si>
  <si>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</si>
  <si>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</si>
  <si>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</si>
  <si>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</si>
  <si>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</si>
  <si>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</si>
  <si>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</si>
  <si>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</si>
  <si>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</si>
  <si>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</si>
  <si>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</si>
  <si>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</si>
  <si>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</si>
  <si>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</si>
  <si>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</si>
  <si>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</si>
  <si>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</si>
  <si>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</si>
  <si>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</si>
  <si>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</si>
  <si>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</si>
  <si>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</si>
  <si>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</si>
  <si>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</si>
  <si>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</si>
  <si>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</si>
  <si>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</si>
  <si>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</si>
  <si>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</si>
  <si>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</si>
  <si>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</si>
  <si>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</si>
  <si>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</si>
  <si>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</si>
  <si>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</si>
  <si>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</si>
  <si>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</si>
  <si>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</si>
  <si>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</si>
  <si>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</si>
  <si>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</si>
  <si>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</si>
  <si>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</si>
  <si>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</si>
  <si>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</si>
  <si>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</si>
  <si>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</si>
  <si>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</si>
  <si>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</si>
  <si>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</si>
  <si>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</si>
  <si>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</si>
  <si>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</si>
  <si>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</si>
  <si>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</si>
  <si>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</si>
  <si>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</si>
  <si>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</si>
  <si>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</si>
  <si>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</si>
  <si>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</si>
  <si>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</si>
  <si>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</si>
  <si>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</si>
  <si>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</si>
  <si>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</si>
  <si>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</si>
  <si>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</si>
  <si>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</si>
  <si>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</si>
  <si>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</si>
  <si>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</si>
  <si>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</si>
  <si>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</si>
  <si>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</si>
  <si>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</si>
  <si>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</si>
  <si>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</si>
  <si>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</si>
  <si>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</si>
  <si>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</si>
  <si>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</si>
  <si>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</si>
  <si>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</si>
  <si>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</si>
  <si>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</si>
  <si>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</si>
  <si>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</si>
  <si>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</si>
  <si>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</si>
  <si>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</si>
  <si>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</si>
  <si>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</si>
  <si>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</si>
  <si>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</si>
  <si>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</si>
  <si>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</si>
  <si>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</si>
  <si>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</si>
  <si>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</si>
  <si>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</si>
  <si>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</si>
  <si>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</si>
  <si>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</si>
  <si>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</si>
  <si>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</si>
  <si>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</si>
  <si>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</si>
  <si>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</si>
  <si>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</si>
  <si>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</si>
  <si>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</si>
  <si>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</si>
  <si>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</si>
  <si>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</si>
  <si>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</si>
  <si>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</si>
  <si>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</si>
  <si>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</si>
  <si>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</si>
  <si>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</si>
  <si>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</si>
  <si>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</si>
  <si>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</si>
  <si>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</si>
  <si>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</si>
  <si>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</si>
  <si>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</si>
  <si>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</si>
  <si>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</si>
  <si>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</si>
  <si>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</si>
  <si>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</si>
  <si>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</si>
  <si>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</si>
  <si>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</si>
  <si>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</si>
  <si>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</si>
  <si>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</si>
  <si>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</si>
  <si>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</si>
  <si>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</si>
  <si>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</si>
  <si>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</si>
  <si>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</si>
  <si>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</si>
  <si>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</si>
  <si>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</si>
  <si>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</si>
  <si>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</si>
  <si>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</si>
  <si>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</si>
  <si>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</si>
  <si>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</si>
  <si>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</si>
  <si>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</si>
  <si>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</si>
  <si>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</si>
  <si>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</si>
  <si>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</si>
  <si>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</si>
  <si>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</si>
  <si>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</si>
  <si>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</si>
  <si>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</si>
  <si>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</si>
  <si>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</si>
  <si>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</si>
  <si>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</si>
  <si>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</si>
  <si>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</si>
  <si>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</si>
  <si>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</si>
  <si>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</si>
  <si>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</si>
  <si>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</si>
  <si>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</si>
  <si>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</si>
  <si>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</si>
  <si>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</si>
  <si>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</si>
  <si>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</si>
  <si>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</si>
  <si>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</si>
  <si>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</si>
  <si>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</si>
  <si>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</si>
  <si>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</si>
  <si>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</si>
  <si>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</si>
  <si>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</si>
  <si>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</si>
  <si>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</si>
  <si>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</si>
  <si>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</si>
  <si>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</si>
  <si>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</si>
  <si>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</si>
  <si>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</si>
  <si>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</si>
  <si>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</si>
  <si>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</si>
  <si>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</si>
  <si>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</si>
  <si>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</si>
  <si>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</si>
  <si>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</si>
  <si>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</si>
  <si>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</si>
  <si>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</si>
  <si>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</si>
  <si>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</si>
  <si>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</si>
  <si>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</si>
  <si>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</si>
  <si>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</si>
  <si>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</si>
  <si>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</si>
  <si>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</si>
  <si>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</si>
  <si>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</si>
  <si>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</si>
  <si>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</si>
  <si>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</si>
  <si>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</si>
  <si>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</si>
  <si>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</si>
  <si>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</si>
  <si>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</si>
  <si>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</si>
  <si>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</si>
  <si>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</si>
  <si>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</si>
  <si>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</si>
  <si>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</si>
  <si>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</si>
  <si>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</si>
  <si>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</si>
  <si>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</si>
  <si>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</si>
  <si>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</si>
  <si>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</si>
  <si>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</si>
  <si>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</si>
  <si>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</si>
  <si>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</si>
  <si>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</si>
  <si>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</si>
  <si>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</si>
  <si>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</si>
  <si>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</si>
  <si>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</si>
  <si>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</si>
  <si>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</si>
  <si>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</si>
  <si>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</si>
  <si>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</si>
  <si>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</si>
  <si>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</si>
  <si>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</si>
  <si>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</si>
  <si>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</si>
  <si>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</si>
  <si>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</si>
  <si>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</si>
  <si>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</si>
  <si>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</si>
  <si>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</si>
  <si>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</si>
  <si>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</si>
  <si>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</si>
  <si>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</si>
  <si>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</si>
  <si>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</si>
  <si>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</si>
  <si>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</si>
  <si>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</si>
  <si>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</si>
  <si>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</si>
  <si>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</si>
  <si>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</si>
  <si>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</si>
  <si>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</si>
  <si>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</si>
  <si>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</si>
  <si>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</si>
  <si>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</si>
  <si>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</si>
  <si>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</si>
  <si>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</si>
  <si>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</si>
  <si>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</si>
  <si>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</si>
  <si>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</si>
  <si>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</si>
  <si>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</si>
  <si>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</si>
  <si>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</si>
  <si>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</si>
  <si>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</si>
  <si>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</si>
  <si>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</si>
  <si>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</si>
  <si>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</si>
  <si>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</si>
  <si>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</si>
  <si>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</si>
  <si>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</si>
  <si>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</si>
  <si>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</si>
  <si>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</si>
  <si>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</si>
  <si>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</si>
  <si>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</si>
  <si>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</si>
  <si>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</si>
  <si>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</si>
  <si>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</si>
  <si>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</si>
  <si>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</si>
  <si>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</si>
  <si>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</si>
  <si>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</si>
  <si>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</si>
  <si>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</si>
  <si>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</si>
  <si>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</si>
  <si>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</si>
  <si>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</si>
  <si>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</si>
  <si>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</si>
  <si>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</si>
  <si>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</si>
  <si>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</si>
  <si>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</si>
  <si>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</si>
  <si>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</si>
  <si>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</si>
  <si>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</si>
  <si>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</si>
  <si>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</si>
  <si>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</si>
  <si>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</si>
  <si>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</si>
  <si>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</si>
  <si>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</si>
  <si>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</si>
  <si>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</si>
  <si>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</si>
  <si>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</si>
  <si>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</si>
  <si>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</si>
  <si>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</si>
  <si>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</si>
  <si>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</si>
  <si>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</si>
  <si>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</si>
  <si>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</si>
  <si>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</si>
  <si>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</si>
  <si>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</si>
  <si>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</si>
  <si>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</si>
  <si>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</si>
  <si>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</si>
  <si>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</si>
  <si>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</si>
  <si>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</si>
  <si>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</si>
  <si>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</si>
  <si>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</si>
  <si>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</si>
  <si>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</si>
  <si>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</si>
  <si>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</si>
  <si>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</si>
  <si>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</si>
  <si>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</si>
  <si>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</si>
  <si>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</si>
  <si>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</si>
  <si>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</si>
  <si>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</si>
  <si>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</si>
  <si>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</si>
  <si>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</si>
  <si>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</si>
  <si>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</si>
  <si>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</si>
  <si>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</si>
  <si>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</si>
  <si>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</si>
  <si>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</si>
  <si>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</si>
  <si>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</si>
  <si>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</si>
  <si>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</si>
  <si>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</si>
  <si>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</si>
  <si>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</si>
  <si>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</si>
  <si>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</si>
  <si>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</si>
  <si>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</si>
  <si>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</si>
  <si>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</si>
  <si>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</si>
  <si>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</si>
  <si>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</si>
  <si>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</si>
  <si>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</si>
  <si>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</si>
  <si>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</si>
  <si>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</si>
  <si>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</si>
  <si>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</si>
  <si>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</si>
  <si>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</si>
  <si>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</si>
  <si>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</si>
  <si>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</si>
  <si>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</si>
  <si>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</si>
  <si>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</si>
  <si>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</si>
  <si>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</si>
  <si>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</si>
  <si>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</si>
  <si>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</si>
  <si>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</si>
  <si>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</si>
  <si>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</si>
  <si>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</si>
  <si>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</si>
  <si>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</si>
  <si>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</si>
  <si>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</si>
  <si>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</si>
  <si>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</si>
  <si>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</si>
  <si>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</si>
  <si>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</si>
  <si>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</si>
  <si>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</si>
  <si>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</si>
  <si>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</si>
  <si>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</si>
  <si>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</si>
  <si>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</si>
  <si>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</si>
  <si>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</si>
  <si>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</si>
  <si>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</si>
  <si>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</si>
  <si>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</si>
  <si>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</si>
  <si>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</si>
  <si>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</si>
  <si>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</si>
  <si>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</si>
  <si>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</si>
  <si>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</si>
  <si>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</si>
  <si>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</si>
  <si>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</si>
  <si>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</si>
  <si>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</si>
  <si>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</si>
  <si>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</si>
  <si>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</si>
  <si>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</si>
  <si>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</si>
  <si>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</si>
  <si>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</si>
  <si>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</si>
  <si>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</si>
  <si>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</si>
  <si>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</si>
  <si>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</si>
  <si>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</si>
  <si>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</si>
  <si>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</si>
  <si>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</si>
  <si>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</si>
  <si>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</si>
  <si>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</si>
  <si>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</si>
  <si>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</si>
  <si>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</si>
  <si>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</si>
  <si>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</si>
  <si>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</si>
  <si>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</si>
  <si>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</si>
  <si>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</si>
  <si>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</si>
  <si>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</si>
  <si>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</si>
  <si>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</si>
  <si>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</si>
  <si>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</si>
  <si>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</si>
  <si>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</si>
  <si>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</si>
  <si>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</si>
  <si>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</si>
  <si>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</si>
  <si>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</si>
  <si>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</si>
  <si>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</si>
  <si>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</si>
  <si>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</si>
  <si>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</si>
  <si>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</si>
  <si>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</si>
  <si>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</si>
  <si>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</si>
  <si>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</si>
  <si>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</si>
  <si>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</si>
  <si>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</si>
  <si>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</si>
  <si>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</si>
  <si>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</si>
  <si>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</si>
  <si>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</si>
  <si>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</si>
  <si>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</si>
  <si>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</si>
  <si>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</si>
  <si>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</si>
  <si>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</si>
  <si>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</si>
  <si>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</si>
  <si>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</si>
  <si>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</si>
  <si>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</si>
  <si>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</si>
  <si>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</si>
  <si>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</si>
  <si>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</si>
  <si>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</si>
  <si>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</si>
  <si>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</si>
  <si>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</si>
  <si>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</si>
  <si>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</si>
  <si>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</si>
  <si>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</si>
  <si>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</si>
  <si>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</si>
  <si>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</si>
  <si>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</si>
  <si>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</si>
  <si>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</si>
  <si>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</si>
  <si>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</si>
  <si>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</si>
  <si>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</si>
  <si>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</si>
  <si>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</si>
  <si>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</si>
  <si>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</si>
  <si>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</si>
  <si>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</si>
  <si>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</si>
  <si>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</si>
  <si>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</si>
  <si>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</si>
  <si>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</si>
  <si>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</si>
  <si>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</si>
  <si>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</si>
  <si>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</si>
  <si>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</si>
  <si>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</si>
  <si>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</si>
  <si>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</si>
  <si>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</si>
  <si>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</si>
  <si>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</si>
  <si>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</si>
  <si>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</si>
  <si>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</si>
  <si>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</si>
  <si>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</si>
  <si>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</si>
  <si>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</si>
  <si>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</si>
  <si>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</si>
  <si>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</si>
  <si>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</si>
  <si>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</si>
  <si>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</si>
  <si>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</si>
  <si>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</si>
  <si>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</si>
  <si>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</si>
  <si>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</si>
  <si>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</si>
  <si>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</si>
  <si>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</si>
  <si>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</si>
  <si>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</si>
  <si>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</si>
  <si>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</si>
  <si>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</si>
  <si>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</si>
  <si>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</si>
  <si>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</si>
  <si>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</si>
  <si>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</si>
  <si>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</si>
  <si>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</si>
  <si>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</si>
  <si>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</si>
  <si>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</si>
  <si>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</si>
  <si>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</si>
  <si>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</si>
  <si>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</si>
  <si>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</si>
  <si>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</si>
  <si>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</si>
  <si>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</si>
  <si>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</si>
  <si>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</si>
  <si>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</si>
  <si>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</si>
  <si>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</si>
  <si>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</si>
  <si>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</si>
  <si>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</si>
  <si>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</si>
  <si>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</si>
  <si>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</si>
  <si>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</si>
  <si>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</si>
  <si>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</si>
  <si>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</si>
  <si>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</si>
  <si>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</si>
  <si>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</si>
  <si>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</si>
  <si>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</si>
  <si>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</si>
  <si>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</si>
  <si>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</si>
  <si>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</si>
  <si>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</si>
  <si>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</si>
  <si>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</si>
  <si>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</si>
  <si>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</si>
  <si>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</si>
  <si>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</si>
  <si>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</si>
  <si>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</si>
  <si>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</si>
  <si>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</si>
  <si>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</si>
  <si>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</si>
  <si>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</si>
  <si>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</si>
  <si>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</si>
  <si>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</si>
  <si>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</si>
  <si>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</si>
  <si>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</si>
  <si>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</si>
  <si>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</si>
  <si>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</si>
  <si>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</si>
  <si>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</si>
  <si>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</si>
  <si>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</si>
  <si>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</si>
  <si>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</si>
  <si>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</si>
  <si>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</si>
  <si>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</si>
  <si>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</si>
  <si>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</si>
  <si>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</si>
  <si>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</si>
  <si>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</si>
  <si>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</si>
  <si>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</si>
  <si>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</si>
  <si>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</si>
  <si>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</si>
  <si>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</si>
  <si>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</si>
  <si>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</si>
  <si>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</si>
  <si>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</si>
  <si>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</si>
  <si>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</si>
  <si>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</si>
  <si>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</si>
  <si>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</si>
  <si>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</si>
  <si>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</si>
  <si>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</si>
  <si>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</si>
  <si>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</si>
  <si>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</si>
  <si>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</si>
  <si>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</si>
  <si>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</si>
  <si>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</si>
  <si>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</si>
  <si>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</si>
  <si>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</si>
  <si>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</si>
  <si>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</si>
  <si>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</si>
  <si>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</si>
  <si>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</si>
  <si>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</si>
  <si>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</si>
  <si>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</si>
  <si>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</si>
  <si>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</si>
  <si>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</si>
  <si>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</si>
  <si>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</si>
  <si>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</si>
  <si>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</si>
  <si>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</si>
  <si>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</si>
  <si>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</si>
  <si>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</si>
  <si>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</si>
  <si>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</si>
  <si>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</si>
  <si>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</si>
  <si>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</si>
  <si>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</si>
  <si>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</si>
  <si>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</si>
  <si>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</si>
  <si>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</si>
  <si>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</si>
  <si>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</si>
  <si>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</si>
  <si>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</si>
  <si>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</si>
  <si>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</si>
  <si>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</si>
  <si>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</si>
  <si>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</si>
  <si>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</si>
  <si>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</si>
  <si>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</si>
  <si>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</si>
  <si>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</si>
  <si>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</si>
  <si>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</si>
  <si>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</si>
  <si>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</si>
  <si>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</si>
  <si>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</si>
  <si>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</si>
  <si>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</si>
  <si>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</si>
  <si>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</si>
  <si>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</si>
  <si>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</si>
  <si>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</si>
  <si>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</si>
  <si>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</si>
  <si>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</si>
  <si>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</si>
  <si>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</si>
  <si>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</si>
  <si>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</si>
  <si>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</si>
  <si>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</si>
  <si>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</si>
  <si>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</si>
  <si>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</si>
  <si>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</si>
  <si>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</si>
  <si>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</si>
  <si>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</si>
  <si>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</si>
  <si>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</si>
  <si>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</si>
  <si>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</si>
  <si>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</si>
  <si>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</si>
  <si>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</si>
  <si>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</si>
  <si>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</si>
  <si>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</si>
  <si>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</si>
  <si>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</si>
  <si>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</si>
  <si>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</si>
  <si>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</si>
  <si>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</si>
  <si>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</si>
  <si>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</si>
  <si>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</si>
  <si>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</si>
  <si>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</si>
  <si>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</si>
  <si>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</si>
  <si>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</si>
  <si>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</si>
  <si>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</si>
  <si>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</si>
  <si>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</si>
  <si>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</si>
  <si>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</si>
  <si>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</si>
  <si>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</si>
  <si>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</si>
  <si>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</si>
  <si>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</si>
  <si>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</si>
  <si>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</si>
  <si>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</si>
  <si>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</si>
  <si>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</si>
  <si>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</si>
  <si>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</si>
  <si>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</si>
  <si>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</si>
  <si>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</si>
  <si>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</si>
  <si>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</si>
  <si>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</si>
  <si>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</si>
  <si>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</si>
  <si>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</si>
  <si>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</si>
  <si>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</si>
  <si>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</si>
  <si>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</si>
  <si>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</si>
  <si>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</si>
  <si>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</si>
  <si>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</si>
  <si>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</si>
  <si>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</si>
  <si>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</si>
  <si>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</si>
  <si>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</si>
  <si>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</si>
  <si>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</si>
  <si>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</si>
  <si>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</si>
  <si>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</si>
  <si>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</si>
  <si>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</si>
  <si>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</si>
  <si>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</si>
  <si>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</si>
  <si>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</si>
  <si>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</si>
  <si>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</si>
  <si>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</si>
  <si>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</si>
  <si>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</si>
  <si>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</si>
  <si>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</si>
  <si>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</si>
  <si>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</si>
  <si>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</si>
  <si>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</si>
  <si>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</si>
  <si>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</si>
  <si>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</si>
  <si>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</si>
  <si>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</si>
  <si>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</si>
  <si>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</si>
  <si>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</si>
  <si>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</si>
  <si>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</si>
  <si>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</si>
  <si>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</si>
  <si>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</si>
  <si>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</si>
  <si>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</si>
  <si>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</si>
  <si>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</si>
  <si>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</si>
  <si>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</si>
  <si>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</si>
  <si>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</si>
  <si>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</si>
  <si>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</si>
  <si>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</si>
  <si>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</si>
  <si>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</si>
  <si>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</si>
  <si>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</si>
  <si>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</si>
  <si>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</si>
  <si>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</si>
  <si>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</si>
  <si>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</si>
  <si>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</si>
  <si>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</si>
  <si>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</si>
  <si>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</si>
  <si>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</si>
  <si>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</si>
  <si>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</si>
  <si>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</si>
  <si>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</si>
  <si>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</si>
  <si>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</si>
  <si>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</si>
  <si>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</si>
  <si>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</si>
  <si>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</si>
  <si>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</si>
  <si>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</si>
  <si>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</si>
  <si>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</si>
  <si>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</si>
  <si>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</si>
  <si>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</si>
  <si>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</si>
  <si>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</si>
  <si>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</si>
  <si>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</si>
  <si>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</si>
  <si>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</si>
  <si>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</si>
  <si>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</si>
  <si>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</si>
  <si>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</si>
  <si>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</si>
  <si>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</si>
  <si>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</si>
  <si>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</si>
  <si>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</si>
  <si>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</si>
  <si>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</si>
  <si>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</si>
  <si>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</si>
  <si>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</si>
  <si>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</si>
  <si>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</si>
  <si>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</si>
  <si>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</si>
  <si>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</si>
  <si>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</si>
  <si>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</si>
  <si>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</si>
  <si>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</si>
  <si>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</si>
  <si>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</si>
  <si>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</si>
  <si>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</si>
  <si>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</si>
  <si>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</si>
  <si>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</si>
  <si>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</si>
  <si>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</si>
  <si>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</si>
  <si>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</si>
  <si>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</si>
  <si>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</si>
  <si>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</si>
  <si>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</si>
  <si>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</si>
  <si>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</si>
  <si>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</si>
  <si>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</si>
  <si>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</si>
  <si>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</si>
  <si>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</si>
  <si>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</si>
  <si>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</si>
  <si>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</si>
  <si>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</si>
  <si>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</si>
  <si>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</si>
  <si>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</si>
  <si>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</si>
  <si>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</si>
  <si>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</si>
  <si>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</si>
  <si>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</si>
  <si>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</si>
  <si>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</si>
  <si>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</si>
  <si>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</si>
  <si>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</si>
  <si>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</si>
  <si>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</si>
  <si>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</si>
  <si>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</si>
  <si>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</si>
  <si>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</si>
  <si>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</si>
  <si>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</si>
  <si>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</si>
  <si>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</si>
  <si>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</si>
  <si>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</si>
  <si>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</si>
  <si>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</si>
  <si>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</si>
  <si>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</si>
  <si>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</si>
  <si>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</si>
  <si>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</si>
  <si>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</si>
  <si>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</si>
  <si>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</si>
  <si>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</si>
  <si>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</si>
  <si>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</si>
  <si>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</si>
  <si>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</si>
  <si>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</si>
  <si>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</si>
  <si>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</si>
  <si>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</si>
  <si>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</si>
  <si>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</si>
  <si>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</si>
  <si>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</si>
  <si>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</si>
  <si>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</si>
  <si>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</si>
  <si>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</si>
  <si>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</si>
  <si>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</si>
  <si>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</si>
  <si>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</si>
  <si>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</si>
  <si>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</si>
  <si>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</si>
  <si>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</si>
  <si>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</si>
  <si>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</si>
  <si>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</si>
  <si>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</si>
  <si>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</si>
  <si>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</si>
  <si>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</si>
  <si>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</si>
  <si>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</si>
  <si>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</si>
  <si>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</si>
  <si>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</si>
  <si>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</si>
  <si>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</si>
  <si>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</si>
  <si>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</si>
  <si>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</si>
  <si>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</si>
  <si>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</si>
  <si>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</si>
  <si>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</si>
  <si>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</si>
  <si>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</si>
  <si>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</si>
  <si>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</si>
  <si>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</si>
  <si>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</si>
  <si>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</si>
  <si>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</si>
  <si>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</si>
  <si>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</si>
  <si>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</si>
  <si>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</si>
  <si>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</si>
  <si>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</si>
  <si>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</si>
  <si>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</si>
  <si>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</si>
  <si>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</si>
  <si>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</si>
  <si>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</si>
  <si>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</si>
  <si>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</si>
  <si>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</si>
  <si>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</si>
  <si>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</si>
  <si>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</si>
  <si>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</si>
  <si>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</si>
  <si>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</si>
  <si>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</si>
  <si>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</si>
  <si>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区域自然环境好；人文环境较好；周边有市民公园等，综合评价环境状况较好</t>
    <phoneticPr fontId="25" type="noConversion"/>
  </si>
  <si>
    <t>叠拼</t>
  </si>
  <si>
    <t>叠拼</t>
    <phoneticPr fontId="143" type="noConversion"/>
  </si>
  <si>
    <t>双拼</t>
  </si>
  <si>
    <t>首开龙湖天琅</t>
    <phoneticPr fontId="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</si>
  <si>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</si>
  <si>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</si>
  <si>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</si>
  <si>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</si>
  <si>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</si>
  <si>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</si>
  <si>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</si>
  <si>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</si>
  <si>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</si>
  <si>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</si>
  <si>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</si>
  <si>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</si>
  <si>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</si>
  <si>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</si>
  <si>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</si>
  <si>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</si>
  <si>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</si>
  <si>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</si>
  <si>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</si>
  <si>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</si>
  <si>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</si>
  <si>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</si>
  <si>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</si>
  <si>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</si>
  <si>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</si>
  <si>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</si>
  <si>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</si>
  <si>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</si>
  <si>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</si>
  <si>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</si>
  <si>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</si>
  <si>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</si>
  <si>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</si>
  <si>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</si>
  <si>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</si>
  <si>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</si>
  <si>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</si>
  <si>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</si>
  <si>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</si>
  <si>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</si>
  <si>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</si>
  <si>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</si>
  <si>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</si>
  <si>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</si>
  <si>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</si>
  <si>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</si>
  <si>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</si>
  <si>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</si>
  <si>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</si>
  <si>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</si>
  <si>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</si>
  <si>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</si>
  <si>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</si>
  <si>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</si>
  <si>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</si>
  <si>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</si>
  <si>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</si>
  <si>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</si>
  <si>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</si>
  <si>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</si>
  <si>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</si>
  <si>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</si>
  <si>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</si>
  <si>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</si>
  <si>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</si>
  <si>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</si>
  <si>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</si>
  <si>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</si>
  <si>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</si>
  <si>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</si>
  <si>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</si>
  <si>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</si>
  <si>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</si>
  <si>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</si>
  <si>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</si>
  <si>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</si>
  <si>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</si>
  <si>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</si>
  <si>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</si>
  <si>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</si>
  <si>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</si>
  <si>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</si>
  <si>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</si>
  <si>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</si>
  <si>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</si>
  <si>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</si>
  <si>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</si>
  <si>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</si>
  <si>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</si>
  <si>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</si>
  <si>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</si>
  <si>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</si>
  <si>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</si>
  <si>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</si>
  <si>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</si>
  <si>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</si>
  <si>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</si>
  <si>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</si>
  <si>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</si>
  <si>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</si>
  <si>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</si>
  <si>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</si>
  <si>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</si>
  <si>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</si>
  <si>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</si>
  <si>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</si>
  <si>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</si>
  <si>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</si>
  <si>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</si>
  <si>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</si>
  <si>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</si>
  <si>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</si>
  <si>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</si>
  <si>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</si>
  <si>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</si>
  <si>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</si>
  <si>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</si>
  <si>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</si>
  <si>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</si>
  <si>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</si>
  <si>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</si>
  <si>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</si>
  <si>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</si>
  <si>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</si>
  <si>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</si>
  <si>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</si>
  <si>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</si>
  <si>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</si>
  <si>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</si>
  <si>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</si>
  <si>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</si>
  <si>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</si>
  <si>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</si>
  <si>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</si>
  <si>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</si>
  <si>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</si>
  <si>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</si>
  <si>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</si>
  <si>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</si>
  <si>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</si>
  <si>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</si>
  <si>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</si>
  <si>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</si>
  <si>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</si>
  <si>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</si>
  <si>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</si>
  <si>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</si>
  <si>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</si>
  <si>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</si>
  <si>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</si>
  <si>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</si>
  <si>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</si>
  <si>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</si>
  <si>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</si>
  <si>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</si>
  <si>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</si>
  <si>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</si>
  <si>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</si>
  <si>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</si>
  <si>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</si>
  <si>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</si>
  <si>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</si>
  <si>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</si>
  <si>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</si>
  <si>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</si>
  <si>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</si>
  <si>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</si>
  <si>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</si>
  <si>
    <t>部位及房号</t>
  </si>
  <si>
    <t>1单元</t>
  </si>
  <si>
    <t>101</t>
  </si>
  <si>
    <t>102</t>
  </si>
  <si>
    <t>201</t>
  </si>
  <si>
    <t>202</t>
  </si>
  <si>
    <t>301</t>
  </si>
  <si>
    <t>302</t>
  </si>
  <si>
    <t>401</t>
  </si>
  <si>
    <t>402</t>
  </si>
  <si>
    <t>501</t>
  </si>
  <si>
    <t>502</t>
  </si>
  <si>
    <t>601</t>
  </si>
  <si>
    <t>602</t>
  </si>
  <si>
    <t>701</t>
  </si>
  <si>
    <t>702</t>
  </si>
  <si>
    <t>801</t>
  </si>
  <si>
    <t>802</t>
  </si>
  <si>
    <t>901</t>
  </si>
  <si>
    <t>902</t>
  </si>
  <si>
    <t>1001</t>
  </si>
  <si>
    <t>1002</t>
  </si>
  <si>
    <t>2单元</t>
  </si>
  <si>
    <t>建筑面积</t>
  </si>
  <si>
    <t>3单元</t>
  </si>
  <si>
    <t>2单元</t>
    <phoneticPr fontId="3" type="noConversion"/>
  </si>
  <si>
    <t>3单元</t>
    <phoneticPr fontId="3" type="noConversion"/>
  </si>
  <si>
    <t>单元</t>
    <phoneticPr fontId="3" type="noConversion"/>
  </si>
  <si>
    <t>楼号</t>
    <phoneticPr fontId="3" type="noConversion"/>
  </si>
  <si>
    <t>1号楼</t>
  </si>
  <si>
    <t>1号楼</t>
    <phoneticPr fontId="3" type="noConversion"/>
  </si>
  <si>
    <t>1单元</t>
    <phoneticPr fontId="3" type="noConversion"/>
  </si>
  <si>
    <t>地下仓储</t>
    <phoneticPr fontId="3" type="noConversion"/>
  </si>
  <si>
    <t>地上住宅</t>
    <phoneticPr fontId="3" type="noConversion"/>
  </si>
  <si>
    <t>1号楼</t>
    <phoneticPr fontId="3" type="noConversion"/>
  </si>
  <si>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</si>
  <si>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</si>
  <si>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</si>
  <si>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</si>
  <si>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</si>
  <si>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</si>
  <si>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</si>
  <si>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</si>
  <si>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</si>
  <si>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</si>
  <si>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</si>
  <si>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</si>
  <si>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</si>
  <si>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</si>
  <si>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</si>
  <si>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</si>
  <si>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</si>
  <si>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总建筑面积</t>
    <phoneticPr fontId="3" type="noConversion"/>
  </si>
  <si>
    <t>2号楼</t>
    <phoneticPr fontId="3" type="noConversion"/>
  </si>
  <si>
    <t>3号楼</t>
    <phoneticPr fontId="3" type="noConversion"/>
  </si>
  <si>
    <t>1单元</t>
    <phoneticPr fontId="3" type="noConversion"/>
  </si>
  <si>
    <t>2单元</t>
    <phoneticPr fontId="3" type="noConversion"/>
  </si>
  <si>
    <t>5号楼</t>
    <phoneticPr fontId="3" type="noConversion"/>
  </si>
  <si>
    <t>——</t>
    <phoneticPr fontId="3" type="noConversion"/>
  </si>
  <si>
    <t>6号楼</t>
    <phoneticPr fontId="3" type="noConversion"/>
  </si>
  <si>
    <t>4单元</t>
  </si>
  <si>
    <t>5单元</t>
  </si>
  <si>
    <t>7号楼</t>
    <phoneticPr fontId="3" type="noConversion"/>
  </si>
  <si>
    <t>楼号</t>
    <phoneticPr fontId="3" type="noConversion"/>
  </si>
  <si>
    <t>建设内容</t>
    <phoneticPr fontId="3" type="noConversion"/>
  </si>
  <si>
    <t>8号楼</t>
    <phoneticPr fontId="3" type="noConversion"/>
  </si>
  <si>
    <t>9号楼</t>
    <phoneticPr fontId="3" type="noConversion"/>
  </si>
  <si>
    <t>10号楼</t>
    <phoneticPr fontId="3" type="noConversion"/>
  </si>
  <si>
    <t>11号楼</t>
    <phoneticPr fontId="3" type="noConversion"/>
  </si>
  <si>
    <t>12号楼</t>
    <phoneticPr fontId="3" type="noConversion"/>
  </si>
  <si>
    <t>13号楼</t>
    <phoneticPr fontId="3" type="noConversion"/>
  </si>
  <si>
    <t>14号楼</t>
    <phoneticPr fontId="3" type="noConversion"/>
  </si>
  <si>
    <t>15号楼</t>
    <phoneticPr fontId="3" type="noConversion"/>
  </si>
  <si>
    <r>
      <t>1</t>
    </r>
    <r>
      <rPr>
        <sz val="11"/>
        <color theme="1"/>
        <rFont val="宋体"/>
        <family val="3"/>
        <charset val="134"/>
        <scheme val="minor"/>
      </rPr>
      <t>7号楼</t>
    </r>
    <phoneticPr fontId="3" type="noConversion"/>
  </si>
  <si>
    <r>
      <t>1</t>
    </r>
    <r>
      <rPr>
        <sz val="11"/>
        <color theme="1"/>
        <rFont val="宋体"/>
        <family val="3"/>
        <charset val="134"/>
        <scheme val="minor"/>
      </rPr>
      <t>8号楼</t>
    </r>
    <phoneticPr fontId="3" type="noConversion"/>
  </si>
  <si>
    <t>16号楼</t>
    <phoneticPr fontId="3" type="noConversion"/>
  </si>
  <si>
    <r>
      <t>18号楼</t>
    </r>
    <r>
      <rPr>
        <sz val="11"/>
        <color theme="1"/>
        <rFont val="宋体"/>
        <family val="3"/>
        <charset val="134"/>
        <scheme val="minor"/>
      </rPr>
      <t/>
    </r>
  </si>
  <si>
    <r>
      <t>17号楼</t>
    </r>
    <r>
      <rPr>
        <sz val="11"/>
        <color theme="1"/>
        <rFont val="宋体"/>
        <family val="3"/>
        <charset val="134"/>
        <scheme val="minor"/>
      </rPr>
      <t/>
    </r>
  </si>
  <si>
    <t>是否抵押</t>
    <phoneticPr fontId="3" type="noConversion"/>
  </si>
  <si>
    <t>是</t>
    <phoneticPr fontId="3" type="noConversion"/>
  </si>
  <si>
    <t>叠拼</t>
    <phoneticPr fontId="3" type="noConversion"/>
  </si>
  <si>
    <t>平层</t>
    <phoneticPr fontId="3" type="noConversion"/>
  </si>
  <si>
    <t>住宅地下车库</t>
  </si>
  <si>
    <t>预测报告</t>
    <phoneticPr fontId="3" type="noConversion"/>
  </si>
  <si>
    <t>否</t>
    <phoneticPr fontId="3" type="noConversion"/>
  </si>
  <si>
    <t>否</t>
    <phoneticPr fontId="3" type="noConversion"/>
  </si>
  <si>
    <t>否</t>
    <phoneticPr fontId="3" type="noConversion"/>
  </si>
  <si>
    <t>总计</t>
    <phoneticPr fontId="3" type="noConversion"/>
  </si>
  <si>
    <r>
      <t>1-18</t>
    </r>
    <r>
      <rPr>
        <sz val="10"/>
        <color indexed="8"/>
        <rFont val="宋体"/>
        <family val="3"/>
        <charset val="134"/>
      </rPr>
      <t>（不含</t>
    </r>
    <r>
      <rPr>
        <sz val="10"/>
        <color indexed="8"/>
        <rFont val="Arial"/>
        <family val="2"/>
      </rPr>
      <t>4</t>
    </r>
    <r>
      <rPr>
        <sz val="10"/>
        <color indexed="8"/>
        <rFont val="宋体"/>
        <family val="3"/>
        <charset val="134"/>
      </rPr>
      <t>）</t>
    </r>
    <phoneticPr fontId="3" type="noConversion"/>
  </si>
  <si>
    <t>否</t>
    <phoneticPr fontId="3" type="noConversion"/>
  </si>
  <si>
    <t>否</t>
    <phoneticPr fontId="3" type="noConversion"/>
  </si>
  <si>
    <t>否</t>
    <phoneticPr fontId="3" type="noConversion"/>
  </si>
  <si>
    <t>否</t>
    <phoneticPr fontId="3" type="noConversion"/>
  </si>
  <si>
    <t>情况3</t>
  </si>
  <si>
    <t>地上</t>
    <phoneticPr fontId="8" type="noConversion"/>
  </si>
  <si>
    <t>地下仓储</t>
    <phoneticPr fontId="8" type="noConversion"/>
  </si>
  <si>
    <t>地下车库</t>
    <phoneticPr fontId="8" type="noConversion"/>
  </si>
  <si>
    <t>毛坯</t>
    <phoneticPr fontId="25" type="noConversion"/>
  </si>
  <si>
    <t>楼号</t>
  </si>
  <si>
    <t>单元</t>
  </si>
  <si>
    <t>地上住宅</t>
  </si>
  <si>
    <t>地下仓储</t>
  </si>
  <si>
    <t>建设内容</t>
  </si>
  <si>
    <t>（平方米）</t>
  </si>
  <si>
    <r>
      <t>9</t>
    </r>
    <r>
      <rPr>
        <sz val="9"/>
        <color rgb="FF000000"/>
        <rFont val="华文细黑"/>
        <family val="3"/>
        <charset val="134"/>
      </rPr>
      <t>号楼</t>
    </r>
  </si>
  <si>
    <t>平层</t>
  </si>
  <si>
    <r>
      <t>8</t>
    </r>
    <r>
      <rPr>
        <sz val="9"/>
        <color rgb="FF000000"/>
        <rFont val="华文细黑"/>
        <family val="3"/>
        <charset val="134"/>
      </rPr>
      <t>号楼</t>
    </r>
  </si>
  <si>
    <r>
      <t>1</t>
    </r>
    <r>
      <rPr>
        <sz val="9"/>
        <color rgb="FF000000"/>
        <rFont val="华文细黑"/>
        <family val="3"/>
        <charset val="134"/>
      </rPr>
      <t>单元</t>
    </r>
  </si>
  <si>
    <r>
      <t>2</t>
    </r>
    <r>
      <rPr>
        <sz val="9"/>
        <color rgb="FF000000"/>
        <rFont val="华文细黑"/>
        <family val="3"/>
        <charset val="134"/>
      </rPr>
      <t>单元</t>
    </r>
  </si>
  <si>
    <r>
      <t>3</t>
    </r>
    <r>
      <rPr>
        <sz val="9"/>
        <color rgb="FF000000"/>
        <rFont val="华文细黑"/>
        <family val="3"/>
        <charset val="134"/>
      </rPr>
      <t>单元</t>
    </r>
  </si>
  <si>
    <r>
      <t>4</t>
    </r>
    <r>
      <rPr>
        <sz val="9"/>
        <color rgb="FF000000"/>
        <rFont val="华文细黑"/>
        <family val="3"/>
        <charset val="134"/>
      </rPr>
      <t>单元</t>
    </r>
  </si>
  <si>
    <r>
      <t>5</t>
    </r>
    <r>
      <rPr>
        <sz val="9"/>
        <color rgb="FF000000"/>
        <rFont val="华文细黑"/>
        <family val="3"/>
        <charset val="134"/>
      </rPr>
      <t>单元</t>
    </r>
  </si>
  <si>
    <r>
      <t>7</t>
    </r>
    <r>
      <rPr>
        <sz val="9"/>
        <color rgb="FF000000"/>
        <rFont val="华文细黑"/>
        <family val="3"/>
        <charset val="134"/>
      </rPr>
      <t>号楼</t>
    </r>
  </si>
  <si>
    <r>
      <t>6</t>
    </r>
    <r>
      <rPr>
        <sz val="9"/>
        <color rgb="FF000000"/>
        <rFont val="华文细黑"/>
        <family val="3"/>
        <charset val="134"/>
      </rPr>
      <t>号楼</t>
    </r>
  </si>
  <si>
    <r>
      <t>5</t>
    </r>
    <r>
      <rPr>
        <sz val="9"/>
        <color rgb="FF000000"/>
        <rFont val="华文细黑"/>
        <family val="3"/>
        <charset val="134"/>
      </rPr>
      <t>号楼</t>
    </r>
  </si>
  <si>
    <r>
      <t>3</t>
    </r>
    <r>
      <rPr>
        <sz val="9"/>
        <color rgb="FF000000"/>
        <rFont val="华文细黑"/>
        <family val="3"/>
        <charset val="134"/>
      </rPr>
      <t>号楼</t>
    </r>
  </si>
  <si>
    <r>
      <t>2</t>
    </r>
    <r>
      <rPr>
        <sz val="9"/>
        <color rgb="FF000000"/>
        <rFont val="华文细黑"/>
        <family val="3"/>
        <charset val="134"/>
      </rPr>
      <t>号楼</t>
    </r>
  </si>
  <si>
    <r>
      <t>1</t>
    </r>
    <r>
      <rPr>
        <sz val="9"/>
        <color rgb="FF000000"/>
        <rFont val="华文细黑"/>
        <family val="3"/>
        <charset val="134"/>
      </rPr>
      <t>号楼</t>
    </r>
  </si>
  <si>
    <r>
      <t>18</t>
    </r>
    <r>
      <rPr>
        <sz val="9"/>
        <color rgb="FF000000"/>
        <rFont val="华文细黑"/>
        <family val="3"/>
        <charset val="134"/>
      </rPr>
      <t>号楼</t>
    </r>
  </si>
  <si>
    <r>
      <t>17</t>
    </r>
    <r>
      <rPr>
        <sz val="9"/>
        <color rgb="FF000000"/>
        <rFont val="华文细黑"/>
        <family val="3"/>
        <charset val="134"/>
      </rPr>
      <t>号楼</t>
    </r>
  </si>
  <si>
    <r>
      <t>16</t>
    </r>
    <r>
      <rPr>
        <sz val="9"/>
        <color rgb="FF000000"/>
        <rFont val="华文细黑"/>
        <family val="3"/>
        <charset val="134"/>
      </rPr>
      <t>号楼</t>
    </r>
  </si>
  <si>
    <r>
      <t>15</t>
    </r>
    <r>
      <rPr>
        <sz val="9"/>
        <color rgb="FF000000"/>
        <rFont val="华文细黑"/>
        <family val="3"/>
        <charset val="134"/>
      </rPr>
      <t>号楼</t>
    </r>
  </si>
  <si>
    <r>
      <t>14</t>
    </r>
    <r>
      <rPr>
        <sz val="9"/>
        <color rgb="FF000000"/>
        <rFont val="华文细黑"/>
        <family val="3"/>
        <charset val="134"/>
      </rPr>
      <t>号楼</t>
    </r>
  </si>
  <si>
    <r>
      <t>13</t>
    </r>
    <r>
      <rPr>
        <sz val="9"/>
        <color rgb="FF000000"/>
        <rFont val="华文细黑"/>
        <family val="3"/>
        <charset val="134"/>
      </rPr>
      <t>号楼</t>
    </r>
  </si>
  <si>
    <r>
      <t>12</t>
    </r>
    <r>
      <rPr>
        <sz val="9"/>
        <color rgb="FF000000"/>
        <rFont val="华文细黑"/>
        <family val="3"/>
        <charset val="134"/>
      </rPr>
      <t>号楼</t>
    </r>
  </si>
  <si>
    <r>
      <t>11</t>
    </r>
    <r>
      <rPr>
        <sz val="9"/>
        <color rgb="FF000000"/>
        <rFont val="华文细黑"/>
        <family val="3"/>
        <charset val="134"/>
      </rPr>
      <t>号楼</t>
    </r>
  </si>
  <si>
    <r>
      <t>10</t>
    </r>
    <r>
      <rPr>
        <sz val="9"/>
        <color rgb="FF000000"/>
        <rFont val="华文细黑"/>
        <family val="3"/>
        <charset val="134"/>
      </rPr>
      <t>号楼</t>
    </r>
  </si>
  <si>
    <t>平层住宅</t>
    <phoneticPr fontId="258" type="noConversion"/>
  </si>
  <si>
    <t>叠拼住宅</t>
    <phoneticPr fontId="258" type="noConversion"/>
  </si>
  <si>
    <t>叠拼仓储</t>
    <phoneticPr fontId="258" type="noConversion"/>
  </si>
  <si>
    <t>普通仓储</t>
    <phoneticPr fontId="258" type="noConversion"/>
  </si>
  <si>
    <r>
      <rPr>
        <b/>
        <sz val="9"/>
        <color rgb="FFFF0000"/>
        <rFont val="宋体"/>
        <family val="2"/>
        <charset val="134"/>
      </rPr>
      <t>总计</t>
    </r>
    <phoneticPr fontId="258" type="noConversion"/>
  </si>
  <si>
    <r>
      <t>抵押面积中还包含住宅地下车库面积</t>
    </r>
    <r>
      <rPr>
        <sz val="10.5"/>
        <color theme="1"/>
        <rFont val="Arial"/>
        <family val="2"/>
      </rPr>
      <t>32796.45</t>
    </r>
    <r>
      <rPr>
        <sz val="10.5"/>
        <color theme="1"/>
        <rFont val="宋体"/>
        <family val="3"/>
        <charset val="134"/>
      </rPr>
      <t>平方米（地下车库</t>
    </r>
    <r>
      <rPr>
        <sz val="10.5"/>
        <color theme="1"/>
        <rFont val="Arial"/>
        <family val="2"/>
      </rPr>
      <t>30558.49</t>
    </r>
    <r>
      <rPr>
        <sz val="10.5"/>
        <color theme="1"/>
        <rFont val="宋体"/>
        <family val="3"/>
        <charset val="134"/>
      </rPr>
      <t>平方米，设备及其他用房</t>
    </r>
    <r>
      <rPr>
        <sz val="10.5"/>
        <color theme="1"/>
        <rFont val="Arial"/>
        <family val="2"/>
      </rPr>
      <t>2237.96</t>
    </r>
    <r>
      <rPr>
        <sz val="10.5"/>
        <color theme="1"/>
        <rFont val="宋体"/>
        <family val="3"/>
        <charset val="134"/>
      </rPr>
      <t>平方米）。</t>
    </r>
    <phoneticPr fontId="258" type="noConversion"/>
  </si>
  <si>
    <t>总计</t>
    <phoneticPr fontId="143" type="noConversion"/>
  </si>
  <si>
    <t>万和斐丽</t>
    <phoneticPr fontId="3" type="noConversion"/>
  </si>
  <si>
    <t>叠拼</t>
    <phoneticPr fontId="143" type="noConversion"/>
  </si>
  <si>
    <t>地上</t>
    <phoneticPr fontId="143" type="noConversion"/>
  </si>
  <si>
    <t>售价</t>
    <phoneticPr fontId="143" type="noConversion"/>
  </si>
  <si>
    <t>地下</t>
    <phoneticPr fontId="143" type="noConversion"/>
  </si>
  <si>
    <t>综合售价</t>
    <phoneticPr fontId="143" type="noConversion"/>
  </si>
  <si>
    <t>面积</t>
    <phoneticPr fontId="143" type="noConversion"/>
  </si>
  <si>
    <t>是否带地下</t>
    <phoneticPr fontId="143" type="noConversion"/>
  </si>
  <si>
    <t>不带地下</t>
    <phoneticPr fontId="143" type="noConversion"/>
  </si>
  <si>
    <t>不带地下</t>
    <phoneticPr fontId="143" type="noConversion"/>
  </si>
  <si>
    <t>花园洋房</t>
    <phoneticPr fontId="143" type="noConversion"/>
  </si>
  <si>
    <t>双拼</t>
    <phoneticPr fontId="143" type="noConversion"/>
  </si>
  <si>
    <t>限价</t>
    <phoneticPr fontId="25" type="noConversion"/>
  </si>
  <si>
    <t>估价对象</t>
    <phoneticPr fontId="143" type="noConversion"/>
  </si>
  <si>
    <t>海晏春秋</t>
    <phoneticPr fontId="3" type="noConversion"/>
  </si>
  <si>
    <t>棠颂别墅·璟庐</t>
    <phoneticPr fontId="3" type="noConversion"/>
  </si>
  <si>
    <t>合院</t>
  </si>
  <si>
    <t>合院</t>
    <phoneticPr fontId="143" type="noConversion"/>
  </si>
  <si>
    <t>总值</t>
    <phoneticPr fontId="18" type="noConversion"/>
  </si>
  <si>
    <t>单价</t>
    <phoneticPr fontId="18" type="noConversion"/>
  </si>
  <si>
    <t>地下普通仓储用房</t>
    <phoneticPr fontId="18" type="noConversion"/>
  </si>
  <si>
    <t>地下车库用房</t>
    <phoneticPr fontId="18" type="noConversion"/>
  </si>
  <si>
    <t>地下叠拼仓储用房</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</si>
</sst>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FF0000"/>
      <name val="Arial"/>
      <family val="2"/>
    </font>
    <font>
      <b/>
      <sz val="9"/>
      <color rgb="FFFF0000"/>
      <name val="宋体"/>
      <family val="2"/>
      <charset val="134"/>
    </font>
    <font>
      <sz val="9"/>
      <name val="宋体"/>
      <family val="2"/>
      <charset val="134"/>
      <scheme val="minor"/>
    </font>
    <font>
      <sz val="10.5"/>
      <color theme="1"/>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179" fontId="0" fillId="0" borderId="0" xfId="0" applyNumberFormat="1">
      <alignment vertical="center"/>
    </xf>
    <xf numFmtId="179" fontId="99" fillId="0" borderId="0" xfId="0" applyNumberFormat="1" applyFont="1">
      <alignment vertical="center"/>
    </xf>
    <xf numFmtId="179" fontId="0" fillId="0" borderId="0" xfId="0" applyNumberFormat="1" applyAlignment="1">
      <alignment horizontal="left" vertical="center"/>
    </xf>
    <xf numFmtId="0" fontId="0" fillId="0" borderId="0" xfId="0" applyNumberFormat="1" applyAlignment="1">
      <alignment horizontal="left" vertical="center"/>
    </xf>
    <xf numFmtId="179" fontId="0" fillId="0" borderId="0" xfId="0" applyNumberFormat="1" applyFont="1">
      <alignment vertical="center"/>
    </xf>
    <xf numFmtId="0" fontId="99" fillId="0" borderId="0" xfId="0" applyFont="1">
      <alignment vertical="center"/>
    </xf>
    <xf numFmtId="0" fontId="0" fillId="0" borderId="0" xfId="0" applyNumberFormat="1" applyFont="1" applyAlignment="1">
      <alignment horizontal="left" vertical="center"/>
    </xf>
    <xf numFmtId="0" fontId="99" fillId="0" borderId="0" xfId="0" applyNumberFormat="1" applyFont="1" applyAlignment="1">
      <alignment horizontal="left" vertical="center"/>
    </xf>
    <xf numFmtId="0" fontId="0" fillId="0" borderId="0" xfId="0" applyNumberFormat="1">
      <alignment vertical="center"/>
    </xf>
    <xf numFmtId="0" fontId="80" fillId="0" borderId="2" xfId="0" applyFont="1" applyFill="1" applyBorder="1" applyAlignment="1" applyProtection="1">
      <alignment horizontal="center" vertical="center" wrapText="1"/>
      <protection locked="0"/>
    </xf>
    <xf numFmtId="179" fontId="99" fillId="5" borderId="0" xfId="0" applyNumberFormat="1" applyFont="1" applyFill="1">
      <alignment vertical="center"/>
    </xf>
    <xf numFmtId="0" fontId="99" fillId="5" borderId="0" xfId="0" applyFont="1" applyFill="1">
      <alignment vertical="center"/>
    </xf>
    <xf numFmtId="0" fontId="0" fillId="5" borderId="0" xfId="0" applyNumberFormat="1" applyFill="1">
      <alignment vertical="center"/>
    </xf>
    <xf numFmtId="0" fontId="0" fillId="5" borderId="0" xfId="0" applyNumberFormat="1" applyFont="1" applyFill="1" applyAlignment="1">
      <alignment horizontal="left" vertical="center"/>
    </xf>
    <xf numFmtId="0" fontId="0" fillId="5" borderId="0" xfId="0" applyNumberFormat="1" applyFill="1" applyAlignment="1">
      <alignment horizontal="left" vertical="center"/>
    </xf>
    <xf numFmtId="0" fontId="99" fillId="5" borderId="0" xfId="0" applyNumberFormat="1" applyFont="1" applyFill="1" applyAlignment="1">
      <alignment horizontal="left" vertical="center"/>
    </xf>
    <xf numFmtId="0" fontId="122"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254" fillId="0" borderId="31" xfId="0" applyFont="1" applyFill="1" applyBorder="1" applyAlignment="1">
      <alignment horizontal="justify" vertical="center"/>
    </xf>
    <xf numFmtId="0" fontId="0" fillId="0" borderId="0" xfId="0" applyFill="1" applyAlignment="1"/>
    <xf numFmtId="0" fontId="254" fillId="0" borderId="43" xfId="0" applyFont="1" applyFill="1" applyBorder="1" applyAlignment="1">
      <alignment horizontal="justify" vertical="center"/>
    </xf>
    <xf numFmtId="0" fontId="255" fillId="0" borderId="81" xfId="0" applyFont="1" applyFill="1" applyBorder="1" applyAlignment="1">
      <alignment horizontal="justify" vertical="center"/>
    </xf>
    <xf numFmtId="0" fontId="255" fillId="0" borderId="43" xfId="0" applyFont="1" applyFill="1" applyBorder="1" applyAlignment="1">
      <alignment horizontal="justify" vertical="center"/>
    </xf>
    <xf numFmtId="0" fontId="256" fillId="0" borderId="81" xfId="0" applyFont="1" applyFill="1" applyBorder="1" applyAlignment="1">
      <alignment horizontal="justify" vertical="center"/>
    </xf>
    <xf numFmtId="0" fontId="99" fillId="0" borderId="0" xfId="0" applyFont="1" applyFill="1" applyAlignment="1"/>
    <xf numFmtId="0" fontId="254" fillId="0" borderId="0" xfId="0" applyFont="1" applyFill="1" applyBorder="1" applyAlignment="1">
      <alignment horizontal="justify" vertical="center"/>
    </xf>
    <xf numFmtId="0" fontId="255" fillId="5" borderId="43" xfId="0" applyFont="1" applyFill="1" applyBorder="1" applyAlignment="1">
      <alignment horizontal="justify" vertical="center"/>
    </xf>
    <xf numFmtId="2" fontId="0" fillId="0" borderId="0" xfId="0" applyNumberFormat="1" applyFill="1" applyAlignment="1"/>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20" fillId="5" borderId="49" xfId="1" applyNumberFormat="1" applyFont="1" applyFill="1" applyBorder="1" applyAlignment="1" applyProtection="1">
      <alignment horizontal="center" vertical="center"/>
      <protection locked="0"/>
    </xf>
    <xf numFmtId="186" fontId="50" fillId="7"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0" borderId="27" xfId="0" applyFont="1" applyFill="1" applyBorder="1" applyAlignment="1">
      <alignment horizontal="justify" vertical="center"/>
    </xf>
    <xf numFmtId="0" fontId="254" fillId="0" borderId="81" xfId="0" applyFont="1" applyFill="1" applyBorder="1" applyAlignment="1">
      <alignment horizontal="justify" vertical="center"/>
    </xf>
    <xf numFmtId="0" fontId="259" fillId="0" borderId="0" xfId="0" applyFont="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5" fillId="7" borderId="0" xfId="0"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186" fontId="80" fillId="5"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120650</xdr:rowOff>
    </xdr:from>
    <xdr:to>
      <xdr:col>12</xdr:col>
      <xdr:colOff>428356</xdr:colOff>
      <xdr:row>60</xdr:row>
      <xdr:rowOff>55017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54650"/>
          <a:ext cx="7743556" cy="5268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1211</v>
      </c>
      <c r="B1" s="1583" t="s">
        <v>1290</v>
      </c>
    </row>
    <row r="2" spans="1:2" s="1588" customFormat="1" ht="15" thickTop="1">
      <c r="A2" s="1586" t="s">
        <v>1212</v>
      </c>
      <c r="B2" s="1587" t="str">
        <f>'预评函-封皮'!B37:I37</f>
        <v>北京市大兴区旧宫镇出让国有建设用地使用权及在建建筑物房地产抵押价值预评估</v>
      </c>
    </row>
    <row r="3" spans="1:2" s="1591" customFormat="1">
      <c r="A3" s="1589" t="s">
        <v>1213</v>
      </c>
      <c r="B3" s="1590" t="str">
        <f>'预评函-封皮'!B40</f>
        <v>中信信诚资产管理公司资产管理部</v>
      </c>
    </row>
    <row r="4" spans="1:2" s="1591" customFormat="1">
      <c r="A4" s="1589" t="s">
        <v>1214</v>
      </c>
      <c r="B4" s="1590" t="str">
        <f ca="1">'预评函-封皮'!B46</f>
        <v>郑燚（注册号：0)、崔锴（注册号：0)</v>
      </c>
    </row>
    <row r="5" spans="1:2" s="1585" customFormat="1" ht="15" thickBot="1">
      <c r="A5" s="1592" t="s">
        <v>1215</v>
      </c>
      <c r="B5" s="1593" t="str">
        <f>'预评函-封皮'!B49</f>
        <v>康正预评字号</v>
      </c>
    </row>
    <row r="6" spans="1:2" s="1588" customFormat="1" ht="15" thickTop="1">
      <c r="A6" s="1586" t="s">
        <v>1216</v>
      </c>
      <c r="B6" s="1587" t="str">
        <f>'预评函-1'!A4</f>
        <v>受贵公司委托，我公司对北京市大兴区旧宫镇出让国有建设用地使用权及在建建筑物房地产抵押价值进行了预评估。</v>
      </c>
    </row>
    <row r="7" spans="1:2" s="1591" customFormat="1">
      <c r="A7" s="1589" t="s">
        <v>1256</v>
      </c>
      <c r="B7" s="1590" t="str">
        <f>'预评函-1'!A7</f>
        <v>估价对象为北京市大兴区旧宫镇出让国有建设用地使用权及在建建筑物房地产，为所有。根据《国有土地使用证》，估价对象（分摊）出让国有建设用地使用权面积为34567.79平方米，建筑面积为123740.26平方米。</v>
      </c>
    </row>
    <row r="8" spans="1:2" s="1591" customFormat="1">
      <c r="A8" s="1589" t="s">
        <v>1257</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1258</v>
      </c>
      <c r="B9" s="1590" t="str">
        <f>'预评函-1'!A10</f>
        <v>估价对象为北京市大兴区旧宫镇出让国有建设用地使用权及在建建筑物房地产,属开发建设的居住项目，该项目尚在开发建设中。根据《国有土地使用证》，估价对象（分摊）出让国有建设用地使用权面积为34567.79平方米，规划建筑面积为123740.26平方米。</v>
      </c>
    </row>
    <row r="10" spans="1:2" s="1591" customFormat="1">
      <c r="A10" s="1589" t="s">
        <v>1259</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1217</v>
      </c>
      <c r="B11" s="1590"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1" customFormat="1">
      <c r="A12" s="1589" t="s">
        <v>1218</v>
      </c>
      <c r="B12" s="1590" t="str">
        <f>'预评函-1'!A15</f>
        <v>2020年4月5日（评估专业人员实地查勘之日）</v>
      </c>
    </row>
    <row r="13" spans="1:2" s="1591" customFormat="1">
      <c r="A13" s="1589" t="s">
        <v>1219</v>
      </c>
      <c r="B13" s="1590" t="str">
        <f>'预评函-1'!A18</f>
        <v>本次估价的“房地产价值”是指在正常市场情况下，在价值时点2020年4月5日，估价对象规划用途为，土地取得方式为出让，出让国有建设用地使用权剩余土地使用年限为，假定未设立法定优先受偿款下的房地产市场价值。</v>
      </c>
    </row>
    <row r="14" spans="1:2" s="1591" customFormat="1">
      <c r="A14" s="1589" t="s">
        <v>1220</v>
      </c>
      <c r="B14" s="159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1221</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1222</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1223</v>
      </c>
      <c r="B17" s="1590" t="str">
        <f>'预评函-1'!A22</f>
        <v/>
      </c>
    </row>
    <row r="18" spans="1:2" s="1585" customFormat="1" ht="15" thickBot="1">
      <c r="A18" s="1592" t="s">
        <v>1224</v>
      </c>
      <c r="B18" s="1593" t="str">
        <f>'预评函-1'!A24</f>
        <v>本次评估采用的主估价方法为成本法和假设开发法。</v>
      </c>
    </row>
    <row r="19" spans="1:2" s="1588" customFormat="1" ht="15" thickTop="1">
      <c r="A19" s="1586" t="s">
        <v>1225</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1226</v>
      </c>
      <c r="B20" s="1590">
        <f ca="1">'预评函-2'!D5</f>
        <v>465317</v>
      </c>
    </row>
    <row r="21" spans="1:2" s="1591" customFormat="1">
      <c r="A21" s="1589" t="s">
        <v>1227</v>
      </c>
      <c r="B21" s="1590">
        <f ca="1">'预评函-2'!D7</f>
        <v>37604</v>
      </c>
    </row>
    <row r="22" spans="1:2" s="1591" customFormat="1">
      <c r="A22" s="1589" t="s">
        <v>1228</v>
      </c>
      <c r="B22" s="1590" t="str">
        <f ca="1">'预评函-2'!D6</f>
        <v>肆拾陆亿伍仟叁佰壹拾柒万元整</v>
      </c>
    </row>
    <row r="23" spans="1:2" s="1591" customFormat="1">
      <c r="A23" s="1589" t="s">
        <v>1279</v>
      </c>
      <c r="B23" s="1590" t="str">
        <f>'预评函-2'!B8</f>
        <v>2.估价师知悉的法定优先受偿款</v>
      </c>
    </row>
    <row r="24" spans="1:2" s="1591" customFormat="1">
      <c r="A24" s="1589" t="s">
        <v>1285</v>
      </c>
      <c r="B24" s="1590">
        <f>'预评函-2'!D8</f>
        <v>0</v>
      </c>
    </row>
    <row r="25" spans="1:2" s="1591" customFormat="1">
      <c r="A25" s="1589" t="s">
        <v>1229</v>
      </c>
      <c r="B25" s="1590" t="str">
        <f>'预评函-2'!D9</f>
        <v>零元整</v>
      </c>
    </row>
    <row r="26" spans="1:2" s="1591" customFormat="1">
      <c r="A26" s="1589" t="s">
        <v>1230</v>
      </c>
      <c r="B26" s="1590">
        <f>'预评函-2'!D10</f>
        <v>0</v>
      </c>
    </row>
    <row r="27" spans="1:2" s="1591" customFormat="1">
      <c r="A27" s="1589" t="s">
        <v>1231</v>
      </c>
      <c r="B27" s="1590">
        <f>'预评函-2'!D11</f>
        <v>0</v>
      </c>
    </row>
    <row r="28" spans="1:2" s="1591" customFormat="1">
      <c r="A28" s="1589" t="s">
        <v>1232</v>
      </c>
      <c r="B28" s="1590">
        <f>'预评函-2'!D12</f>
        <v>0</v>
      </c>
    </row>
    <row r="29" spans="1:2" s="1591" customFormat="1">
      <c r="A29" s="1589" t="s">
        <v>1283</v>
      </c>
      <c r="B29" s="1590" t="str">
        <f>'预评函-2'!B13</f>
        <v>——</v>
      </c>
    </row>
    <row r="30" spans="1:2" s="1591" customFormat="1">
      <c r="A30" s="1589" t="s">
        <v>1284</v>
      </c>
      <c r="B30" s="1590" t="str">
        <f>'预评函-2'!D13</f>
        <v>——</v>
      </c>
    </row>
    <row r="31" spans="1:2" s="1591" customFormat="1">
      <c r="A31" s="1589" t="s">
        <v>1266</v>
      </c>
      <c r="B31" s="1590" t="e">
        <f>'预评函-2'!D15</f>
        <v>#VALUE!</v>
      </c>
    </row>
    <row r="32" spans="1:2" s="1591" customFormat="1">
      <c r="A32" s="1589" t="s">
        <v>1233</v>
      </c>
      <c r="B32" s="1590" t="e">
        <f>'预评函-2'!D14</f>
        <v>#VALUE!</v>
      </c>
    </row>
    <row r="33" spans="1:2" s="1591" customFormat="1">
      <c r="A33" s="1589" t="s">
        <v>1268</v>
      </c>
      <c r="B33" s="1590" t="str">
        <f>'预评函-2'!B16</f>
        <v>3.抵押担保权已注销时的房地产抵押价值</v>
      </c>
    </row>
    <row r="34" spans="1:2" s="1591" customFormat="1">
      <c r="A34" s="1589" t="s">
        <v>1286</v>
      </c>
      <c r="B34" s="1590">
        <f ca="1">'预评函-2'!D16</f>
        <v>465317</v>
      </c>
    </row>
    <row r="35" spans="1:2" s="1591" customFormat="1">
      <c r="A35" s="1589" t="s">
        <v>1267</v>
      </c>
      <c r="B35" s="1590">
        <f ca="1">'预评函-2'!D18</f>
        <v>37604</v>
      </c>
    </row>
    <row r="36" spans="1:2" s="1591" customFormat="1">
      <c r="A36" s="1589" t="s">
        <v>1234</v>
      </c>
      <c r="B36" s="1590" t="str">
        <f ca="1">'预评函-2'!D17</f>
        <v>肆拾陆亿伍仟叁佰壹拾柒万元整</v>
      </c>
    </row>
    <row r="37" spans="1:2" s="1591" customFormat="1">
      <c r="A37" s="1589" t="s">
        <v>1269</v>
      </c>
      <c r="B37" s="1590" t="str">
        <f>'预评函-2'!B19</f>
        <v>——</v>
      </c>
    </row>
    <row r="38" spans="1:2" s="1591" customFormat="1">
      <c r="A38" s="1589" t="s">
        <v>1287</v>
      </c>
      <c r="B38" s="1590" t="str">
        <f>'预评函-2'!D19</f>
        <v>——</v>
      </c>
    </row>
    <row r="39" spans="1:2" s="1591" customFormat="1">
      <c r="A39" s="1589" t="s">
        <v>1235</v>
      </c>
      <c r="B39" s="1590" t="str">
        <f>'预评函-2'!D21</f>
        <v>——</v>
      </c>
    </row>
    <row r="40" spans="1:2" s="1591" customFormat="1">
      <c r="A40" s="1589" t="s">
        <v>1236</v>
      </c>
      <c r="B40" s="1590" t="e">
        <f>'预评函-2'!D20</f>
        <v>#VALUE!</v>
      </c>
    </row>
    <row r="41" spans="1:2" s="1591" customFormat="1">
      <c r="A41" s="1589" t="s">
        <v>1282</v>
      </c>
      <c r="B41" s="1590" t="str">
        <f>'预评函-3'!A4</f>
        <v>北京市大兴区旧宫镇出让国有建设用地使用权及在建建筑物房地产</v>
      </c>
    </row>
    <row r="42" spans="1:2" s="1591" customFormat="1">
      <c r="A42" s="1589" t="s">
        <v>1280</v>
      </c>
      <c r="B42" s="1590" t="str">
        <f>'预评函-3'!B2</f>
        <v>建筑面积</v>
      </c>
    </row>
    <row r="43" spans="1:2" s="1591" customFormat="1">
      <c r="A43" s="1589" t="s">
        <v>1281</v>
      </c>
      <c r="B43" s="1590">
        <f>'预评函-3'!B4</f>
        <v>123740.26</v>
      </c>
    </row>
    <row r="44" spans="1:2" s="1591" customFormat="1">
      <c r="A44" s="1589" t="s">
        <v>1265</v>
      </c>
      <c r="B44" s="1590" t="str">
        <f>'预评函-3'!C2</f>
        <v>(分摊)土地面积</v>
      </c>
    </row>
    <row r="45" spans="1:2" s="1591" customFormat="1">
      <c r="A45" s="1589" t="s">
        <v>1237</v>
      </c>
      <c r="B45" s="1590">
        <f>'预评函-3'!C4</f>
        <v>34567.79</v>
      </c>
    </row>
    <row r="46" spans="1:2" s="1591" customFormat="1">
      <c r="A46" s="1589" t="s">
        <v>1263</v>
      </c>
      <c r="B46" s="1590" t="str">
        <f>'预评函-3'!D2</f>
        <v>出让国有建设用地使用权价值</v>
      </c>
    </row>
    <row r="47" spans="1:2" s="1591" customFormat="1">
      <c r="A47" s="1589" t="s">
        <v>1238</v>
      </c>
      <c r="B47" s="1590">
        <f ca="1">'预评函-3'!D4</f>
        <v>408083</v>
      </c>
    </row>
    <row r="48" spans="1:2" s="1591" customFormat="1">
      <c r="A48" s="1589" t="s">
        <v>1239</v>
      </c>
      <c r="B48" s="1590">
        <f ca="1">'预评函-3'!E4</f>
        <v>32979</v>
      </c>
    </row>
    <row r="49" spans="1:2" s="1591" customFormat="1">
      <c r="A49" s="1589" t="s">
        <v>1240</v>
      </c>
      <c r="B49" s="1590" t="str">
        <f ca="1">'预评函-3'!D5</f>
        <v>肆拾亿捌仟零捌拾叁万元整</v>
      </c>
    </row>
    <row r="50" spans="1:2" s="1591" customFormat="1">
      <c r="A50" s="1589" t="s">
        <v>1264</v>
      </c>
      <c r="B50" s="1590" t="str">
        <f>'预评函-3'!F2</f>
        <v>在建建筑物价值</v>
      </c>
    </row>
    <row r="51" spans="1:2" s="1591" customFormat="1">
      <c r="A51" s="1589" t="s">
        <v>1241</v>
      </c>
      <c r="B51" s="1590">
        <f ca="1">'预评函-3'!F4</f>
        <v>57234</v>
      </c>
    </row>
    <row r="52" spans="1:2" s="1591" customFormat="1">
      <c r="A52" s="1589" t="s">
        <v>1242</v>
      </c>
      <c r="B52" s="1590">
        <f ca="1">'预评函-3'!G4</f>
        <v>4625</v>
      </c>
    </row>
    <row r="53" spans="1:2" s="1591" customFormat="1">
      <c r="A53" s="1589" t="s">
        <v>1270</v>
      </c>
      <c r="B53" s="1590" t="str">
        <f ca="1">'预评函-3'!F5</f>
        <v>伍亿柒仟贰佰叁拾肆万元整</v>
      </c>
    </row>
    <row r="54" spans="1:2" s="1591" customFormat="1">
      <c r="A54" s="1589" t="s">
        <v>1288</v>
      </c>
      <c r="B54" s="1590" t="str">
        <f>'预评函-3'!A8</f>
        <v/>
      </c>
    </row>
    <row r="55" spans="1:2" s="1591" customFormat="1">
      <c r="A55" s="1589" t="s">
        <v>1271</v>
      </c>
      <c r="B55" s="1590" t="str">
        <f>'预评函-3'!A10</f>
        <v>抵押担保权已注销时的房地产抵押价值</v>
      </c>
    </row>
    <row r="56" spans="1:2" s="1591" customFormat="1">
      <c r="A56" s="1589" t="s">
        <v>1272</v>
      </c>
      <c r="B56" s="1590" t="str">
        <f>'预评函-3'!A12</f>
        <v/>
      </c>
    </row>
    <row r="57" spans="1:2" s="1585" customFormat="1" ht="15" thickBot="1">
      <c r="A57" s="1592" t="s">
        <v>1289</v>
      </c>
      <c r="B57" s="1593" t="str">
        <f>'预评函-3'!A6</f>
        <v>估价师知悉的法定优先受偿款</v>
      </c>
    </row>
    <row r="58" spans="1:2" s="1588" customFormat="1" ht="15" thickTop="1">
      <c r="A58" s="1586" t="s">
        <v>1243</v>
      </c>
      <c r="B58" s="1587" t="str">
        <f>'预评函-4'!A12</f>
        <v>2.本《评估意见函》仅供金融机构进行内部审核使用，不做其他目的之用。</v>
      </c>
    </row>
    <row r="59" spans="1:2" s="1591" customFormat="1">
      <c r="A59" s="1589" t="s">
        <v>1244</v>
      </c>
      <c r="B59" s="1590" t="str">
        <f>'预评函-4'!A13</f>
        <v>3.抵押双方在办理抵押登记手续时，应使用本公司出具的正式《房地产评估报告》，特提醒报告使用者注意。</v>
      </c>
    </row>
    <row r="60" spans="1:2" s="1591" customFormat="1">
      <c r="A60" s="1589" t="s">
        <v>1245</v>
      </c>
      <c r="B60" s="1590" t="str">
        <f>'预评函-4'!A14</f>
        <v>4.本次评估估价师所知悉的法定优先受偿款情况说明如下：</v>
      </c>
    </row>
    <row r="61" spans="1:2" s="1591" customFormat="1">
      <c r="A61" s="1589" t="s">
        <v>1246</v>
      </c>
      <c r="B61" s="15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1247</v>
      </c>
      <c r="B62" s="1590" t="str">
        <f>'预评函-4'!A16</f>
        <v>（2）根据《工程款支付情况说明》，截至价值时点，估价对象不存在应付未付工程款项。（只要没有施工方盖章的，均“设定”进行表述）</v>
      </c>
    </row>
    <row r="63" spans="1:2" s="1591" customFormat="1">
      <c r="A63" s="1589" t="s">
        <v>1248</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1260</v>
      </c>
      <c r="B64" s="1590" t="str">
        <f>'预评函-4'!A18</f>
        <v>故，本次评估不存在估价师知悉的法定优先受偿款</v>
      </c>
    </row>
    <row r="65" spans="1:2" s="1591" customFormat="1">
      <c r="A65" s="1589" t="s">
        <v>1249</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1250</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1261</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1262</v>
      </c>
      <c r="B68" s="1590" t="str">
        <f>'预评函-4'!A22</f>
        <v>8.其他需特殊说明事项：无（注意调整序号）</v>
      </c>
    </row>
    <row r="69" spans="1:2" s="1585" customFormat="1" ht="15" thickBot="1">
      <c r="A69" s="1592" t="s">
        <v>1251</v>
      </c>
      <c r="B69" s="1594">
        <f>'预评函-4'!C31</f>
        <v>42551</v>
      </c>
    </row>
    <row r="70" spans="1:2" ht="15" thickTop="1">
      <c r="A70" s="1595" t="s">
        <v>1252</v>
      </c>
      <c r="B70" s="1596" t="str">
        <f>'预评函-4'!A4</f>
        <v>郑燚</v>
      </c>
    </row>
    <row r="71" spans="1:2">
      <c r="A71" s="1589" t="s">
        <v>1253</v>
      </c>
      <c r="B71" s="1590">
        <f ca="1">'预评函-4'!B4</f>
        <v>0</v>
      </c>
    </row>
    <row r="72" spans="1:2">
      <c r="A72" s="1589" t="s">
        <v>1254</v>
      </c>
      <c r="B72" s="1598" t="str">
        <f>'预评函-4'!A5</f>
        <v>崔锴</v>
      </c>
    </row>
    <row r="73" spans="1:2" s="1585" customFormat="1" ht="15" thickBot="1">
      <c r="A73" s="1592" t="s">
        <v>1255</v>
      </c>
      <c r="B73" s="1593">
        <f ca="1">'预评函-4'!B5</f>
        <v>0</v>
      </c>
    </row>
    <row r="74" spans="1:2" ht="15" thickTop="1">
      <c r="A74" s="1582" t="s">
        <v>1291</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7.7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1682</v>
      </c>
      <c r="C1" s="2007" t="s">
        <v>758</v>
      </c>
      <c r="D1" s="2008" t="s">
        <v>1683</v>
      </c>
      <c r="E1" s="2008" t="s">
        <v>1684</v>
      </c>
      <c r="F1" s="2008" t="s">
        <v>1685</v>
      </c>
      <c r="G1" s="2008" t="s">
        <v>1686</v>
      </c>
      <c r="H1" s="2008" t="s">
        <v>1687</v>
      </c>
      <c r="I1" s="2008" t="s">
        <v>1688</v>
      </c>
      <c r="J1" s="2008" t="s">
        <v>1689</v>
      </c>
      <c r="K1" s="2008" t="s">
        <v>1690</v>
      </c>
      <c r="L1" s="2008" t="s">
        <v>1691</v>
      </c>
      <c r="M1" s="2008" t="s">
        <v>1692</v>
      </c>
      <c r="N1" s="2008" t="s">
        <v>1693</v>
      </c>
      <c r="O1" s="2008" t="s">
        <v>1694</v>
      </c>
      <c r="P1" s="2009" t="s">
        <v>753</v>
      </c>
      <c r="Q1" s="2009" t="s">
        <v>1140</v>
      </c>
      <c r="R1" s="2008" t="s">
        <v>1134</v>
      </c>
      <c r="S1" s="2008" t="s">
        <v>1695</v>
      </c>
      <c r="T1" s="2010" t="s">
        <v>1696</v>
      </c>
      <c r="U1" s="2008" t="s">
        <v>1697</v>
      </c>
      <c r="V1" s="2008" t="s">
        <v>1698</v>
      </c>
      <c r="W1" s="2008" t="s">
        <v>755</v>
      </c>
    </row>
    <row r="2" spans="1:23">
      <c r="A2" s="2012" t="s">
        <v>22</v>
      </c>
      <c r="B2" s="2955" t="s">
        <v>3008</v>
      </c>
      <c r="C2" s="2013" t="s">
        <v>759</v>
      </c>
      <c r="D2" s="2014" t="s">
        <v>1700</v>
      </c>
      <c r="E2" s="2014" t="s">
        <v>1701</v>
      </c>
      <c r="F2" s="2014" t="s">
        <v>1702</v>
      </c>
      <c r="G2" s="2014">
        <v>40</v>
      </c>
      <c r="H2" s="2014" t="s">
        <v>1702</v>
      </c>
      <c r="I2" s="2014" t="s">
        <v>1703</v>
      </c>
      <c r="J2" s="2014" t="s">
        <v>1704</v>
      </c>
      <c r="K2" s="2014" t="s">
        <v>1705</v>
      </c>
      <c r="L2" s="2014" t="s">
        <v>1705</v>
      </c>
      <c r="M2" s="2014" t="s">
        <v>1705</v>
      </c>
      <c r="N2" s="2014" t="s">
        <v>1705</v>
      </c>
      <c r="O2" s="2014" t="s">
        <v>1705</v>
      </c>
      <c r="P2" s="2014" t="s">
        <v>1705</v>
      </c>
      <c r="Q2" s="2014" t="s">
        <v>1705</v>
      </c>
      <c r="R2" s="2014" t="s">
        <v>1136</v>
      </c>
      <c r="S2" s="2014" t="s">
        <v>1705</v>
      </c>
      <c r="T2" s="2014" t="s">
        <v>1706</v>
      </c>
      <c r="U2" s="2014" t="s">
        <v>1705</v>
      </c>
      <c r="V2" s="2014" t="s">
        <v>1707</v>
      </c>
      <c r="W2" s="2014" t="s">
        <v>1705</v>
      </c>
    </row>
    <row r="3" spans="1:23">
      <c r="A3" s="2015" t="s">
        <v>3005</v>
      </c>
      <c r="B3" s="2012" t="s">
        <v>1699</v>
      </c>
      <c r="C3" s="2016" t="s">
        <v>760</v>
      </c>
      <c r="D3" s="2014" t="s">
        <v>1708</v>
      </c>
      <c r="E3" s="2014" t="s">
        <v>16</v>
      </c>
      <c r="F3" s="2014" t="s">
        <v>1709</v>
      </c>
      <c r="G3" s="2014">
        <v>50</v>
      </c>
      <c r="H3" s="2014" t="s">
        <v>1709</v>
      </c>
      <c r="I3" s="2014" t="s">
        <v>1710</v>
      </c>
      <c r="J3" s="2014" t="s">
        <v>1711</v>
      </c>
      <c r="K3" s="2014" t="s">
        <v>1712</v>
      </c>
      <c r="L3" s="2014" t="s">
        <v>1712</v>
      </c>
      <c r="M3" s="2014" t="s">
        <v>1712</v>
      </c>
      <c r="N3" s="2014" t="s">
        <v>1712</v>
      </c>
      <c r="O3" s="2014" t="s">
        <v>1712</v>
      </c>
      <c r="P3" s="2014" t="s">
        <v>1712</v>
      </c>
      <c r="Q3" s="2014" t="s">
        <v>1712</v>
      </c>
      <c r="R3" s="2014" t="s">
        <v>1135</v>
      </c>
      <c r="S3" s="2014" t="s">
        <v>1712</v>
      </c>
      <c r="T3" s="2014" t="s">
        <v>1713</v>
      </c>
      <c r="U3" s="2014" t="s">
        <v>1712</v>
      </c>
      <c r="V3" s="2014" t="s">
        <v>1714</v>
      </c>
      <c r="W3" s="2014" t="s">
        <v>1712</v>
      </c>
    </row>
    <row r="4" spans="1:23">
      <c r="A4" s="2954" t="s">
        <v>3007</v>
      </c>
      <c r="B4" s="2012" t="s">
        <v>1715</v>
      </c>
      <c r="C4" s="2013" t="s">
        <v>761</v>
      </c>
      <c r="D4" s="2014" t="s">
        <v>864</v>
      </c>
      <c r="E4" s="2014" t="s">
        <v>1716</v>
      </c>
      <c r="F4" s="2014" t="s">
        <v>1717</v>
      </c>
      <c r="G4" s="2014">
        <v>70</v>
      </c>
      <c r="H4" s="2014" t="s">
        <v>1717</v>
      </c>
      <c r="I4" s="2014" t="s">
        <v>1718</v>
      </c>
      <c r="K4" s="2014" t="s">
        <v>1719</v>
      </c>
      <c r="L4" s="2014" t="s">
        <v>1719</v>
      </c>
      <c r="M4" s="2014" t="s">
        <v>1719</v>
      </c>
      <c r="N4" s="2014" t="s">
        <v>1719</v>
      </c>
      <c r="O4" s="2014" t="s">
        <v>1719</v>
      </c>
      <c r="P4" s="2014" t="s">
        <v>1719</v>
      </c>
      <c r="Q4" s="2014" t="s">
        <v>1719</v>
      </c>
      <c r="R4" s="2014" t="s">
        <v>1137</v>
      </c>
      <c r="S4" s="2014" t="s">
        <v>1719</v>
      </c>
      <c r="T4" s="2014" t="s">
        <v>1720</v>
      </c>
      <c r="U4" s="2014" t="s">
        <v>1719</v>
      </c>
      <c r="W4" s="2014" t="s">
        <v>1719</v>
      </c>
    </row>
    <row r="5" spans="1:23">
      <c r="A5" s="2012" t="s">
        <v>3042</v>
      </c>
      <c r="B5" s="2015" t="s">
        <v>3047</v>
      </c>
      <c r="C5" s="2013" t="s">
        <v>762</v>
      </c>
      <c r="F5" s="2014" t="s">
        <v>1721</v>
      </c>
      <c r="H5" s="2014" t="s">
        <v>1722</v>
      </c>
      <c r="I5" s="2014" t="s">
        <v>1723</v>
      </c>
      <c r="K5" s="2014" t="s">
        <v>1724</v>
      </c>
      <c r="L5" s="2014" t="s">
        <v>1724</v>
      </c>
      <c r="M5" s="2014" t="s">
        <v>1724</v>
      </c>
      <c r="N5" s="2014" t="s">
        <v>1724</v>
      </c>
      <c r="O5" s="2014" t="s">
        <v>1724</v>
      </c>
      <c r="P5" s="2014" t="s">
        <v>1724</v>
      </c>
      <c r="Q5" s="2014" t="s">
        <v>1724</v>
      </c>
      <c r="R5" s="2014" t="s">
        <v>1138</v>
      </c>
      <c r="S5" s="2014" t="s">
        <v>1724</v>
      </c>
      <c r="T5" s="2014" t="s">
        <v>1725</v>
      </c>
      <c r="U5" s="2014" t="s">
        <v>1724</v>
      </c>
      <c r="W5" s="2014" t="s">
        <v>1724</v>
      </c>
    </row>
    <row r="6" spans="1:23">
      <c r="A6" s="2954" t="s">
        <v>3044</v>
      </c>
      <c r="B6" s="2012" t="s">
        <v>1732</v>
      </c>
      <c r="C6" s="2018" t="s">
        <v>30</v>
      </c>
      <c r="F6" s="2014" t="s">
        <v>1722</v>
      </c>
      <c r="H6" s="2014" t="s">
        <v>1726</v>
      </c>
      <c r="I6" s="2014" t="s">
        <v>1727</v>
      </c>
      <c r="K6" s="2014" t="s">
        <v>1728</v>
      </c>
      <c r="L6" s="2014" t="s">
        <v>1728</v>
      </c>
      <c r="M6" s="2014" t="s">
        <v>1728</v>
      </c>
      <c r="N6" s="2014" t="s">
        <v>1728</v>
      </c>
      <c r="O6" s="2014" t="s">
        <v>1728</v>
      </c>
      <c r="P6" s="2014" t="s">
        <v>1728</v>
      </c>
      <c r="Q6" s="2014" t="s">
        <v>1728</v>
      </c>
      <c r="R6" s="2014" t="s">
        <v>1139</v>
      </c>
      <c r="S6" s="2014" t="s">
        <v>1728</v>
      </c>
      <c r="T6" s="2014"/>
      <c r="U6" s="2014" t="s">
        <v>1728</v>
      </c>
      <c r="W6" s="2014" t="s">
        <v>1728</v>
      </c>
    </row>
    <row r="7" spans="1:23">
      <c r="A7" s="2015" t="s">
        <v>3003</v>
      </c>
      <c r="B7" s="2015" t="s">
        <v>3256</v>
      </c>
      <c r="C7" s="2013" t="s">
        <v>31</v>
      </c>
      <c r="F7" s="2014" t="s">
        <v>1729</v>
      </c>
      <c r="H7" s="2014" t="s">
        <v>1730</v>
      </c>
      <c r="I7" s="2014" t="s">
        <v>1731</v>
      </c>
    </row>
    <row r="8" spans="1:23">
      <c r="A8" s="2012"/>
      <c r="B8" s="2012" t="s">
        <v>1736</v>
      </c>
      <c r="C8" s="2013" t="s">
        <v>763</v>
      </c>
      <c r="F8" s="2014" t="s">
        <v>1733</v>
      </c>
      <c r="H8" s="2014"/>
      <c r="I8" s="2014" t="s">
        <v>1734</v>
      </c>
    </row>
    <row r="9" spans="1:23">
      <c r="A9" s="2012"/>
      <c r="B9" s="2015" t="s">
        <v>3258</v>
      </c>
      <c r="C9" s="2013" t="s">
        <v>764</v>
      </c>
      <c r="F9" s="2014" t="s">
        <v>1735</v>
      </c>
      <c r="H9" s="2014"/>
    </row>
    <row r="10" spans="1:23">
      <c r="A10" s="2012"/>
      <c r="B10" s="2955"/>
      <c r="C10" s="2013" t="s">
        <v>765</v>
      </c>
      <c r="F10" s="2014" t="s">
        <v>16</v>
      </c>
    </row>
    <row r="11" spans="1:23">
      <c r="A11" s="2012"/>
      <c r="B11" s="2012"/>
      <c r="C11" s="2013" t="s">
        <v>766</v>
      </c>
    </row>
    <row r="12" spans="1:23">
      <c r="A12" s="2012"/>
      <c r="B12" s="2012"/>
      <c r="C12" s="2013" t="s">
        <v>767</v>
      </c>
    </row>
    <row r="13" spans="1:23">
      <c r="A13" s="2012"/>
      <c r="B13" s="2956"/>
      <c r="C13" s="2013" t="s">
        <v>768</v>
      </c>
    </row>
    <row r="14" spans="1:23">
      <c r="A14" s="2012"/>
      <c r="B14" s="2955"/>
      <c r="C14" s="2014" t="s">
        <v>16</v>
      </c>
    </row>
    <row r="15" spans="1:23">
      <c r="A15" s="2012"/>
      <c r="B15" s="2012"/>
      <c r="C15" s="2013"/>
    </row>
    <row r="16" spans="1:23">
      <c r="A16" s="2012"/>
      <c r="B16" s="2012"/>
      <c r="C16" s="2013"/>
    </row>
    <row r="17" spans="1:3">
      <c r="A17" s="2012"/>
      <c r="B17" s="2012" t="s">
        <v>756</v>
      </c>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06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0"/>
      <c r="B54" s="2020" t="s">
        <v>860</v>
      </c>
      <c r="C54" s="2017" t="s">
        <v>1273</v>
      </c>
    </row>
    <row r="55" spans="1:4">
      <c r="A55" s="3060"/>
      <c r="B55" s="2020" t="s">
        <v>861</v>
      </c>
      <c r="C55" s="2017" t="s">
        <v>1274</v>
      </c>
    </row>
    <row r="56" spans="1:4">
      <c r="A56" s="3060"/>
      <c r="B56" s="2020" t="s">
        <v>862</v>
      </c>
      <c r="C56" s="2017" t="s">
        <v>1278</v>
      </c>
    </row>
    <row r="57" spans="1:4">
      <c r="A57" s="3060"/>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1" sqref="M11"/>
    </sheetView>
  </sheetViews>
  <sheetFormatPr defaultColWidth="10" defaultRowHeight="18" customHeight="1"/>
  <cols>
    <col min="1" max="1" width="14.875" style="2030" customWidth="1"/>
    <col min="2" max="2" width="10.875" style="2030" customWidth="1"/>
    <col min="3" max="3" width="11.5" style="2030" customWidth="1"/>
    <col min="4" max="4" width="11.1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1737</v>
      </c>
      <c r="B1" s="3069"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70"/>
      <c r="D1" s="3070"/>
      <c r="E1" s="3070"/>
      <c r="F1" s="3070"/>
      <c r="G1" s="3070"/>
      <c r="H1" s="3070"/>
      <c r="I1" s="307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4" t="s">
        <v>1738</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3" t="s">
        <v>1739</v>
      </c>
      <c r="B3" s="2034">
        <v>43926</v>
      </c>
      <c r="C3" s="2035" t="s">
        <v>1740</v>
      </c>
      <c r="D3" s="2034">
        <f>B3</f>
        <v>43926</v>
      </c>
      <c r="E3" s="2024"/>
      <c r="F3" s="2024"/>
      <c r="G3" s="2024"/>
      <c r="H3" s="2024"/>
      <c r="I3" s="2024"/>
      <c r="J3" s="2024"/>
      <c r="K3" s="2025"/>
      <c r="L3" s="2026"/>
      <c r="M3" s="2026"/>
      <c r="N3" s="2027"/>
      <c r="O3" s="2028"/>
      <c r="P3" s="2027"/>
      <c r="Q3" s="2027"/>
      <c r="R3" s="2027"/>
      <c r="S3" s="2029"/>
    </row>
    <row r="4" spans="1:19" ht="18" customHeight="1" thickBot="1">
      <c r="A4" s="2036" t="s">
        <v>1741</v>
      </c>
      <c r="B4" s="2037" t="s">
        <v>3009</v>
      </c>
      <c r="C4" s="1036">
        <f ca="1">SUMIF(注册房地产估价师,B4,估价师及机构信息!B3:B24)</f>
        <v>0</v>
      </c>
      <c r="D4" s="2037" t="s">
        <v>3010</v>
      </c>
      <c r="E4" s="1037">
        <f ca="1">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郑燚（注册号：0)、崔锴（注册号：0)</v>
      </c>
      <c r="L4" s="2026"/>
      <c r="M4" s="2026"/>
      <c r="N4" s="2027"/>
      <c r="O4" s="2028"/>
      <c r="P4" s="2027"/>
      <c r="Q4" s="2027"/>
      <c r="R4" s="2027"/>
      <c r="S4" s="2029"/>
    </row>
    <row r="5" spans="1:19" ht="18" customHeight="1" thickTop="1" thickBot="1">
      <c r="A5" s="2042" t="s">
        <v>1742</v>
      </c>
      <c r="B5" s="2957" t="s">
        <v>3017</v>
      </c>
      <c r="C5" s="2958"/>
      <c r="D5" s="2043"/>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4" t="s">
        <v>1743</v>
      </c>
      <c r="B6" s="2957" t="s">
        <v>3017</v>
      </c>
      <c r="C6" s="2045"/>
      <c r="D6" s="2046"/>
      <c r="E6" s="2032"/>
      <c r="F6" s="2040"/>
      <c r="G6" s="2040"/>
      <c r="H6" s="2040"/>
      <c r="I6" s="2040"/>
      <c r="J6" s="2040"/>
      <c r="K6" s="2047" t="str">
        <f>IF(COUNTIF(B6,"*上海银行*"),"上海银行","")</f>
        <v/>
      </c>
      <c r="L6" s="2026"/>
      <c r="M6" s="2026"/>
      <c r="N6" s="2027"/>
      <c r="O6" s="2028"/>
      <c r="P6" s="2027"/>
      <c r="Q6" s="2027"/>
      <c r="R6" s="2027"/>
    </row>
    <row r="7" spans="1:19" ht="18" customHeight="1">
      <c r="A7" s="2044" t="s">
        <v>1744</v>
      </c>
      <c r="B7" s="2959" t="s">
        <v>3018</v>
      </c>
      <c r="C7" s="2045"/>
      <c r="D7" s="2046"/>
      <c r="E7" s="2032"/>
      <c r="F7" s="2040"/>
      <c r="G7" s="2040"/>
      <c r="H7" s="2040"/>
      <c r="I7" s="2040"/>
      <c r="J7" s="2040"/>
      <c r="K7" s="2048"/>
      <c r="L7" s="2026"/>
      <c r="M7" s="2026"/>
      <c r="N7" s="2027"/>
      <c r="O7" s="2028"/>
      <c r="P7" s="2027"/>
      <c r="Q7" s="2027"/>
      <c r="R7" s="2027"/>
    </row>
    <row r="8" spans="1:19" ht="18" customHeight="1">
      <c r="A8" s="2044" t="s">
        <v>1745</v>
      </c>
      <c r="B8" s="2049" t="s">
        <v>3019</v>
      </c>
      <c r="C8" s="2050"/>
      <c r="D8" s="3072" t="s">
        <v>1746</v>
      </c>
      <c r="E8" s="2051" t="s">
        <v>3021</v>
      </c>
      <c r="F8" s="2052"/>
      <c r="G8" s="2024"/>
      <c r="H8" s="2024"/>
      <c r="I8" s="2024"/>
      <c r="J8" s="2040"/>
      <c r="K8" s="2041"/>
      <c r="L8" s="2026"/>
      <c r="M8" s="2026"/>
      <c r="N8" s="2027"/>
      <c r="O8" s="2028"/>
      <c r="P8" s="2027"/>
      <c r="Q8" s="2027"/>
      <c r="R8" s="2027"/>
    </row>
    <row r="9" spans="1:19" ht="18" customHeight="1" thickBot="1">
      <c r="A9" s="2038" t="s">
        <v>1747</v>
      </c>
      <c r="B9" s="2053" t="s">
        <v>3020</v>
      </c>
      <c r="C9" s="2054"/>
      <c r="D9" s="3073"/>
      <c r="E9" s="2053" t="s">
        <v>70</v>
      </c>
      <c r="F9" s="2055"/>
      <c r="G9" s="2056"/>
      <c r="H9" s="2056"/>
      <c r="I9" s="2056"/>
      <c r="J9" s="2040"/>
      <c r="K9" s="2048"/>
      <c r="L9" s="2026"/>
      <c r="M9" s="2026"/>
      <c r="N9" s="2027"/>
      <c r="O9" s="2028"/>
      <c r="P9" s="2027"/>
      <c r="Q9" s="2027"/>
      <c r="R9" s="2027"/>
    </row>
    <row r="10" spans="1:19" ht="18" customHeight="1" thickTop="1">
      <c r="A10" s="2057" t="s">
        <v>1748</v>
      </c>
      <c r="B10" s="2058" t="s">
        <v>3015</v>
      </c>
      <c r="C10" s="2059"/>
      <c r="D10" s="2043"/>
      <c r="E10" s="2060" t="s">
        <v>1749</v>
      </c>
      <c r="F10" s="2960" t="s">
        <v>3022</v>
      </c>
      <c r="G10" s="2061"/>
      <c r="H10" s="2062"/>
      <c r="I10" s="2043"/>
      <c r="J10" s="2040"/>
      <c r="K10" s="2048"/>
      <c r="L10" s="2026"/>
      <c r="M10" s="2026"/>
      <c r="N10" s="2027"/>
      <c r="O10" s="2028"/>
      <c r="P10" s="2027"/>
      <c r="Q10" s="2027"/>
      <c r="R10" s="2027"/>
    </row>
    <row r="11" spans="1:19" ht="18" customHeight="1">
      <c r="A11" s="2063" t="s">
        <v>1750</v>
      </c>
      <c r="B11" s="2064" t="s">
        <v>3016</v>
      </c>
      <c r="C11" s="2065"/>
      <c r="D11" s="2066"/>
      <c r="E11" s="2040"/>
      <c r="F11" s="2040"/>
      <c r="G11" s="2040"/>
      <c r="H11" s="2040"/>
      <c r="I11" s="2040"/>
      <c r="J11" s="2040"/>
      <c r="K11" s="2048"/>
      <c r="L11" s="2026"/>
      <c r="M11" s="2026"/>
      <c r="N11" s="2027"/>
      <c r="O11" s="2028"/>
      <c r="P11" s="2027"/>
      <c r="Q11" s="2027"/>
      <c r="R11" s="2027"/>
    </row>
    <row r="12" spans="1:19" ht="18" customHeight="1">
      <c r="A12" s="2067" t="s">
        <v>1751</v>
      </c>
      <c r="B12" s="2064" t="s">
        <v>3023</v>
      </c>
      <c r="C12" s="2068" t="s">
        <v>1752</v>
      </c>
      <c r="D12" s="2069" t="s">
        <v>1753</v>
      </c>
      <c r="E12" s="2069" t="s">
        <v>1754</v>
      </c>
      <c r="F12" s="2069" t="s">
        <v>1755</v>
      </c>
      <c r="G12" s="2069" t="s">
        <v>1756</v>
      </c>
      <c r="H12" s="2069" t="s">
        <v>1757</v>
      </c>
      <c r="I12" s="2069" t="s">
        <v>1758</v>
      </c>
      <c r="J12" s="2040"/>
      <c r="K12" s="2048"/>
      <c r="L12" s="2026"/>
      <c r="M12" s="2026"/>
      <c r="N12" s="2027"/>
      <c r="O12" s="2028"/>
      <c r="P12" s="2027"/>
      <c r="Q12" s="2027"/>
      <c r="R12" s="2027"/>
    </row>
    <row r="13" spans="1:19" ht="18" customHeight="1">
      <c r="A13" s="2070"/>
      <c r="B13" s="2071"/>
      <c r="C13" s="2072" t="s">
        <v>1759</v>
      </c>
      <c r="D13" s="2073">
        <v>67954</v>
      </c>
      <c r="E13" s="2073"/>
      <c r="F13" s="2073"/>
      <c r="G13" s="2073">
        <v>60649</v>
      </c>
      <c r="H13" s="2073">
        <v>60649</v>
      </c>
      <c r="I13" s="1046"/>
      <c r="J13" s="2040"/>
      <c r="K13" s="2048"/>
      <c r="L13" s="2026"/>
      <c r="M13" s="2026"/>
      <c r="N13" s="2027"/>
      <c r="O13" s="2028"/>
      <c r="P13" s="2027"/>
      <c r="Q13" s="2027"/>
      <c r="R13" s="2027"/>
    </row>
    <row r="14" spans="1:19" ht="18" customHeight="1">
      <c r="A14" s="2070"/>
      <c r="B14" s="2071"/>
      <c r="C14" s="2072" t="s">
        <v>1760</v>
      </c>
      <c r="D14" s="1049">
        <v>70</v>
      </c>
      <c r="E14" s="1049"/>
      <c r="F14" s="1049"/>
      <c r="G14" s="1049">
        <v>50</v>
      </c>
      <c r="H14" s="1049">
        <v>50</v>
      </c>
      <c r="I14" s="1049"/>
      <c r="J14" s="2040"/>
      <c r="K14" s="2074"/>
      <c r="L14" s="2026"/>
      <c r="M14" s="2026"/>
      <c r="N14" s="2027"/>
      <c r="O14" s="2028"/>
      <c r="P14" s="2027"/>
      <c r="Q14" s="2027"/>
      <c r="R14" s="2027"/>
    </row>
    <row r="15" spans="1:19" ht="18" customHeight="1">
      <c r="A15" s="2057"/>
      <c r="B15" s="2075"/>
      <c r="C15" s="2072" t="s">
        <v>1761</v>
      </c>
      <c r="D15" s="1048">
        <f>IF(B12="出让",IF(D13="","",ROUNDDOWN(MIN((D13-$D$3)/365,D14),2)),D14)</f>
        <v>65.83</v>
      </c>
      <c r="E15" s="1048" t="str">
        <f>IF(B12="出让",IF(E13="","",ROUNDDOWN(MIN((E13-$D$3)/365,E14),2)),E14)</f>
        <v/>
      </c>
      <c r="F15" s="1048" t="str">
        <f>IF(B12="出让",IF(F13="","",ROUNDDOWN(MIN((F13-$D$3)/365,F14),2)),F14)</f>
        <v/>
      </c>
      <c r="G15" s="1048">
        <f>IF(B12="出让",IF(G13="","",ROUNDDOWN(MIN((G13-$D$3)/365,G14),2)),G14)</f>
        <v>45.81</v>
      </c>
      <c r="H15" s="1048">
        <f>IF(B12="出让",IF(H13="","",ROUNDDOWN(MIN((H13-$D$3)/365,H14),2)),H14)</f>
        <v>45.81</v>
      </c>
      <c r="I15" s="1048" t="str">
        <f>IF(B12="出让",IF(I13="","",ROUNDDOWN(MIN((I13-$D$3)/365,I14),2)),I14)</f>
        <v/>
      </c>
      <c r="J15" s="2040"/>
      <c r="K15" s="2076"/>
      <c r="L15" s="2077"/>
      <c r="M15" s="2077"/>
      <c r="N15" s="2078"/>
      <c r="O15" s="2077"/>
      <c r="P15" s="2078"/>
      <c r="Q15" s="2027"/>
      <c r="R15" s="2027"/>
    </row>
    <row r="16" spans="1:19" ht="30.75" customHeight="1">
      <c r="A16" s="2060" t="s">
        <v>1762</v>
      </c>
      <c r="B16" s="3079"/>
      <c r="C16" s="3080"/>
      <c r="D16" s="3081"/>
      <c r="E16" s="2079" t="s">
        <v>1763</v>
      </c>
      <c r="F16" s="3082"/>
      <c r="G16" s="3083"/>
      <c r="H16" s="3083"/>
      <c r="I16" s="3084"/>
      <c r="J16" s="2027"/>
      <c r="K16" s="2076"/>
      <c r="L16" s="2077"/>
      <c r="M16" s="2077"/>
      <c r="N16" s="2078"/>
      <c r="O16" s="2077"/>
      <c r="P16" s="2078"/>
      <c r="Q16" s="2027"/>
      <c r="R16" s="2027"/>
    </row>
    <row r="17" spans="1:22" ht="18" customHeight="1">
      <c r="A17" s="2080" t="s">
        <v>1764</v>
      </c>
      <c r="B17" s="2033" t="s">
        <v>1765</v>
      </c>
      <c r="C17" s="1053">
        <f>'数据-汇总表'!E3</f>
        <v>123740.26</v>
      </c>
      <c r="D17" s="2081" t="s">
        <v>1766</v>
      </c>
      <c r="E17" s="3085" t="s">
        <v>3011</v>
      </c>
      <c r="F17" s="3086"/>
      <c r="G17" s="3086"/>
      <c r="H17" s="3086"/>
      <c r="I17" s="3087"/>
      <c r="J17" s="2027"/>
      <c r="K17" s="2082"/>
      <c r="L17" s="2077"/>
      <c r="M17" s="2077"/>
      <c r="N17" s="2078"/>
      <c r="O17" s="2077"/>
      <c r="P17" s="2078"/>
      <c r="Q17" s="2027"/>
      <c r="R17" s="2027"/>
      <c r="S17" s="2027"/>
      <c r="T17" s="2027"/>
      <c r="U17" s="2027"/>
      <c r="V17" s="2027"/>
    </row>
    <row r="18" spans="1:22" ht="36" customHeight="1" thickBot="1">
      <c r="A18" s="2083" t="s">
        <v>1767</v>
      </c>
      <c r="B18" s="2036" t="s">
        <v>1768</v>
      </c>
      <c r="C18" s="1443">
        <f>'数据-汇总表'!D3</f>
        <v>34567.79</v>
      </c>
      <c r="D18" s="2084" t="s">
        <v>1766</v>
      </c>
      <c r="E18" s="3088" t="s">
        <v>3012</v>
      </c>
      <c r="F18" s="3089"/>
      <c r="G18" s="3089"/>
      <c r="H18" s="3089"/>
      <c r="I18" s="3090"/>
      <c r="J18" s="2027"/>
      <c r="K18" s="2082"/>
      <c r="L18" s="2077"/>
      <c r="M18" s="2077"/>
      <c r="N18" s="2078"/>
      <c r="O18" s="2077"/>
      <c r="P18" s="2078"/>
      <c r="Q18" s="2027"/>
      <c r="R18" s="2027"/>
      <c r="S18" s="2027"/>
      <c r="T18" s="2027"/>
      <c r="U18" s="2027"/>
      <c r="V18" s="2027"/>
    </row>
    <row r="19" spans="1:22" ht="37.5" customHeight="1" thickTop="1" thickBot="1">
      <c r="A19" s="372" t="s">
        <v>1769</v>
      </c>
      <c r="B19" s="351" t="s">
        <v>1770</v>
      </c>
      <c r="C19" s="2085" t="s">
        <v>3013</v>
      </c>
      <c r="D19" s="2086" t="s">
        <v>1771</v>
      </c>
      <c r="E19" s="2087" t="s">
        <v>3014</v>
      </c>
      <c r="F19" s="2088" t="str">
        <f>IF(AND(C19="是",E19="否"),"是否提供他项权证或相关说明","")</f>
        <v>是否提供他项权证或相关说明</v>
      </c>
      <c r="G19" s="2089" t="s">
        <v>70</v>
      </c>
      <c r="H19" s="2040"/>
      <c r="I19" s="2040"/>
      <c r="J19" s="2040"/>
      <c r="K19" s="2048"/>
      <c r="L19" s="2026"/>
      <c r="M19" s="2026"/>
      <c r="N19" s="2078"/>
      <c r="O19" s="2077"/>
      <c r="P19" s="2078"/>
      <c r="Q19" s="2027"/>
      <c r="R19" s="2027"/>
      <c r="S19" s="2027"/>
      <c r="T19" s="2027"/>
      <c r="U19" s="2027"/>
      <c r="V19" s="2027"/>
    </row>
    <row r="20" spans="1:22" ht="18" customHeight="1">
      <c r="A20" s="2090" t="s">
        <v>1772</v>
      </c>
      <c r="B20" s="3075" t="s">
        <v>1773</v>
      </c>
      <c r="C20" s="3076"/>
      <c r="D20" s="3077" t="s">
        <v>1774</v>
      </c>
      <c r="E20" s="3078"/>
      <c r="F20" s="2091" t="s">
        <v>1775</v>
      </c>
      <c r="G20" s="2040"/>
      <c r="H20" s="2040"/>
      <c r="I20" s="2040"/>
      <c r="J20" s="2040"/>
      <c r="K20" s="3074" t="s">
        <v>1776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8"/>
      <c r="O20" s="2077"/>
      <c r="P20" s="2078"/>
      <c r="Q20" s="2027"/>
      <c r="R20" s="2027"/>
      <c r="S20" s="2027"/>
      <c r="T20" s="2027"/>
      <c r="U20" s="2027"/>
      <c r="V20" s="2027"/>
    </row>
    <row r="21" spans="1:22" ht="24.75" customHeight="1">
      <c r="A21" s="2090"/>
      <c r="B21" s="2092" t="s">
        <v>1777</v>
      </c>
      <c r="C21" s="2093" t="s">
        <v>1778</v>
      </c>
      <c r="D21" s="2094" t="s">
        <v>1779</v>
      </c>
      <c r="E21" s="2095" t="s">
        <v>70</v>
      </c>
      <c r="F21" s="2096"/>
      <c r="G21" s="2040"/>
      <c r="H21" s="2040"/>
      <c r="I21" s="2040"/>
      <c r="J21" s="2040"/>
      <c r="K21" s="307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1780</v>
      </c>
      <c r="C22" s="2093" t="s">
        <v>1781</v>
      </c>
      <c r="D22" s="2024"/>
      <c r="E22" s="2024"/>
      <c r="F22" s="2098"/>
      <c r="G22" s="2040"/>
      <c r="H22" s="2040"/>
      <c r="I22" s="2040"/>
      <c r="J22" s="2040"/>
      <c r="K22" s="307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1782</v>
      </c>
      <c r="B23" s="182" t="s">
        <v>1783</v>
      </c>
      <c r="C23" s="2100"/>
      <c r="D23" s="2101" t="s">
        <v>1783</v>
      </c>
      <c r="E23" s="2102"/>
      <c r="F23" s="2098"/>
      <c r="G23" s="2040"/>
      <c r="H23" s="2040"/>
      <c r="I23" s="2040"/>
      <c r="J23" s="2040"/>
      <c r="K23" s="2103"/>
      <c r="L23" s="747"/>
      <c r="M23" s="2026"/>
      <c r="N23" s="2078"/>
      <c r="O23" s="2077"/>
      <c r="P23" s="2078"/>
      <c r="Q23" s="2027"/>
      <c r="R23" s="2027"/>
      <c r="S23" s="2027"/>
      <c r="T23" s="2027"/>
      <c r="U23" s="2027"/>
      <c r="V23" s="2027"/>
    </row>
    <row r="24" spans="1:22" ht="18" customHeight="1">
      <c r="A24" s="2104"/>
      <c r="B24" s="182" t="s">
        <v>1784</v>
      </c>
      <c r="C24" s="2105"/>
      <c r="D24" s="2099" t="s">
        <v>1784</v>
      </c>
      <c r="E24" s="2106"/>
      <c r="F24" s="2098"/>
      <c r="G24" s="2040"/>
      <c r="H24" s="2040"/>
      <c r="I24" s="2040"/>
      <c r="J24" s="2040"/>
      <c r="K24" s="2103"/>
      <c r="L24" s="747"/>
      <c r="M24" s="2026"/>
      <c r="N24" s="2078"/>
      <c r="O24" s="2077"/>
      <c r="P24" s="2078"/>
      <c r="Q24" s="2027"/>
      <c r="R24" s="2027"/>
      <c r="S24" s="2027"/>
      <c r="T24" s="2027"/>
      <c r="U24" s="2027"/>
      <c r="V24" s="2027"/>
    </row>
    <row r="25" spans="1:22" ht="18" customHeight="1">
      <c r="A25" s="2104"/>
      <c r="B25" s="182" t="s">
        <v>1785</v>
      </c>
      <c r="C25" s="2105"/>
      <c r="D25" s="2099" t="s">
        <v>1785</v>
      </c>
      <c r="E25" s="2106"/>
      <c r="F25" s="2098"/>
      <c r="G25" s="2040"/>
      <c r="H25" s="2040"/>
      <c r="I25" s="2040"/>
      <c r="J25" s="2040"/>
      <c r="K25" s="2048"/>
      <c r="L25" s="2026"/>
      <c r="M25" s="2026"/>
      <c r="N25" s="2078"/>
      <c r="O25" s="2077"/>
      <c r="P25" s="2078"/>
      <c r="Q25" s="2027"/>
      <c r="R25" s="2027"/>
      <c r="S25" s="2027"/>
      <c r="T25" s="2027"/>
      <c r="U25" s="2027"/>
      <c r="V25" s="2027"/>
    </row>
    <row r="26" spans="1:22" ht="18" customHeight="1" thickBot="1">
      <c r="A26" s="2107"/>
      <c r="B26" s="2108" t="s">
        <v>1786</v>
      </c>
      <c r="C26" s="2109"/>
      <c r="D26" s="2110" t="s">
        <v>1787</v>
      </c>
      <c r="E26" s="2111"/>
      <c r="F26" s="2112"/>
      <c r="G26" s="2056"/>
      <c r="H26" s="2056"/>
      <c r="I26" s="2056"/>
      <c r="J26" s="2040"/>
      <c r="K26" s="2048"/>
      <c r="L26" s="2026"/>
      <c r="M26" s="2026"/>
      <c r="N26" s="2078"/>
      <c r="O26" s="2077"/>
      <c r="P26" s="2078"/>
      <c r="Q26" s="2027"/>
      <c r="R26" s="2027"/>
      <c r="S26" s="2027"/>
      <c r="T26" s="2027"/>
      <c r="U26" s="2027"/>
      <c r="V26" s="2027"/>
    </row>
    <row r="27" spans="1:22" ht="18" customHeight="1" thickTop="1">
      <c r="A27" s="3062" t="s">
        <v>1788</v>
      </c>
      <c r="B27" s="2057" t="s">
        <v>1789</v>
      </c>
      <c r="C27" s="2113" t="s">
        <v>3024</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62"/>
      <c r="B28" s="2033" t="s">
        <v>1790</v>
      </c>
      <c r="C28" s="2115" t="s">
        <v>3025</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62"/>
      <c r="B29" s="2033" t="s">
        <v>1791</v>
      </c>
      <c r="C29" s="2118" t="s">
        <v>3014</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63"/>
      <c r="B30" s="2033" t="s">
        <v>1792</v>
      </c>
      <c r="C30" s="3064"/>
      <c r="D30" s="306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66" t="s">
        <v>1793</v>
      </c>
      <c r="B31" s="2120" t="s">
        <v>3026</v>
      </c>
      <c r="C31" s="2121" t="str">
        <f>IF(B31="现房","成新及维护状况正常否",IF(B31="在建","工程状态是否正常",IF(B31="土地","是否闲置","-")))</f>
        <v>工程状态是否正常</v>
      </c>
      <c r="D31" s="2122"/>
      <c r="E31" s="2123"/>
      <c r="F31" s="2040"/>
      <c r="G31" s="2040"/>
      <c r="H31" s="2040"/>
      <c r="I31" s="2040"/>
      <c r="J31" s="2040"/>
      <c r="K31" s="2047"/>
      <c r="L31" s="2026"/>
      <c r="M31" s="2026"/>
      <c r="N31" s="2027"/>
      <c r="O31" s="2028"/>
      <c r="P31" s="2027"/>
      <c r="Q31" s="2027"/>
      <c r="R31" s="2027"/>
      <c r="S31" s="2027"/>
      <c r="T31" s="2027"/>
      <c r="U31" s="2027"/>
      <c r="V31" s="2027"/>
    </row>
    <row r="32" spans="1:22" ht="18" customHeight="1">
      <c r="A32" s="3067"/>
      <c r="B32" s="2120"/>
      <c r="C32" s="2121" t="str">
        <f>IF(B32="现房","成新及维护状况是否正常",IF(B32="在建","工程状态是否正常",IF(B32="土地","是否闲置","-")))</f>
        <v>-</v>
      </c>
      <c r="D32" s="2122"/>
      <c r="E32" s="2123"/>
      <c r="F32" s="2040"/>
      <c r="G32" s="2040"/>
      <c r="H32" s="2040"/>
      <c r="I32" s="2040"/>
      <c r="J32" s="2040"/>
      <c r="K32" s="2048"/>
      <c r="L32" s="2026"/>
      <c r="M32" s="2026"/>
      <c r="N32" s="2027"/>
      <c r="O32" s="2028"/>
      <c r="P32" s="2027"/>
      <c r="Q32" s="2027"/>
      <c r="R32" s="2027"/>
      <c r="S32" s="2027"/>
      <c r="T32" s="2027"/>
      <c r="U32" s="2027"/>
      <c r="V32" s="2027"/>
    </row>
    <row r="33" spans="1:22" ht="18" customHeight="1">
      <c r="A33" s="3067"/>
      <c r="B33" s="2124"/>
      <c r="C33" s="2063" t="str">
        <f>IF(B33="现房","成新及维护状况是否正常",IF(B33="在建","工程状态是否正常",IF(B33="土地","是否闲置","-")))</f>
        <v>-</v>
      </c>
      <c r="D33" s="2125"/>
      <c r="E33" s="2126"/>
      <c r="F33" s="2040"/>
      <c r="G33" s="2040"/>
      <c r="H33" s="2040"/>
      <c r="I33" s="2040"/>
      <c r="J33" s="2040"/>
      <c r="K33" s="2048"/>
      <c r="L33" s="2026"/>
      <c r="M33" s="2026"/>
      <c r="N33" s="2027"/>
      <c r="O33" s="2028"/>
      <c r="P33" s="2027"/>
      <c r="Q33" s="2027"/>
      <c r="R33" s="2027"/>
      <c r="S33" s="2027"/>
      <c r="T33" s="2027"/>
      <c r="U33" s="2027"/>
      <c r="V33" s="2027"/>
    </row>
    <row r="34" spans="1:22" ht="18" customHeight="1">
      <c r="A34" s="2033" t="s">
        <v>1794</v>
      </c>
      <c r="B34" s="2127" t="s">
        <v>3027</v>
      </c>
      <c r="C34" s="2127" t="s">
        <v>3028</v>
      </c>
      <c r="D34" s="2127" t="s">
        <v>3029</v>
      </c>
      <c r="E34" s="2127" t="s">
        <v>3030</v>
      </c>
      <c r="F34" s="2127" t="s">
        <v>3031</v>
      </c>
      <c r="G34" s="2127" t="s">
        <v>3032</v>
      </c>
      <c r="H34" s="2127" t="s">
        <v>3033</v>
      </c>
      <c r="I34" s="2040"/>
      <c r="J34" s="2040"/>
      <c r="K34" s="1793">
        <f>COUNTIF(B34:H34,"——")</f>
        <v>0</v>
      </c>
      <c r="L34" s="2068" t="s">
        <v>1795</v>
      </c>
      <c r="M34" s="2068" t="s">
        <v>1796</v>
      </c>
      <c r="N34" s="2068" t="s">
        <v>1797</v>
      </c>
      <c r="O34" s="2068" t="s">
        <v>1798</v>
      </c>
      <c r="P34" s="2068" t="s">
        <v>1799</v>
      </c>
      <c r="Q34" s="2068" t="s">
        <v>1800</v>
      </c>
      <c r="R34" s="2068" t="s">
        <v>1801</v>
      </c>
      <c r="S34" s="3061" t="s">
        <v>1802</v>
      </c>
      <c r="T34" s="2128" t="str">
        <f>NUMBERSTRING(7-K34,1)&amp;"通"</f>
        <v>七通</v>
      </c>
      <c r="U34" s="2027"/>
      <c r="V34" s="2027"/>
    </row>
    <row r="35" spans="1:22" ht="18" customHeight="1">
      <c r="A35" s="2129"/>
      <c r="B35" s="3068" t="s">
        <v>1803</v>
      </c>
      <c r="C35" s="3068"/>
      <c r="D35" s="3068"/>
      <c r="E35" s="3068"/>
      <c r="F35" s="2130">
        <f>C10</f>
        <v>0</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1"/>
      <c r="T35" s="48" t="str">
        <f>IF(T34="一通",L35,IF(T34="二通",M35,IF(T34="三通",N35,IF(T34="四通",O35,IF(T34="五通",P35,IF(T34="六通",Q35,R35))))))</f>
        <v>通路、通电、通讯、通上水、通下水、通热、燃气</v>
      </c>
      <c r="U35" s="2027"/>
      <c r="V35" s="2027"/>
    </row>
    <row r="36" spans="1:22" ht="18" customHeight="1">
      <c r="A36" s="2131"/>
      <c r="B36" s="2130" t="s">
        <v>1804</v>
      </c>
      <c r="C36" s="2130" t="s">
        <v>1805</v>
      </c>
      <c r="D36" s="2130" t="s">
        <v>1806</v>
      </c>
      <c r="E36" s="2130" t="s">
        <v>1807</v>
      </c>
      <c r="F36" s="2132"/>
      <c r="G36" s="2040"/>
      <c r="H36" s="2040"/>
      <c r="I36" s="2040"/>
      <c r="J36" s="2040"/>
      <c r="K36" s="2048"/>
      <c r="L36" s="2026"/>
      <c r="M36" s="2026"/>
      <c r="N36" s="2027"/>
      <c r="O36" s="2028"/>
      <c r="P36" s="2027"/>
      <c r="Q36" s="2027"/>
      <c r="R36" s="2027"/>
      <c r="S36" s="2027"/>
      <c r="T36" s="2027"/>
      <c r="U36" s="2027"/>
      <c r="V36" s="2027"/>
    </row>
    <row r="37" spans="1:22" ht="18" customHeight="1">
      <c r="A37" s="2133" t="s">
        <v>1808</v>
      </c>
      <c r="B37" s="2134" t="s">
        <v>526</v>
      </c>
      <c r="C37" s="2134" t="s">
        <v>526</v>
      </c>
      <c r="D37" s="2134" t="s">
        <v>526</v>
      </c>
      <c r="E37" s="2134"/>
      <c r="F37" s="2132"/>
      <c r="G37" s="2040"/>
      <c r="H37" s="2040"/>
      <c r="I37" s="2040"/>
      <c r="J37" s="2040"/>
      <c r="K37" s="2048"/>
      <c r="L37" s="2026"/>
      <c r="M37" s="2026"/>
      <c r="N37" s="2027"/>
      <c r="O37" s="2028"/>
      <c r="P37" s="2027"/>
      <c r="Q37" s="2027"/>
      <c r="R37" s="2027"/>
      <c r="S37" s="2027"/>
      <c r="T37" s="2027"/>
      <c r="U37" s="2027"/>
      <c r="V37" s="2027"/>
    </row>
    <row r="38" spans="1:22" ht="18" customHeight="1" thickBot="1">
      <c r="A38" s="2135" t="s">
        <v>1809</v>
      </c>
      <c r="B38" s="2136"/>
      <c r="C38" s="2136"/>
      <c r="D38" s="2136"/>
      <c r="E38" s="2136"/>
      <c r="F38" s="2137"/>
      <c r="G38" s="2056"/>
      <c r="H38" s="2056"/>
      <c r="I38" s="2056"/>
      <c r="J38" s="2040"/>
      <c r="K38" s="2048"/>
      <c r="L38" s="2026"/>
      <c r="M38" s="2026"/>
      <c r="N38" s="2027"/>
      <c r="O38" s="2028"/>
      <c r="P38" s="2027"/>
      <c r="Q38" s="2027"/>
      <c r="R38" s="2027"/>
      <c r="S38" s="2027"/>
      <c r="T38" s="2027"/>
      <c r="U38" s="2027"/>
      <c r="V38" s="2027"/>
    </row>
    <row r="39" spans="1:22" s="2142" customFormat="1" ht="18" customHeight="1" thickTop="1" thickBot="1">
      <c r="A39" s="2138" t="s">
        <v>1810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1811</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1812</v>
      </c>
      <c r="B42" s="1793" t="s">
        <v>1813</v>
      </c>
      <c r="C42" s="1793" t="s">
        <v>1814</v>
      </c>
      <c r="D42" s="1793" t="s">
        <v>1815</v>
      </c>
      <c r="E42" s="1793" t="s">
        <v>1816</v>
      </c>
      <c r="F42" s="1793" t="s">
        <v>1817</v>
      </c>
      <c r="G42" s="1793" t="s">
        <v>1818</v>
      </c>
      <c r="H42" s="1793" t="s">
        <v>1819</v>
      </c>
      <c r="I42" s="1793" t="s">
        <v>1820</v>
      </c>
      <c r="J42" s="2146" t="s">
        <v>1821</v>
      </c>
      <c r="K42" s="2069" t="s">
        <v>1822</v>
      </c>
      <c r="L42" s="2069" t="s">
        <v>1823</v>
      </c>
      <c r="M42" s="2069" t="s">
        <v>1824</v>
      </c>
      <c r="N42" s="1793" t="s">
        <v>1825</v>
      </c>
      <c r="O42" s="1793" t="s">
        <v>1826</v>
      </c>
      <c r="P42" s="1793" t="s">
        <v>1827</v>
      </c>
      <c r="Q42" s="2068" t="s">
        <v>1828</v>
      </c>
      <c r="R42" s="2068" t="s">
        <v>1829</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B3:M788"/>
  <sheetViews>
    <sheetView workbookViewId="0">
      <selection activeCell="F789" sqref="F789"/>
    </sheetView>
  </sheetViews>
  <sheetFormatPr defaultRowHeight="13.5"/>
  <cols>
    <col min="4" max="4" width="12.5" customWidth="1"/>
    <col min="5" max="5" width="11.5" customWidth="1"/>
    <col min="6" max="6" width="12.5" customWidth="1"/>
    <col min="7" max="7" width="10" customWidth="1"/>
    <col min="12" max="12" width="13.375" customWidth="1"/>
    <col min="13" max="13" width="12" customWidth="1"/>
  </cols>
  <sheetData>
    <row r="3" spans="2:13">
      <c r="B3" s="2986" t="s">
        <v>3295</v>
      </c>
      <c r="C3" s="2986" t="s">
        <v>3294</v>
      </c>
      <c r="D3" s="2985" t="s">
        <v>3267</v>
      </c>
      <c r="E3" s="2985" t="s">
        <v>3290</v>
      </c>
      <c r="F3" s="2986" t="s">
        <v>3300</v>
      </c>
      <c r="G3" s="2989" t="s">
        <v>3299</v>
      </c>
      <c r="H3" s="2989" t="s">
        <v>3331</v>
      </c>
      <c r="I3" s="2989" t="s">
        <v>3345</v>
      </c>
      <c r="L3" s="2986" t="s">
        <v>3330</v>
      </c>
      <c r="M3" s="2989" t="s">
        <v>3319</v>
      </c>
    </row>
    <row r="4" spans="2:13" hidden="1">
      <c r="B4" s="2986" t="s">
        <v>3333</v>
      </c>
      <c r="C4" s="2990" t="s">
        <v>3325</v>
      </c>
      <c r="D4" s="2993">
        <v>102</v>
      </c>
      <c r="E4" s="2993">
        <v>220.73</v>
      </c>
      <c r="F4" s="2993">
        <v>110.85</v>
      </c>
      <c r="G4" s="2993">
        <v>109.88</v>
      </c>
      <c r="H4" s="2990" t="s">
        <v>3348</v>
      </c>
      <c r="I4" s="2990" t="s">
        <v>3346</v>
      </c>
      <c r="L4" s="2990" t="s">
        <v>3301</v>
      </c>
      <c r="M4">
        <v>10998.1</v>
      </c>
    </row>
    <row r="5" spans="2:13" hidden="1">
      <c r="B5" s="2986" t="s">
        <v>3309</v>
      </c>
      <c r="C5" s="2990" t="s">
        <v>3325</v>
      </c>
      <c r="D5" s="2993">
        <v>201</v>
      </c>
      <c r="E5" s="2993">
        <v>139.74</v>
      </c>
      <c r="F5" s="2993">
        <v>139.74</v>
      </c>
      <c r="G5" s="2993">
        <v>0</v>
      </c>
      <c r="H5" s="2990" t="s">
        <v>3348</v>
      </c>
      <c r="I5" s="2990" t="s">
        <v>3346</v>
      </c>
      <c r="L5" s="2990" t="s">
        <v>3302</v>
      </c>
      <c r="M5">
        <v>14810.2</v>
      </c>
    </row>
    <row r="6" spans="2:13" hidden="1">
      <c r="B6" s="2986" t="s">
        <v>3309</v>
      </c>
      <c r="C6" s="2990" t="s">
        <v>3325</v>
      </c>
      <c r="D6" s="2993">
        <v>202</v>
      </c>
      <c r="E6" s="2993">
        <v>111.35</v>
      </c>
      <c r="F6" s="2993">
        <v>111.35</v>
      </c>
      <c r="G6" s="2993">
        <v>0</v>
      </c>
      <c r="H6" s="2990" t="s">
        <v>3348</v>
      </c>
      <c r="I6" s="2990" t="s">
        <v>3346</v>
      </c>
      <c r="L6" s="2990" t="s">
        <v>3303</v>
      </c>
      <c r="M6">
        <v>10409.459999999999</v>
      </c>
    </row>
    <row r="7" spans="2:13" hidden="1">
      <c r="B7" s="2995" t="s">
        <v>3309</v>
      </c>
      <c r="C7" s="2996" t="s">
        <v>3325</v>
      </c>
      <c r="D7" s="2997">
        <v>302</v>
      </c>
      <c r="E7" s="2997">
        <v>125.21</v>
      </c>
      <c r="F7" s="2997">
        <v>125.21</v>
      </c>
      <c r="G7" s="2997">
        <v>0</v>
      </c>
      <c r="H7" s="2996" t="s">
        <v>3348</v>
      </c>
      <c r="I7" s="2996" t="s">
        <v>3359</v>
      </c>
      <c r="L7" s="2990" t="s">
        <v>3304</v>
      </c>
      <c r="M7">
        <v>257.58999999999997</v>
      </c>
    </row>
    <row r="8" spans="2:13" hidden="1">
      <c r="B8" s="2986" t="s">
        <v>3309</v>
      </c>
      <c r="C8" s="2990" t="s">
        <v>3325</v>
      </c>
      <c r="D8" s="2993">
        <v>402</v>
      </c>
      <c r="E8" s="2993">
        <v>125.21</v>
      </c>
      <c r="F8" s="2993">
        <v>125.21</v>
      </c>
      <c r="G8" s="2993">
        <v>0</v>
      </c>
      <c r="H8" s="2990" t="s">
        <v>3348</v>
      </c>
      <c r="I8" s="2990" t="s">
        <v>3346</v>
      </c>
      <c r="L8" s="2990" t="s">
        <v>3305</v>
      </c>
      <c r="M8">
        <v>5661.1</v>
      </c>
    </row>
    <row r="9" spans="2:13" hidden="1">
      <c r="B9" s="2986" t="s">
        <v>3309</v>
      </c>
      <c r="C9" s="2990" t="s">
        <v>3325</v>
      </c>
      <c r="D9" s="2993">
        <v>801</v>
      </c>
      <c r="E9" s="2993">
        <v>139.74</v>
      </c>
      <c r="F9" s="2993">
        <v>139.74</v>
      </c>
      <c r="G9" s="2993">
        <v>0</v>
      </c>
      <c r="H9" s="2990" t="s">
        <v>3348</v>
      </c>
      <c r="I9" s="2990" t="s">
        <v>3346</v>
      </c>
      <c r="L9" s="2990" t="s">
        <v>3306</v>
      </c>
      <c r="M9">
        <v>14764.6</v>
      </c>
    </row>
    <row r="10" spans="2:13" hidden="1">
      <c r="B10" s="2995" t="s">
        <v>3309</v>
      </c>
      <c r="C10" s="2996" t="s">
        <v>3325</v>
      </c>
      <c r="D10" s="2997">
        <v>1002</v>
      </c>
      <c r="E10" s="2997">
        <v>125.21</v>
      </c>
      <c r="F10" s="2997">
        <v>125.21</v>
      </c>
      <c r="G10" s="2997">
        <v>0</v>
      </c>
      <c r="H10" s="2996" t="s">
        <v>3348</v>
      </c>
      <c r="I10" s="2996" t="s">
        <v>3359</v>
      </c>
      <c r="L10" s="2990" t="s">
        <v>3307</v>
      </c>
      <c r="M10">
        <v>5968.73</v>
      </c>
    </row>
    <row r="11" spans="2:13" hidden="1">
      <c r="B11" s="2986" t="s">
        <v>3309</v>
      </c>
      <c r="C11" s="2990" t="s">
        <v>3325</v>
      </c>
      <c r="D11" s="2993">
        <v>1602</v>
      </c>
      <c r="E11" s="2993">
        <v>125.21</v>
      </c>
      <c r="F11" s="2993">
        <v>125.21</v>
      </c>
      <c r="G11" s="2993">
        <v>0</v>
      </c>
      <c r="H11" s="2990" t="s">
        <v>3348</v>
      </c>
      <c r="I11" s="2990" t="s">
        <v>3346</v>
      </c>
      <c r="L11" s="2990" t="s">
        <v>3308</v>
      </c>
      <c r="M11">
        <v>5968.73</v>
      </c>
    </row>
    <row r="12" spans="2:13">
      <c r="B12" s="2986" t="s">
        <v>3332</v>
      </c>
      <c r="C12" t="s">
        <v>3268</v>
      </c>
      <c r="D12" s="2993">
        <v>-101</v>
      </c>
      <c r="E12" s="2993">
        <v>99.48</v>
      </c>
      <c r="F12" s="2993">
        <v>0</v>
      </c>
      <c r="G12" s="2993">
        <v>99.48</v>
      </c>
      <c r="H12" s="2990" t="s">
        <v>3347</v>
      </c>
      <c r="I12" s="2990" t="s">
        <v>3346</v>
      </c>
      <c r="L12" s="2990" t="s">
        <v>3309</v>
      </c>
      <c r="M12">
        <v>5399.01</v>
      </c>
    </row>
    <row r="13" spans="2:13">
      <c r="B13" s="2986" t="s">
        <v>3332</v>
      </c>
      <c r="C13" t="s">
        <v>3268</v>
      </c>
      <c r="D13" s="2993">
        <v>-102</v>
      </c>
      <c r="E13" s="2993">
        <v>100.48</v>
      </c>
      <c r="F13" s="2993">
        <v>0</v>
      </c>
      <c r="G13" s="2993">
        <v>100.48</v>
      </c>
      <c r="H13" s="2990" t="s">
        <v>3347</v>
      </c>
      <c r="I13" s="2990" t="s">
        <v>3346</v>
      </c>
      <c r="L13" s="2990" t="s">
        <v>3310</v>
      </c>
      <c r="M13">
        <v>5655.64</v>
      </c>
    </row>
    <row r="14" spans="2:13">
      <c r="B14" s="2986" t="s">
        <v>3308</v>
      </c>
      <c r="C14" t="s">
        <v>3268</v>
      </c>
      <c r="D14" s="2993">
        <v>101</v>
      </c>
      <c r="E14" s="2993">
        <v>288.36</v>
      </c>
      <c r="F14">
        <v>184.79999999999998</v>
      </c>
      <c r="G14">
        <v>103.56</v>
      </c>
      <c r="H14" s="2990" t="s">
        <v>3347</v>
      </c>
      <c r="I14" s="2990" t="s">
        <v>3346</v>
      </c>
      <c r="L14" s="2990" t="s">
        <v>3311</v>
      </c>
      <c r="M14">
        <v>14383.51</v>
      </c>
    </row>
    <row r="15" spans="2:13">
      <c r="B15" s="2986" t="s">
        <v>3308</v>
      </c>
      <c r="C15" t="s">
        <v>3268</v>
      </c>
      <c r="D15" s="2993">
        <v>102</v>
      </c>
      <c r="E15" s="2993">
        <v>287.02999999999997</v>
      </c>
      <c r="F15">
        <v>183.49</v>
      </c>
      <c r="G15">
        <v>103.54</v>
      </c>
      <c r="H15" s="2990" t="s">
        <v>3347</v>
      </c>
      <c r="I15" s="2990" t="s">
        <v>3346</v>
      </c>
      <c r="L15" s="2990" t="s">
        <v>3312</v>
      </c>
      <c r="M15">
        <v>6169.65</v>
      </c>
    </row>
    <row r="16" spans="2:13">
      <c r="B16" s="2986" t="s">
        <v>3308</v>
      </c>
      <c r="C16" t="s">
        <v>3268</v>
      </c>
      <c r="D16" s="2993">
        <v>301</v>
      </c>
      <c r="E16" s="2993">
        <v>210.08</v>
      </c>
      <c r="F16" s="2993">
        <v>210.08</v>
      </c>
      <c r="G16" s="2993">
        <v>0</v>
      </c>
      <c r="H16" s="2990" t="s">
        <v>3347</v>
      </c>
      <c r="I16" s="2990" t="s">
        <v>3346</v>
      </c>
      <c r="L16" s="2990" t="s">
        <v>3313</v>
      </c>
      <c r="M16">
        <v>6169.65</v>
      </c>
    </row>
    <row r="17" spans="2:13" hidden="1">
      <c r="B17" s="2986" t="s">
        <v>3310</v>
      </c>
      <c r="C17" s="2990" t="s">
        <v>3325</v>
      </c>
      <c r="D17" s="2993">
        <v>301</v>
      </c>
      <c r="E17" s="2993">
        <v>139.93</v>
      </c>
      <c r="F17" s="2993">
        <v>139.93</v>
      </c>
      <c r="G17" s="2993">
        <v>0</v>
      </c>
      <c r="H17" s="2990" t="s">
        <v>3348</v>
      </c>
      <c r="I17" s="2990" t="s">
        <v>3352</v>
      </c>
      <c r="L17" s="2990" t="s">
        <v>3314</v>
      </c>
      <c r="M17">
        <v>6669.35</v>
      </c>
    </row>
    <row r="18" spans="2:13" hidden="1">
      <c r="B18" s="2986" t="s">
        <v>3310</v>
      </c>
      <c r="C18" s="2990" t="s">
        <v>3325</v>
      </c>
      <c r="D18" s="2993">
        <v>501</v>
      </c>
      <c r="E18" s="2993">
        <v>139.93</v>
      </c>
      <c r="F18" s="2993">
        <v>139.93</v>
      </c>
      <c r="G18" s="2993">
        <v>0</v>
      </c>
      <c r="H18" s="2990" t="s">
        <v>3348</v>
      </c>
      <c r="I18" s="2990" t="s">
        <v>3352</v>
      </c>
      <c r="L18" s="2990" t="s">
        <v>3315</v>
      </c>
      <c r="M18">
        <v>6367.91</v>
      </c>
    </row>
    <row r="19" spans="2:13" hidden="1">
      <c r="B19" s="2986" t="s">
        <v>3310</v>
      </c>
      <c r="C19" s="2990" t="s">
        <v>3325</v>
      </c>
      <c r="D19" s="2993">
        <v>502</v>
      </c>
      <c r="E19" s="2993">
        <v>125.25</v>
      </c>
      <c r="F19" s="2993">
        <v>125.25</v>
      </c>
      <c r="G19" s="2993">
        <v>0</v>
      </c>
      <c r="H19" s="2990" t="s">
        <v>3348</v>
      </c>
      <c r="I19" s="2990" t="s">
        <v>3352</v>
      </c>
      <c r="L19" s="2990" t="s">
        <v>3316</v>
      </c>
      <c r="M19">
        <v>6169.65</v>
      </c>
    </row>
    <row r="20" spans="2:13" hidden="1">
      <c r="B20" s="2986" t="s">
        <v>3310</v>
      </c>
      <c r="C20" s="2990" t="s">
        <v>3325</v>
      </c>
      <c r="D20" s="2993">
        <v>601</v>
      </c>
      <c r="E20" s="2993">
        <v>139.93</v>
      </c>
      <c r="F20" s="2993">
        <v>139.93</v>
      </c>
      <c r="G20" s="2993">
        <v>0</v>
      </c>
      <c r="H20" s="2990" t="s">
        <v>3348</v>
      </c>
      <c r="I20" s="2990" t="s">
        <v>3352</v>
      </c>
      <c r="L20" s="2990" t="s">
        <v>3317</v>
      </c>
      <c r="M20">
        <v>6832.84</v>
      </c>
    </row>
    <row r="21" spans="2:13" hidden="1">
      <c r="B21" s="2986" t="s">
        <v>3310</v>
      </c>
      <c r="C21" s="2990" t="s">
        <v>3325</v>
      </c>
      <c r="D21" s="2993">
        <v>602</v>
      </c>
      <c r="E21" s="2993">
        <v>125.25</v>
      </c>
      <c r="F21" s="2993">
        <v>125.25</v>
      </c>
      <c r="G21" s="2993">
        <v>0</v>
      </c>
      <c r="H21" s="2990" t="s">
        <v>3348</v>
      </c>
      <c r="I21" s="2990" t="s">
        <v>3352</v>
      </c>
      <c r="L21" s="2990" t="s">
        <v>3318</v>
      </c>
      <c r="M21">
        <v>13251.81</v>
      </c>
    </row>
    <row r="22" spans="2:13" hidden="1">
      <c r="B22" s="2986" t="s">
        <v>3310</v>
      </c>
      <c r="C22" s="2990" t="s">
        <v>3325</v>
      </c>
      <c r="D22" s="2993">
        <v>702</v>
      </c>
      <c r="E22" s="2993">
        <v>125.25</v>
      </c>
      <c r="F22" s="2993">
        <v>125.25</v>
      </c>
      <c r="G22" s="2993">
        <v>0</v>
      </c>
      <c r="H22" s="2990" t="s">
        <v>3348</v>
      </c>
      <c r="I22" s="2990" t="s">
        <v>3352</v>
      </c>
      <c r="L22" t="s">
        <v>3349</v>
      </c>
      <c r="M22">
        <v>42237.35</v>
      </c>
    </row>
    <row r="23" spans="2:13" hidden="1">
      <c r="B23" s="2986" t="s">
        <v>3310</v>
      </c>
      <c r="C23" s="2990" t="s">
        <v>3325</v>
      </c>
      <c r="D23" s="2993">
        <v>801</v>
      </c>
      <c r="E23" s="2993">
        <v>139.93</v>
      </c>
      <c r="F23" s="2993">
        <v>139.93</v>
      </c>
      <c r="G23" s="2993">
        <v>0</v>
      </c>
      <c r="H23" s="2990" t="s">
        <v>3348</v>
      </c>
      <c r="I23" s="2990" t="s">
        <v>3352</v>
      </c>
      <c r="L23" s="2990" t="s">
        <v>3354</v>
      </c>
      <c r="M23">
        <f>SUM(M4:M22)</f>
        <v>188144.87999999998</v>
      </c>
    </row>
    <row r="24" spans="2:13" hidden="1">
      <c r="B24" s="2986" t="s">
        <v>3310</v>
      </c>
      <c r="C24" s="2990" t="s">
        <v>3325</v>
      </c>
      <c r="D24" s="2993">
        <v>802</v>
      </c>
      <c r="E24" s="2993">
        <v>125.25</v>
      </c>
      <c r="F24" s="2993">
        <v>125.25</v>
      </c>
      <c r="G24" s="2993">
        <v>0</v>
      </c>
      <c r="H24" s="2990" t="s">
        <v>3348</v>
      </c>
      <c r="I24" s="2990" t="s">
        <v>3352</v>
      </c>
    </row>
    <row r="25" spans="2:13" hidden="1">
      <c r="B25" s="2986" t="s">
        <v>3310</v>
      </c>
      <c r="C25" s="2990" t="s">
        <v>3325</v>
      </c>
      <c r="D25" s="2993">
        <v>901</v>
      </c>
      <c r="E25" s="2993">
        <v>139.93</v>
      </c>
      <c r="F25" s="2993">
        <v>139.93</v>
      </c>
      <c r="G25" s="2993">
        <v>0</v>
      </c>
      <c r="H25" s="2990" t="s">
        <v>3348</v>
      </c>
      <c r="I25" s="2990" t="s">
        <v>3352</v>
      </c>
    </row>
    <row r="26" spans="2:13" hidden="1">
      <c r="B26" s="2986" t="s">
        <v>3310</v>
      </c>
      <c r="C26" s="2990" t="s">
        <v>3325</v>
      </c>
      <c r="D26" s="2993">
        <v>902</v>
      </c>
      <c r="E26" s="2993">
        <v>125.25</v>
      </c>
      <c r="F26" s="2993">
        <v>125.25</v>
      </c>
      <c r="G26" s="2993">
        <v>0</v>
      </c>
      <c r="H26" s="2990" t="s">
        <v>3348</v>
      </c>
      <c r="I26" s="2990" t="s">
        <v>3352</v>
      </c>
    </row>
    <row r="27" spans="2:13" hidden="1">
      <c r="B27" s="2986" t="s">
        <v>3310</v>
      </c>
      <c r="C27" s="2990" t="s">
        <v>3325</v>
      </c>
      <c r="D27" s="2993">
        <v>1001</v>
      </c>
      <c r="E27" s="2993">
        <v>139.93</v>
      </c>
      <c r="F27" s="2993">
        <v>139.93</v>
      </c>
      <c r="G27" s="2993">
        <v>0</v>
      </c>
      <c r="H27" s="2990" t="s">
        <v>3348</v>
      </c>
      <c r="I27" s="2990" t="s">
        <v>3352</v>
      </c>
    </row>
    <row r="28" spans="2:13" hidden="1">
      <c r="B28" s="2986" t="s">
        <v>3310</v>
      </c>
      <c r="C28" s="2990" t="s">
        <v>3325</v>
      </c>
      <c r="D28" s="2993">
        <v>1101</v>
      </c>
      <c r="E28" s="2993">
        <v>139.93</v>
      </c>
      <c r="F28" s="2993">
        <v>139.93</v>
      </c>
      <c r="G28" s="2993">
        <v>0</v>
      </c>
      <c r="H28" s="2990" t="s">
        <v>3348</v>
      </c>
      <c r="I28" s="2990" t="s">
        <v>3352</v>
      </c>
    </row>
    <row r="29" spans="2:13" hidden="1">
      <c r="B29" s="2986" t="s">
        <v>3310</v>
      </c>
      <c r="C29" s="2990" t="s">
        <v>3325</v>
      </c>
      <c r="D29" s="2993">
        <v>1102</v>
      </c>
      <c r="E29" s="2993">
        <v>125.25</v>
      </c>
      <c r="F29" s="2993">
        <v>125.25</v>
      </c>
      <c r="G29" s="2993">
        <v>0</v>
      </c>
      <c r="H29" s="2990" t="s">
        <v>3348</v>
      </c>
      <c r="I29" s="2990" t="s">
        <v>3352</v>
      </c>
    </row>
    <row r="30" spans="2:13" hidden="1">
      <c r="B30" s="2986" t="s">
        <v>3310</v>
      </c>
      <c r="C30" s="2990" t="s">
        <v>3325</v>
      </c>
      <c r="D30" s="2993">
        <v>1201</v>
      </c>
      <c r="E30" s="2993">
        <v>139.93</v>
      </c>
      <c r="F30" s="2993">
        <v>139.93</v>
      </c>
      <c r="G30" s="2993">
        <v>0</v>
      </c>
      <c r="H30" s="2990" t="s">
        <v>3348</v>
      </c>
      <c r="I30" s="2990" t="s">
        <v>3352</v>
      </c>
    </row>
    <row r="31" spans="2:13" hidden="1">
      <c r="B31" s="2986" t="s">
        <v>3310</v>
      </c>
      <c r="C31" s="2990" t="s">
        <v>3325</v>
      </c>
      <c r="D31" s="2993">
        <v>1301</v>
      </c>
      <c r="E31" s="2993">
        <v>139.93</v>
      </c>
      <c r="F31" s="2993">
        <v>139.93</v>
      </c>
      <c r="G31" s="2993">
        <v>0</v>
      </c>
      <c r="H31" s="2990" t="s">
        <v>3348</v>
      </c>
      <c r="I31" s="2990" t="s">
        <v>3352</v>
      </c>
    </row>
    <row r="32" spans="2:13" hidden="1">
      <c r="B32" s="2986" t="s">
        <v>3310</v>
      </c>
      <c r="C32" s="2990" t="s">
        <v>3325</v>
      </c>
      <c r="D32" s="2993">
        <v>1302</v>
      </c>
      <c r="E32" s="2993">
        <v>125.25</v>
      </c>
      <c r="F32" s="2993">
        <v>125.25</v>
      </c>
      <c r="G32" s="2993">
        <v>0</v>
      </c>
      <c r="H32" s="2990" t="s">
        <v>3348</v>
      </c>
      <c r="I32" s="2990" t="s">
        <v>3352</v>
      </c>
    </row>
    <row r="33" spans="2:9" hidden="1">
      <c r="B33" s="2986" t="s">
        <v>3310</v>
      </c>
      <c r="C33" s="2990" t="s">
        <v>3325</v>
      </c>
      <c r="D33" s="2993">
        <v>1401</v>
      </c>
      <c r="E33" s="2993">
        <v>139.93</v>
      </c>
      <c r="F33" s="2993">
        <v>139.93</v>
      </c>
      <c r="G33" s="2993">
        <v>0</v>
      </c>
      <c r="H33" s="2990" t="s">
        <v>3348</v>
      </c>
      <c r="I33" s="2990" t="s">
        <v>3352</v>
      </c>
    </row>
    <row r="34" spans="2:9" hidden="1">
      <c r="B34" s="2986" t="s">
        <v>3310</v>
      </c>
      <c r="C34" s="2990" t="s">
        <v>3325</v>
      </c>
      <c r="D34" s="2993">
        <v>1501</v>
      </c>
      <c r="E34" s="2993">
        <v>139.93</v>
      </c>
      <c r="F34" s="2993">
        <v>139.93</v>
      </c>
      <c r="G34" s="2993">
        <v>0</v>
      </c>
      <c r="H34" s="2990" t="s">
        <v>3348</v>
      </c>
      <c r="I34" s="2990" t="s">
        <v>3352</v>
      </c>
    </row>
    <row r="35" spans="2:9" hidden="1">
      <c r="B35" s="2986" t="s">
        <v>3310</v>
      </c>
      <c r="C35" s="2990" t="s">
        <v>3325</v>
      </c>
      <c r="D35" s="2993">
        <v>1502</v>
      </c>
      <c r="E35" s="2993">
        <v>125.25</v>
      </c>
      <c r="F35" s="2993">
        <v>125.25</v>
      </c>
      <c r="G35" s="2993">
        <v>0</v>
      </c>
      <c r="H35" s="2990" t="s">
        <v>3348</v>
      </c>
      <c r="I35" s="2990" t="s">
        <v>3352</v>
      </c>
    </row>
    <row r="36" spans="2:9" hidden="1">
      <c r="B36" s="2986" t="s">
        <v>3310</v>
      </c>
      <c r="C36" s="2990" t="s">
        <v>3325</v>
      </c>
      <c r="D36" s="2993">
        <v>1601</v>
      </c>
      <c r="E36" s="2993">
        <v>139.93</v>
      </c>
      <c r="F36" s="2993">
        <v>139.93</v>
      </c>
      <c r="G36" s="2993">
        <v>0</v>
      </c>
      <c r="H36" s="2990" t="s">
        <v>3348</v>
      </c>
      <c r="I36" s="2990" t="s">
        <v>3352</v>
      </c>
    </row>
    <row r="37" spans="2:9" hidden="1">
      <c r="B37" s="2986" t="s">
        <v>3310</v>
      </c>
      <c r="C37" s="2990" t="s">
        <v>3325</v>
      </c>
      <c r="D37" s="2993">
        <v>1602</v>
      </c>
      <c r="E37" s="2993">
        <v>125.25</v>
      </c>
      <c r="F37" s="2993">
        <v>125.25</v>
      </c>
      <c r="G37" s="2993">
        <v>0</v>
      </c>
      <c r="H37" s="2990" t="s">
        <v>3348</v>
      </c>
      <c r="I37" s="2990" t="s">
        <v>3352</v>
      </c>
    </row>
    <row r="38" spans="2:9" hidden="1">
      <c r="B38" s="2986" t="s">
        <v>3310</v>
      </c>
      <c r="C38" s="2990" t="s">
        <v>3325</v>
      </c>
      <c r="D38" s="2993">
        <v>1701</v>
      </c>
      <c r="E38" s="2993">
        <v>139.93</v>
      </c>
      <c r="F38" s="2993">
        <v>139.93</v>
      </c>
      <c r="G38" s="2993">
        <v>0</v>
      </c>
      <c r="H38" s="2990" t="s">
        <v>3348</v>
      </c>
      <c r="I38" s="2990" t="s">
        <v>3352</v>
      </c>
    </row>
    <row r="39" spans="2:9" ht="11.1" hidden="1" customHeight="1">
      <c r="B39" s="2986" t="s">
        <v>3310</v>
      </c>
      <c r="C39" s="2990" t="s">
        <v>3325</v>
      </c>
      <c r="D39" s="2993">
        <v>1801</v>
      </c>
      <c r="E39" s="2993">
        <v>139.93</v>
      </c>
      <c r="F39" s="2993">
        <v>139.93</v>
      </c>
      <c r="G39" s="2993">
        <v>0</v>
      </c>
      <c r="H39" s="2990" t="s">
        <v>3348</v>
      </c>
      <c r="I39" s="2990" t="s">
        <v>3352</v>
      </c>
    </row>
    <row r="40" spans="2:9">
      <c r="B40" s="2986" t="s">
        <v>3308</v>
      </c>
      <c r="C40" t="s">
        <v>3268</v>
      </c>
      <c r="D40" s="2993">
        <v>302</v>
      </c>
      <c r="E40" s="2993">
        <v>208.28</v>
      </c>
      <c r="F40" s="2993">
        <v>208.28</v>
      </c>
      <c r="G40" s="2993">
        <v>0</v>
      </c>
      <c r="H40" s="2990" t="s">
        <v>3347</v>
      </c>
      <c r="I40" s="2990" t="s">
        <v>3346</v>
      </c>
    </row>
    <row r="41" spans="2:9">
      <c r="B41" s="2986" t="s">
        <v>3308</v>
      </c>
      <c r="C41" t="s">
        <v>3289</v>
      </c>
      <c r="D41" s="2993">
        <v>-101</v>
      </c>
      <c r="E41" s="2993">
        <v>99.47</v>
      </c>
      <c r="F41" s="2993">
        <v>0</v>
      </c>
      <c r="G41" s="2993">
        <v>99.47</v>
      </c>
      <c r="H41" s="2990" t="s">
        <v>3347</v>
      </c>
      <c r="I41" s="2990" t="s">
        <v>3346</v>
      </c>
    </row>
    <row r="42" spans="2:9">
      <c r="B42" s="2986" t="s">
        <v>3308</v>
      </c>
      <c r="C42" t="s">
        <v>3289</v>
      </c>
      <c r="D42" s="2993">
        <v>-102</v>
      </c>
      <c r="E42" s="2993">
        <v>100.5</v>
      </c>
      <c r="F42" s="2993">
        <v>0</v>
      </c>
      <c r="G42" s="2993">
        <v>100.5</v>
      </c>
      <c r="H42" s="2990" t="s">
        <v>3347</v>
      </c>
      <c r="I42" s="2990" t="s">
        <v>3346</v>
      </c>
    </row>
    <row r="43" spans="2:9">
      <c r="B43" s="2986" t="s">
        <v>3308</v>
      </c>
      <c r="C43" t="s">
        <v>3289</v>
      </c>
      <c r="D43" s="2993">
        <v>101</v>
      </c>
      <c r="E43" s="2993">
        <v>287.02999999999997</v>
      </c>
      <c r="F43">
        <v>183.49</v>
      </c>
      <c r="G43">
        <v>103.54</v>
      </c>
      <c r="H43" s="2990" t="s">
        <v>3347</v>
      </c>
      <c r="I43" s="2990" t="s">
        <v>3346</v>
      </c>
    </row>
    <row r="44" spans="2:9">
      <c r="B44" s="2986" t="s">
        <v>3308</v>
      </c>
      <c r="C44" t="s">
        <v>3289</v>
      </c>
      <c r="D44" s="2993">
        <v>102</v>
      </c>
      <c r="E44" s="2993">
        <v>287.02999999999997</v>
      </c>
      <c r="F44">
        <v>183.49</v>
      </c>
      <c r="G44">
        <v>103.54</v>
      </c>
      <c r="H44" s="2990" t="s">
        <v>3347</v>
      </c>
      <c r="I44" s="2990" t="s">
        <v>3346</v>
      </c>
    </row>
    <row r="45" spans="2:9">
      <c r="B45" s="2986" t="s">
        <v>3308</v>
      </c>
      <c r="C45" t="s">
        <v>3289</v>
      </c>
      <c r="D45" s="2993">
        <v>301</v>
      </c>
      <c r="E45" s="2993">
        <v>208.28</v>
      </c>
      <c r="F45" s="2993">
        <v>208.28</v>
      </c>
      <c r="G45" s="2993">
        <v>0</v>
      </c>
      <c r="H45" s="2990" t="s">
        <v>3347</v>
      </c>
      <c r="I45" s="2990" t="s">
        <v>3346</v>
      </c>
    </row>
    <row r="46" spans="2:9">
      <c r="B46" s="2986" t="s">
        <v>3308</v>
      </c>
      <c r="C46" t="s">
        <v>3289</v>
      </c>
      <c r="D46" s="2993">
        <v>302</v>
      </c>
      <c r="E46" s="2993">
        <v>208.28</v>
      </c>
      <c r="F46" s="2993">
        <v>208.28</v>
      </c>
      <c r="G46" s="2993">
        <v>0</v>
      </c>
      <c r="H46" s="2990" t="s">
        <v>3347</v>
      </c>
      <c r="I46" s="2990" t="s">
        <v>3346</v>
      </c>
    </row>
    <row r="47" spans="2:9">
      <c r="B47" s="2986" t="s">
        <v>3308</v>
      </c>
      <c r="C47" t="s">
        <v>3291</v>
      </c>
      <c r="D47" s="2993">
        <v>-101</v>
      </c>
      <c r="E47" s="2993">
        <v>99.47</v>
      </c>
      <c r="F47" s="2993">
        <v>0</v>
      </c>
      <c r="G47" s="2993">
        <v>99.47</v>
      </c>
      <c r="H47" s="2990" t="s">
        <v>3347</v>
      </c>
      <c r="I47" s="2990" t="s">
        <v>3346</v>
      </c>
    </row>
    <row r="48" spans="2:9">
      <c r="B48" s="2986" t="s">
        <v>3308</v>
      </c>
      <c r="C48" t="s">
        <v>3291</v>
      </c>
      <c r="D48" s="2993">
        <v>-102</v>
      </c>
      <c r="E48" s="2993">
        <v>102.46</v>
      </c>
      <c r="F48" s="2993">
        <v>0</v>
      </c>
      <c r="G48" s="2993">
        <v>102.46</v>
      </c>
      <c r="H48" s="2990" t="s">
        <v>3347</v>
      </c>
      <c r="I48" s="2990" t="s">
        <v>3346</v>
      </c>
    </row>
    <row r="49" spans="2:9">
      <c r="B49" s="2986" t="s">
        <v>3308</v>
      </c>
      <c r="C49" t="s">
        <v>3291</v>
      </c>
      <c r="D49" s="2993">
        <v>101</v>
      </c>
      <c r="E49" s="2993">
        <v>287.02999999999997</v>
      </c>
      <c r="F49">
        <v>183.49</v>
      </c>
      <c r="G49">
        <v>103.54</v>
      </c>
      <c r="H49" s="2990" t="s">
        <v>3347</v>
      </c>
      <c r="I49" s="2990" t="s">
        <v>3346</v>
      </c>
    </row>
    <row r="50" spans="2:9">
      <c r="B50" s="2986" t="s">
        <v>3308</v>
      </c>
      <c r="C50" t="s">
        <v>3291</v>
      </c>
      <c r="D50" s="2993">
        <v>102</v>
      </c>
      <c r="E50" s="2993">
        <v>289.77999999999997</v>
      </c>
      <c r="F50">
        <v>183.42</v>
      </c>
      <c r="G50">
        <v>106.36</v>
      </c>
      <c r="H50" s="2990" t="s">
        <v>3347</v>
      </c>
      <c r="I50" s="2990" t="s">
        <v>3346</v>
      </c>
    </row>
    <row r="51" spans="2:9">
      <c r="B51" s="2986" t="s">
        <v>3308</v>
      </c>
      <c r="C51" t="s">
        <v>3291</v>
      </c>
      <c r="D51" s="2993">
        <v>301</v>
      </c>
      <c r="E51" s="2993">
        <v>208.28</v>
      </c>
      <c r="F51" s="2993">
        <v>208.28</v>
      </c>
      <c r="G51" s="2993">
        <v>0</v>
      </c>
      <c r="H51" s="2990" t="s">
        <v>3347</v>
      </c>
      <c r="I51" s="2990" t="s">
        <v>3346</v>
      </c>
    </row>
    <row r="52" spans="2:9">
      <c r="B52" s="2986" t="s">
        <v>3308</v>
      </c>
      <c r="C52" t="s">
        <v>3291</v>
      </c>
      <c r="D52" s="2993">
        <v>302</v>
      </c>
      <c r="E52" s="2993">
        <v>208.28</v>
      </c>
      <c r="F52" s="2993">
        <v>208.28</v>
      </c>
      <c r="G52" s="2993">
        <v>0</v>
      </c>
      <c r="H52" s="2990" t="s">
        <v>3347</v>
      </c>
      <c r="I52" s="2990" t="s">
        <v>3346</v>
      </c>
    </row>
    <row r="53" spans="2:9">
      <c r="B53" s="2986" t="s">
        <v>3308</v>
      </c>
      <c r="C53" t="s">
        <v>3327</v>
      </c>
      <c r="D53" s="2993">
        <v>-101</v>
      </c>
      <c r="E53" s="2993">
        <v>101.45</v>
      </c>
      <c r="F53" s="2993">
        <v>0</v>
      </c>
      <c r="G53" s="2993">
        <v>101.45</v>
      </c>
      <c r="H53" s="2990" t="s">
        <v>3347</v>
      </c>
      <c r="I53" s="2990" t="s">
        <v>3346</v>
      </c>
    </row>
    <row r="54" spans="2:9">
      <c r="B54" s="2986" t="s">
        <v>3308</v>
      </c>
      <c r="C54" t="s">
        <v>3327</v>
      </c>
      <c r="D54" s="2993">
        <v>-102</v>
      </c>
      <c r="E54" s="2993">
        <v>100.5</v>
      </c>
      <c r="F54" s="2993">
        <v>0</v>
      </c>
      <c r="G54" s="2993">
        <v>100.5</v>
      </c>
      <c r="H54" s="2990" t="s">
        <v>3347</v>
      </c>
      <c r="I54" s="2990" t="s">
        <v>3346</v>
      </c>
    </row>
    <row r="55" spans="2:9">
      <c r="B55" s="2986" t="s">
        <v>3308</v>
      </c>
      <c r="C55" t="s">
        <v>3327</v>
      </c>
      <c r="D55" s="2993">
        <v>101</v>
      </c>
      <c r="E55" s="2993">
        <v>289.85000000000002</v>
      </c>
      <c r="F55">
        <v>183.48999999999998</v>
      </c>
      <c r="G55">
        <v>106.36</v>
      </c>
      <c r="H55" s="2990" t="s">
        <v>3347</v>
      </c>
      <c r="I55" s="2990" t="s">
        <v>3346</v>
      </c>
    </row>
    <row r="56" spans="2:9">
      <c r="B56" s="2986" t="s">
        <v>3308</v>
      </c>
      <c r="C56" t="s">
        <v>3327</v>
      </c>
      <c r="D56" s="2993">
        <v>102</v>
      </c>
      <c r="E56" s="2993">
        <v>287.02999999999997</v>
      </c>
      <c r="F56">
        <v>183.49</v>
      </c>
      <c r="G56">
        <v>103.54</v>
      </c>
      <c r="H56" s="2990" t="s">
        <v>3347</v>
      </c>
      <c r="I56" s="2990" t="s">
        <v>3346</v>
      </c>
    </row>
    <row r="57" spans="2:9">
      <c r="B57" s="2986" t="s">
        <v>3308</v>
      </c>
      <c r="C57" t="s">
        <v>3327</v>
      </c>
      <c r="D57" s="2993">
        <v>301</v>
      </c>
      <c r="E57" s="2993">
        <v>208.28</v>
      </c>
      <c r="F57" s="2993">
        <v>208.28</v>
      </c>
      <c r="G57" s="2993">
        <v>0</v>
      </c>
      <c r="H57" s="2990" t="s">
        <v>3347</v>
      </c>
      <c r="I57" s="2990" t="s">
        <v>3346</v>
      </c>
    </row>
    <row r="58" spans="2:9">
      <c r="B58" s="2986" t="s">
        <v>3308</v>
      </c>
      <c r="C58" t="s">
        <v>3327</v>
      </c>
      <c r="D58" s="2993">
        <v>302</v>
      </c>
      <c r="E58" s="2993">
        <v>208.28</v>
      </c>
      <c r="F58" s="2993">
        <v>208.28</v>
      </c>
      <c r="G58" s="2993">
        <v>0</v>
      </c>
      <c r="H58" s="2990" t="s">
        <v>3347</v>
      </c>
      <c r="I58" s="2990" t="s">
        <v>3346</v>
      </c>
    </row>
    <row r="59" spans="2:9">
      <c r="B59" s="2986" t="s">
        <v>3308</v>
      </c>
      <c r="C59" t="s">
        <v>3328</v>
      </c>
      <c r="D59" s="2993">
        <v>-101</v>
      </c>
      <c r="E59" s="2993">
        <v>99.47</v>
      </c>
      <c r="F59" s="2993">
        <v>0</v>
      </c>
      <c r="G59" s="2993">
        <v>99.47</v>
      </c>
      <c r="H59" s="2990" t="s">
        <v>3347</v>
      </c>
      <c r="I59" s="2990" t="s">
        <v>3346</v>
      </c>
    </row>
    <row r="60" spans="2:9">
      <c r="B60" s="2986" t="s">
        <v>3308</v>
      </c>
      <c r="C60" t="s">
        <v>3328</v>
      </c>
      <c r="D60" s="2993">
        <v>-102</v>
      </c>
      <c r="E60" s="2993">
        <v>100.5</v>
      </c>
      <c r="F60" s="2993">
        <v>0</v>
      </c>
      <c r="G60" s="2993">
        <v>100.5</v>
      </c>
      <c r="H60" s="2990" t="s">
        <v>3347</v>
      </c>
      <c r="I60" s="2990" t="s">
        <v>3346</v>
      </c>
    </row>
    <row r="61" spans="2:9">
      <c r="B61" s="2986" t="s">
        <v>3308</v>
      </c>
      <c r="C61" t="s">
        <v>3328</v>
      </c>
      <c r="D61" s="2993">
        <v>101</v>
      </c>
      <c r="E61" s="2993">
        <v>287.02999999999997</v>
      </c>
      <c r="F61">
        <v>183.49</v>
      </c>
      <c r="G61">
        <v>103.54</v>
      </c>
      <c r="H61" s="2990" t="s">
        <v>3347</v>
      </c>
      <c r="I61" s="2990" t="s">
        <v>3346</v>
      </c>
    </row>
    <row r="62" spans="2:9">
      <c r="B62" s="2986" t="s">
        <v>3308</v>
      </c>
      <c r="C62" t="s">
        <v>3328</v>
      </c>
      <c r="D62" s="2993">
        <v>102</v>
      </c>
      <c r="E62" s="2993">
        <v>288.33999999999997</v>
      </c>
      <c r="F62">
        <v>184.8</v>
      </c>
      <c r="G62">
        <v>103.54</v>
      </c>
      <c r="H62" s="2990" t="s">
        <v>3347</v>
      </c>
      <c r="I62" s="2990" t="s">
        <v>3346</v>
      </c>
    </row>
    <row r="63" spans="2:9">
      <c r="B63" s="2986" t="s">
        <v>3308</v>
      </c>
      <c r="C63" t="s">
        <v>3328</v>
      </c>
      <c r="D63" s="2993">
        <v>301</v>
      </c>
      <c r="E63" s="2993">
        <v>208.28</v>
      </c>
      <c r="F63" s="2993">
        <v>208.28</v>
      </c>
      <c r="G63" s="2993">
        <v>0</v>
      </c>
      <c r="H63" s="2990" t="s">
        <v>3347</v>
      </c>
      <c r="I63" s="2990" t="s">
        <v>3346</v>
      </c>
    </row>
    <row r="64" spans="2:9">
      <c r="B64" s="2986" t="s">
        <v>3308</v>
      </c>
      <c r="C64" t="s">
        <v>3328</v>
      </c>
      <c r="D64" s="2993">
        <v>302</v>
      </c>
      <c r="E64" s="2993">
        <v>210.08</v>
      </c>
      <c r="F64" s="2993">
        <v>210.08</v>
      </c>
      <c r="G64" s="2993">
        <v>0</v>
      </c>
      <c r="H64" s="2990" t="s">
        <v>3347</v>
      </c>
      <c r="I64" s="2990" t="s">
        <v>3346</v>
      </c>
    </row>
    <row r="65" spans="2:9">
      <c r="B65" s="2986" t="s">
        <v>3329</v>
      </c>
      <c r="C65" t="s">
        <v>3268</v>
      </c>
      <c r="D65" s="2993">
        <v>-101</v>
      </c>
      <c r="E65" s="2993">
        <v>99.48</v>
      </c>
      <c r="F65" s="2993">
        <v>0</v>
      </c>
      <c r="G65" s="2993">
        <v>99.48</v>
      </c>
      <c r="H65" s="2990" t="s">
        <v>3347</v>
      </c>
      <c r="I65" s="2990" t="s">
        <v>3346</v>
      </c>
    </row>
    <row r="66" spans="2:9">
      <c r="B66" s="2986" t="s">
        <v>3329</v>
      </c>
      <c r="C66" t="s">
        <v>3268</v>
      </c>
      <c r="D66" s="2993">
        <v>-102</v>
      </c>
      <c r="E66" s="2993">
        <v>100.48</v>
      </c>
      <c r="F66" s="2993">
        <v>0</v>
      </c>
      <c r="G66" s="2993">
        <v>100.48</v>
      </c>
      <c r="H66" s="2990" t="s">
        <v>3347</v>
      </c>
      <c r="I66" s="2990" t="s">
        <v>3346</v>
      </c>
    </row>
    <row r="67" spans="2:9">
      <c r="B67" s="2986" t="s">
        <v>3307</v>
      </c>
      <c r="C67" t="s">
        <v>3268</v>
      </c>
      <c r="D67" s="2993">
        <v>101</v>
      </c>
      <c r="E67" s="2993">
        <v>288.36</v>
      </c>
      <c r="F67">
        <v>184.79999999999998</v>
      </c>
      <c r="G67">
        <v>103.56</v>
      </c>
      <c r="H67" s="2990" t="s">
        <v>3347</v>
      </c>
      <c r="I67" s="2990" t="s">
        <v>3346</v>
      </c>
    </row>
    <row r="68" spans="2:9">
      <c r="B68" s="2986" t="s">
        <v>3307</v>
      </c>
      <c r="C68" t="s">
        <v>3268</v>
      </c>
      <c r="D68" s="2993">
        <v>102</v>
      </c>
      <c r="E68" s="2993">
        <v>287.02999999999997</v>
      </c>
      <c r="F68">
        <v>183.49</v>
      </c>
      <c r="G68">
        <v>103.54</v>
      </c>
      <c r="H68" s="2990" t="s">
        <v>3347</v>
      </c>
      <c r="I68" s="2990" t="s">
        <v>3346</v>
      </c>
    </row>
    <row r="69" spans="2:9">
      <c r="B69" s="2986" t="s">
        <v>3307</v>
      </c>
      <c r="C69" t="s">
        <v>3268</v>
      </c>
      <c r="D69" s="2993">
        <v>301</v>
      </c>
      <c r="E69" s="2993">
        <v>210.08</v>
      </c>
      <c r="F69" s="2993">
        <v>210.08</v>
      </c>
      <c r="G69" s="2988">
        <v>0</v>
      </c>
      <c r="H69" s="2990" t="s">
        <v>3347</v>
      </c>
      <c r="I69" s="2990" t="s">
        <v>3346</v>
      </c>
    </row>
    <row r="70" spans="2:9">
      <c r="B70" s="2986" t="s">
        <v>3307</v>
      </c>
      <c r="C70" t="s">
        <v>3268</v>
      </c>
      <c r="D70" s="2993">
        <v>302</v>
      </c>
      <c r="E70" s="2993">
        <v>208.28</v>
      </c>
      <c r="F70" s="2993">
        <v>208.28</v>
      </c>
      <c r="G70" s="2988">
        <v>0</v>
      </c>
      <c r="H70" s="2990" t="s">
        <v>3347</v>
      </c>
      <c r="I70" s="2990" t="s">
        <v>3346</v>
      </c>
    </row>
    <row r="71" spans="2:9">
      <c r="B71" s="2986" t="s">
        <v>3307</v>
      </c>
      <c r="C71" t="s">
        <v>3289</v>
      </c>
      <c r="D71" s="2993">
        <v>-101</v>
      </c>
      <c r="E71" s="2993">
        <v>99.47</v>
      </c>
      <c r="F71">
        <v>0</v>
      </c>
      <c r="G71" s="2993">
        <v>99.47</v>
      </c>
      <c r="H71" s="2990" t="s">
        <v>3347</v>
      </c>
      <c r="I71" s="2990" t="s">
        <v>3346</v>
      </c>
    </row>
    <row r="72" spans="2:9">
      <c r="B72" s="2986" t="s">
        <v>3307</v>
      </c>
      <c r="C72" t="s">
        <v>3289</v>
      </c>
      <c r="D72" s="2993">
        <v>-102</v>
      </c>
      <c r="E72" s="2993">
        <v>100.5</v>
      </c>
      <c r="F72">
        <v>0</v>
      </c>
      <c r="G72" s="2993">
        <v>100.5</v>
      </c>
      <c r="H72" s="2990" t="s">
        <v>3347</v>
      </c>
      <c r="I72" s="2990" t="s">
        <v>3346</v>
      </c>
    </row>
    <row r="73" spans="2:9">
      <c r="B73" s="2986" t="s">
        <v>3307</v>
      </c>
      <c r="C73" t="s">
        <v>3289</v>
      </c>
      <c r="D73" s="2993">
        <v>101</v>
      </c>
      <c r="E73" s="2993">
        <v>287.02999999999997</v>
      </c>
      <c r="F73">
        <v>183.49</v>
      </c>
      <c r="G73">
        <v>103.54</v>
      </c>
      <c r="H73" s="2990" t="s">
        <v>3347</v>
      </c>
      <c r="I73" s="2990" t="s">
        <v>3346</v>
      </c>
    </row>
    <row r="74" spans="2:9">
      <c r="B74" s="2986" t="s">
        <v>3307</v>
      </c>
      <c r="C74" t="s">
        <v>3289</v>
      </c>
      <c r="D74" s="2993">
        <v>102</v>
      </c>
      <c r="E74" s="2993">
        <v>287.02999999999997</v>
      </c>
      <c r="F74">
        <v>183.49</v>
      </c>
      <c r="G74">
        <v>103.54</v>
      </c>
      <c r="H74" s="2990" t="s">
        <v>3347</v>
      </c>
      <c r="I74" s="2990" t="s">
        <v>3346</v>
      </c>
    </row>
    <row r="75" spans="2:9">
      <c r="B75" s="2986" t="s">
        <v>3307</v>
      </c>
      <c r="C75" t="s">
        <v>3289</v>
      </c>
      <c r="D75" s="2993">
        <v>301</v>
      </c>
      <c r="E75" s="2993">
        <v>208.28</v>
      </c>
      <c r="F75" s="2993">
        <v>208.28</v>
      </c>
      <c r="G75" s="2988">
        <v>0</v>
      </c>
      <c r="H75" s="2990" t="s">
        <v>3347</v>
      </c>
      <c r="I75" s="2990" t="s">
        <v>3346</v>
      </c>
    </row>
    <row r="76" spans="2:9">
      <c r="B76" s="2986" t="s">
        <v>3307</v>
      </c>
      <c r="C76" t="s">
        <v>3289</v>
      </c>
      <c r="D76" s="2993">
        <v>302</v>
      </c>
      <c r="E76" s="2993">
        <v>208.28</v>
      </c>
      <c r="F76" s="2993">
        <v>208.28</v>
      </c>
      <c r="G76" s="2988">
        <v>0</v>
      </c>
      <c r="H76" s="2990" t="s">
        <v>3347</v>
      </c>
      <c r="I76" s="2990" t="s">
        <v>3346</v>
      </c>
    </row>
    <row r="77" spans="2:9">
      <c r="B77" s="2986" t="s">
        <v>3307</v>
      </c>
      <c r="C77" t="s">
        <v>3291</v>
      </c>
      <c r="D77" s="2993">
        <v>-101</v>
      </c>
      <c r="E77" s="2993">
        <v>99.47</v>
      </c>
      <c r="F77">
        <v>0</v>
      </c>
      <c r="G77" s="2993">
        <v>99.47</v>
      </c>
      <c r="H77" s="2990" t="s">
        <v>3347</v>
      </c>
      <c r="I77" s="2990" t="s">
        <v>3346</v>
      </c>
    </row>
    <row r="78" spans="2:9">
      <c r="B78" s="2986" t="s">
        <v>3307</v>
      </c>
      <c r="C78" t="s">
        <v>3291</v>
      </c>
      <c r="D78" s="2993">
        <v>-102</v>
      </c>
      <c r="E78" s="2993">
        <v>102.46</v>
      </c>
      <c r="F78">
        <v>0</v>
      </c>
      <c r="G78" s="2993">
        <v>102.46</v>
      </c>
      <c r="H78" s="2990" t="s">
        <v>3347</v>
      </c>
      <c r="I78" s="2990" t="s">
        <v>3346</v>
      </c>
    </row>
    <row r="79" spans="2:9">
      <c r="B79" s="2986" t="s">
        <v>3307</v>
      </c>
      <c r="C79" t="s">
        <v>3291</v>
      </c>
      <c r="D79" s="2993">
        <v>101</v>
      </c>
      <c r="E79" s="2993">
        <v>287.02999999999997</v>
      </c>
      <c r="F79">
        <v>183.49</v>
      </c>
      <c r="G79">
        <v>103.54</v>
      </c>
      <c r="H79" s="2990" t="s">
        <v>3347</v>
      </c>
      <c r="I79" s="2990" t="s">
        <v>3346</v>
      </c>
    </row>
    <row r="80" spans="2:9">
      <c r="B80" s="2986" t="s">
        <v>3307</v>
      </c>
      <c r="C80" t="s">
        <v>3291</v>
      </c>
      <c r="D80" s="2993">
        <v>102</v>
      </c>
      <c r="E80" s="2993">
        <v>289.77999999999997</v>
      </c>
      <c r="F80">
        <v>183.42</v>
      </c>
      <c r="G80">
        <v>106.36</v>
      </c>
      <c r="H80" s="2990" t="s">
        <v>3347</v>
      </c>
      <c r="I80" s="2990" t="s">
        <v>3346</v>
      </c>
    </row>
    <row r="81" spans="2:9">
      <c r="B81" s="2986" t="s">
        <v>3307</v>
      </c>
      <c r="C81" t="s">
        <v>3291</v>
      </c>
      <c r="D81" s="2993">
        <v>301</v>
      </c>
      <c r="E81" s="2993">
        <v>208.28</v>
      </c>
      <c r="F81" s="2993">
        <v>208.28</v>
      </c>
      <c r="G81" s="2988">
        <v>0</v>
      </c>
      <c r="H81" s="2990" t="s">
        <v>3347</v>
      </c>
      <c r="I81" s="2990" t="s">
        <v>3346</v>
      </c>
    </row>
    <row r="82" spans="2:9">
      <c r="B82" s="2986" t="s">
        <v>3307</v>
      </c>
      <c r="C82" t="s">
        <v>3291</v>
      </c>
      <c r="D82" s="2993">
        <v>302</v>
      </c>
      <c r="E82" s="2993">
        <v>208.28</v>
      </c>
      <c r="F82" s="2993">
        <v>208.28</v>
      </c>
      <c r="G82" s="2988">
        <v>0</v>
      </c>
      <c r="H82" s="2990" t="s">
        <v>3347</v>
      </c>
      <c r="I82" s="2990" t="s">
        <v>3346</v>
      </c>
    </row>
    <row r="83" spans="2:9">
      <c r="B83" s="2986" t="s">
        <v>3307</v>
      </c>
      <c r="C83" t="s">
        <v>3327</v>
      </c>
      <c r="D83" s="2993">
        <v>-101</v>
      </c>
      <c r="E83" s="2993">
        <v>101.45</v>
      </c>
      <c r="F83">
        <v>0</v>
      </c>
      <c r="G83" s="2993">
        <v>101.45</v>
      </c>
      <c r="H83" s="2990" t="s">
        <v>3347</v>
      </c>
      <c r="I83" s="2990" t="s">
        <v>3346</v>
      </c>
    </row>
    <row r="84" spans="2:9">
      <c r="B84" s="2986" t="s">
        <v>3307</v>
      </c>
      <c r="C84" t="s">
        <v>3327</v>
      </c>
      <c r="D84" s="2993">
        <v>-102</v>
      </c>
      <c r="E84" s="2993">
        <v>100.5</v>
      </c>
      <c r="F84">
        <v>0</v>
      </c>
      <c r="G84" s="2993">
        <v>100.5</v>
      </c>
      <c r="H84" s="2990" t="s">
        <v>3347</v>
      </c>
      <c r="I84" s="2990" t="s">
        <v>3346</v>
      </c>
    </row>
    <row r="85" spans="2:9">
      <c r="B85" s="2986" t="s">
        <v>3307</v>
      </c>
      <c r="C85" t="s">
        <v>3327</v>
      </c>
      <c r="D85" s="2993">
        <v>101</v>
      </c>
      <c r="E85" s="2993">
        <v>289.85000000000002</v>
      </c>
      <c r="F85">
        <v>183.48999999999998</v>
      </c>
      <c r="G85">
        <v>106.36</v>
      </c>
      <c r="H85" s="2990" t="s">
        <v>3347</v>
      </c>
      <c r="I85" s="2990" t="s">
        <v>3346</v>
      </c>
    </row>
    <row r="86" spans="2:9">
      <c r="B86" s="2986" t="s">
        <v>3307</v>
      </c>
      <c r="C86" t="s">
        <v>3327</v>
      </c>
      <c r="D86" s="2993">
        <v>102</v>
      </c>
      <c r="E86" s="2993">
        <v>287.02999999999997</v>
      </c>
      <c r="F86">
        <v>183.49</v>
      </c>
      <c r="G86">
        <v>103.54</v>
      </c>
      <c r="H86" s="2990" t="s">
        <v>3347</v>
      </c>
      <c r="I86" s="2990" t="s">
        <v>3346</v>
      </c>
    </row>
    <row r="87" spans="2:9">
      <c r="B87" s="2986" t="s">
        <v>3307</v>
      </c>
      <c r="C87" t="s">
        <v>3327</v>
      </c>
      <c r="D87" s="2993">
        <v>301</v>
      </c>
      <c r="E87" s="2993">
        <v>208.28</v>
      </c>
      <c r="F87" s="2993">
        <v>208.28</v>
      </c>
      <c r="G87" s="2988">
        <v>0</v>
      </c>
      <c r="H87" s="2990" t="s">
        <v>3347</v>
      </c>
      <c r="I87" s="2990" t="s">
        <v>3346</v>
      </c>
    </row>
    <row r="88" spans="2:9">
      <c r="B88" s="2986" t="s">
        <v>3307</v>
      </c>
      <c r="C88" t="s">
        <v>3327</v>
      </c>
      <c r="D88" s="2993">
        <v>302</v>
      </c>
      <c r="E88" s="2993">
        <v>208.28</v>
      </c>
      <c r="F88" s="2993">
        <v>208.28</v>
      </c>
      <c r="G88" s="2988">
        <v>0</v>
      </c>
      <c r="H88" s="2990" t="s">
        <v>3347</v>
      </c>
      <c r="I88" s="2990" t="s">
        <v>3346</v>
      </c>
    </row>
    <row r="89" spans="2:9">
      <c r="B89" s="2986" t="s">
        <v>3307</v>
      </c>
      <c r="C89" t="s">
        <v>3328</v>
      </c>
      <c r="D89" s="2993">
        <v>-101</v>
      </c>
      <c r="E89" s="2993">
        <v>99.47</v>
      </c>
      <c r="F89">
        <v>0</v>
      </c>
      <c r="G89" s="2993">
        <v>99.47</v>
      </c>
      <c r="H89" s="2990" t="s">
        <v>3347</v>
      </c>
      <c r="I89" s="2990" t="s">
        <v>3346</v>
      </c>
    </row>
    <row r="90" spans="2:9">
      <c r="B90" s="2986" t="s">
        <v>3307</v>
      </c>
      <c r="C90" t="s">
        <v>3328</v>
      </c>
      <c r="D90" s="2993">
        <v>-102</v>
      </c>
      <c r="E90" s="2993">
        <v>100.5</v>
      </c>
      <c r="F90">
        <v>0</v>
      </c>
      <c r="G90" s="2993">
        <v>100.5</v>
      </c>
      <c r="H90" s="2990" t="s">
        <v>3347</v>
      </c>
      <c r="I90" s="2990" t="s">
        <v>3346</v>
      </c>
    </row>
    <row r="91" spans="2:9">
      <c r="B91" s="2986" t="s">
        <v>3307</v>
      </c>
      <c r="C91" t="s">
        <v>3328</v>
      </c>
      <c r="D91" s="2993">
        <v>101</v>
      </c>
      <c r="E91" s="2993">
        <v>287.02999999999997</v>
      </c>
      <c r="F91">
        <v>183.49</v>
      </c>
      <c r="G91">
        <v>103.54</v>
      </c>
      <c r="H91" s="2990" t="s">
        <v>3347</v>
      </c>
      <c r="I91" s="2990" t="s">
        <v>3346</v>
      </c>
    </row>
    <row r="92" spans="2:9">
      <c r="B92" s="2986" t="s">
        <v>3307</v>
      </c>
      <c r="C92" t="s">
        <v>3328</v>
      </c>
      <c r="D92" s="2993">
        <v>102</v>
      </c>
      <c r="E92" s="2993">
        <v>288.33999999999997</v>
      </c>
      <c r="F92">
        <v>184.8</v>
      </c>
      <c r="G92">
        <v>103.54</v>
      </c>
      <c r="H92" s="2990" t="s">
        <v>3347</v>
      </c>
      <c r="I92" s="2990" t="s">
        <v>3346</v>
      </c>
    </row>
    <row r="93" spans="2:9">
      <c r="B93" s="2986" t="s">
        <v>3307</v>
      </c>
      <c r="C93" t="s">
        <v>3328</v>
      </c>
      <c r="D93" s="2993">
        <v>301</v>
      </c>
      <c r="E93" s="2993">
        <v>208.28</v>
      </c>
      <c r="F93" s="2993">
        <v>208.28</v>
      </c>
      <c r="G93" s="2988">
        <v>0</v>
      </c>
      <c r="H93" s="2990" t="s">
        <v>3347</v>
      </c>
      <c r="I93" s="2990" t="s">
        <v>3346</v>
      </c>
    </row>
    <row r="94" spans="2:9">
      <c r="B94" s="2986" t="s">
        <v>3307</v>
      </c>
      <c r="C94" t="s">
        <v>3328</v>
      </c>
      <c r="D94" s="2993">
        <v>302</v>
      </c>
      <c r="E94" s="2993">
        <v>210.08</v>
      </c>
      <c r="F94" s="2993">
        <v>210.08</v>
      </c>
      <c r="G94" s="2988">
        <v>0</v>
      </c>
      <c r="H94" s="2990" t="s">
        <v>3347</v>
      </c>
      <c r="I94" s="2990" t="s">
        <v>3346</v>
      </c>
    </row>
    <row r="95" spans="2:9" hidden="1">
      <c r="B95" s="2986" t="s">
        <v>3326</v>
      </c>
      <c r="C95" t="s">
        <v>3268</v>
      </c>
      <c r="D95" s="2993">
        <v>101</v>
      </c>
      <c r="E95" s="2988">
        <v>342.52</v>
      </c>
      <c r="F95">
        <v>155.82</v>
      </c>
      <c r="G95" s="2988">
        <v>186.70000000000002</v>
      </c>
      <c r="H95" s="2990" t="s">
        <v>3348</v>
      </c>
      <c r="I95" s="2990" t="s">
        <v>3346</v>
      </c>
    </row>
    <row r="96" spans="2:9" hidden="1">
      <c r="B96" s="2986" t="s">
        <v>3326</v>
      </c>
      <c r="C96" t="s">
        <v>3268</v>
      </c>
      <c r="D96" s="2993">
        <v>102</v>
      </c>
      <c r="E96" s="2988">
        <v>295.39999999999998</v>
      </c>
      <c r="F96">
        <v>133.99</v>
      </c>
      <c r="G96">
        <v>161.41</v>
      </c>
      <c r="H96" s="2990" t="s">
        <v>3348</v>
      </c>
      <c r="I96" s="2990" t="s">
        <v>3346</v>
      </c>
    </row>
    <row r="97" spans="2:9" hidden="1">
      <c r="B97" s="2986" t="s">
        <v>3306</v>
      </c>
      <c r="C97" t="s">
        <v>3268</v>
      </c>
      <c r="D97" s="2993">
        <v>201</v>
      </c>
      <c r="E97" s="2988">
        <v>184.49</v>
      </c>
      <c r="F97" s="2988">
        <v>184.49</v>
      </c>
      <c r="G97" s="2988">
        <v>0</v>
      </c>
      <c r="H97" s="2990" t="s">
        <v>3348</v>
      </c>
      <c r="I97" s="2990" t="s">
        <v>3346</v>
      </c>
    </row>
    <row r="98" spans="2:9" hidden="1">
      <c r="B98" s="2986" t="s">
        <v>3306</v>
      </c>
      <c r="C98" t="s">
        <v>3268</v>
      </c>
      <c r="D98" s="2993">
        <v>202</v>
      </c>
      <c r="E98" s="2993">
        <v>154.07</v>
      </c>
      <c r="F98" s="2993">
        <v>154.07</v>
      </c>
      <c r="G98" s="2988">
        <v>0</v>
      </c>
      <c r="H98" s="2990" t="s">
        <v>3348</v>
      </c>
      <c r="I98" s="2990" t="s">
        <v>3346</v>
      </c>
    </row>
    <row r="99" spans="2:9" hidden="1">
      <c r="B99" s="2986" t="s">
        <v>3306</v>
      </c>
      <c r="C99" t="s">
        <v>3268</v>
      </c>
      <c r="D99" s="2993">
        <v>301</v>
      </c>
      <c r="E99" s="2993">
        <v>184.81</v>
      </c>
      <c r="F99" s="2993">
        <v>184.81</v>
      </c>
      <c r="G99" s="2988">
        <v>0</v>
      </c>
      <c r="H99" s="2990" t="s">
        <v>3348</v>
      </c>
      <c r="I99" s="2990" t="s">
        <v>3346</v>
      </c>
    </row>
    <row r="100" spans="2:9" hidden="1">
      <c r="B100" s="2986" t="s">
        <v>3306</v>
      </c>
      <c r="C100" t="s">
        <v>3268</v>
      </c>
      <c r="D100" s="2993">
        <v>302</v>
      </c>
      <c r="E100" s="2993">
        <v>154.69</v>
      </c>
      <c r="F100" s="2993">
        <v>154.69</v>
      </c>
      <c r="G100" s="2988">
        <v>0</v>
      </c>
      <c r="H100" s="2990" t="s">
        <v>3348</v>
      </c>
      <c r="I100" s="2990" t="s">
        <v>3346</v>
      </c>
    </row>
    <row r="101" spans="2:9" hidden="1">
      <c r="B101" s="2986" t="s">
        <v>3306</v>
      </c>
      <c r="C101" t="s">
        <v>3268</v>
      </c>
      <c r="D101" s="2993">
        <v>401</v>
      </c>
      <c r="E101" s="2993">
        <v>184.81</v>
      </c>
      <c r="F101" s="2993">
        <v>184.81</v>
      </c>
      <c r="G101" s="2988">
        <v>0</v>
      </c>
      <c r="H101" s="2990" t="s">
        <v>3348</v>
      </c>
      <c r="I101" s="2990" t="s">
        <v>3346</v>
      </c>
    </row>
    <row r="102" spans="2:9" hidden="1">
      <c r="B102" s="2986" t="s">
        <v>3306</v>
      </c>
      <c r="C102" t="s">
        <v>3268</v>
      </c>
      <c r="D102" s="2993">
        <v>402</v>
      </c>
      <c r="E102" s="2993">
        <v>154.69</v>
      </c>
      <c r="F102" s="2993">
        <v>154.69</v>
      </c>
      <c r="G102" s="2988">
        <v>0</v>
      </c>
      <c r="H102" s="2990" t="s">
        <v>3348</v>
      </c>
      <c r="I102" s="2990" t="s">
        <v>3346</v>
      </c>
    </row>
    <row r="103" spans="2:9" hidden="1">
      <c r="B103" s="2986" t="s">
        <v>3306</v>
      </c>
      <c r="C103" t="s">
        <v>3268</v>
      </c>
      <c r="D103" s="2993">
        <v>501</v>
      </c>
      <c r="E103" s="2993">
        <v>184.81</v>
      </c>
      <c r="F103" s="2993">
        <v>184.81</v>
      </c>
      <c r="G103" s="2988">
        <v>0</v>
      </c>
      <c r="H103" s="2990" t="s">
        <v>3348</v>
      </c>
      <c r="I103" s="2990" t="s">
        <v>3346</v>
      </c>
    </row>
    <row r="104" spans="2:9" hidden="1">
      <c r="B104" s="2986" t="s">
        <v>3306</v>
      </c>
      <c r="C104" t="s">
        <v>3268</v>
      </c>
      <c r="D104" s="2993">
        <v>502</v>
      </c>
      <c r="E104" s="2993">
        <v>154.69</v>
      </c>
      <c r="F104" s="2993">
        <v>154.69</v>
      </c>
      <c r="G104" s="2988">
        <v>0</v>
      </c>
      <c r="H104" s="2990" t="s">
        <v>3348</v>
      </c>
      <c r="I104" s="2990" t="s">
        <v>3346</v>
      </c>
    </row>
    <row r="105" spans="2:9" hidden="1">
      <c r="B105" s="2986" t="s">
        <v>3306</v>
      </c>
      <c r="C105" t="s">
        <v>3268</v>
      </c>
      <c r="D105" s="2993">
        <v>601</v>
      </c>
      <c r="E105" s="2993">
        <v>184.81</v>
      </c>
      <c r="F105" s="2993">
        <v>184.81</v>
      </c>
      <c r="G105" s="2988">
        <v>0</v>
      </c>
      <c r="H105" s="2990" t="s">
        <v>3348</v>
      </c>
      <c r="I105" s="2990" t="s">
        <v>3346</v>
      </c>
    </row>
    <row r="106" spans="2:9" hidden="1">
      <c r="B106" s="2986" t="s">
        <v>3306</v>
      </c>
      <c r="C106" t="s">
        <v>3268</v>
      </c>
      <c r="D106" s="2993">
        <v>602</v>
      </c>
      <c r="E106" s="2993">
        <v>154.69</v>
      </c>
      <c r="F106" s="2993">
        <v>154.69</v>
      </c>
      <c r="G106" s="2988">
        <v>0</v>
      </c>
      <c r="H106" s="2990" t="s">
        <v>3348</v>
      </c>
      <c r="I106" s="2990" t="s">
        <v>3346</v>
      </c>
    </row>
    <row r="107" spans="2:9" hidden="1">
      <c r="B107" s="2986" t="s">
        <v>3306</v>
      </c>
      <c r="C107" t="s">
        <v>3268</v>
      </c>
      <c r="D107" s="2993">
        <v>701</v>
      </c>
      <c r="E107" s="2993">
        <v>184.81</v>
      </c>
      <c r="F107" s="2993">
        <v>184.81</v>
      </c>
      <c r="G107" s="2988">
        <v>0</v>
      </c>
      <c r="H107" s="2990" t="s">
        <v>3348</v>
      </c>
      <c r="I107" s="2990" t="s">
        <v>3346</v>
      </c>
    </row>
    <row r="108" spans="2:9" hidden="1">
      <c r="B108" s="2986" t="s">
        <v>3306</v>
      </c>
      <c r="C108" t="s">
        <v>3268</v>
      </c>
      <c r="D108" s="2993">
        <v>702</v>
      </c>
      <c r="E108" s="2993">
        <v>154.69</v>
      </c>
      <c r="F108" s="2993">
        <v>154.69</v>
      </c>
      <c r="G108" s="2988">
        <v>0</v>
      </c>
      <c r="H108" s="2990" t="s">
        <v>3348</v>
      </c>
      <c r="I108" s="2990" t="s">
        <v>3346</v>
      </c>
    </row>
    <row r="109" spans="2:9" hidden="1">
      <c r="B109" s="2986" t="s">
        <v>3306</v>
      </c>
      <c r="C109" t="s">
        <v>3268</v>
      </c>
      <c r="D109" s="2993">
        <v>801</v>
      </c>
      <c r="E109" s="2993">
        <v>184.81</v>
      </c>
      <c r="F109" s="2993">
        <v>184.81</v>
      </c>
      <c r="G109" s="2988">
        <v>0</v>
      </c>
      <c r="H109" s="2990" t="s">
        <v>3348</v>
      </c>
      <c r="I109" s="2990" t="s">
        <v>3346</v>
      </c>
    </row>
    <row r="110" spans="2:9" hidden="1">
      <c r="B110" s="2986" t="s">
        <v>3306</v>
      </c>
      <c r="C110" t="s">
        <v>3268</v>
      </c>
      <c r="D110" s="2993">
        <v>802</v>
      </c>
      <c r="E110" s="2993">
        <v>154.69</v>
      </c>
      <c r="F110" s="2993">
        <v>154.69</v>
      </c>
      <c r="G110" s="2988">
        <v>0</v>
      </c>
      <c r="H110" s="2990" t="s">
        <v>3348</v>
      </c>
      <c r="I110" s="2990" t="s">
        <v>3346</v>
      </c>
    </row>
    <row r="111" spans="2:9" hidden="1">
      <c r="B111" s="2986" t="s">
        <v>3306</v>
      </c>
      <c r="C111" t="s">
        <v>3268</v>
      </c>
      <c r="D111" s="2993">
        <v>901</v>
      </c>
      <c r="E111" s="2993">
        <v>184.81</v>
      </c>
      <c r="F111" s="2993">
        <v>184.81</v>
      </c>
      <c r="G111" s="2988">
        <v>0</v>
      </c>
      <c r="H111" s="2990" t="s">
        <v>3348</v>
      </c>
      <c r="I111" s="2990" t="s">
        <v>3346</v>
      </c>
    </row>
    <row r="112" spans="2:9" hidden="1">
      <c r="B112" s="2986" t="s">
        <v>3306</v>
      </c>
      <c r="C112" t="s">
        <v>3268</v>
      </c>
      <c r="D112" s="2993">
        <v>902</v>
      </c>
      <c r="E112" s="2993">
        <v>154.69</v>
      </c>
      <c r="F112" s="2993">
        <v>154.69</v>
      </c>
      <c r="G112" s="2988">
        <v>0</v>
      </c>
      <c r="H112" s="2990" t="s">
        <v>3348</v>
      </c>
      <c r="I112" s="2990" t="s">
        <v>3346</v>
      </c>
    </row>
    <row r="113" spans="2:9" hidden="1">
      <c r="B113" s="2986" t="s">
        <v>3306</v>
      </c>
      <c r="C113" t="s">
        <v>3268</v>
      </c>
      <c r="D113" s="2993">
        <v>1001</v>
      </c>
      <c r="E113" s="2993">
        <v>184.81</v>
      </c>
      <c r="F113" s="2993">
        <v>184.81</v>
      </c>
      <c r="G113" s="2988">
        <v>0</v>
      </c>
      <c r="H113" s="2990" t="s">
        <v>3348</v>
      </c>
      <c r="I113" s="2990" t="s">
        <v>3346</v>
      </c>
    </row>
    <row r="114" spans="2:9" hidden="1">
      <c r="B114" s="2986" t="s">
        <v>3306</v>
      </c>
      <c r="C114" t="s">
        <v>3268</v>
      </c>
      <c r="D114" s="2993">
        <v>1002</v>
      </c>
      <c r="E114" s="2993">
        <v>154.69</v>
      </c>
      <c r="F114" s="2993">
        <v>154.69</v>
      </c>
      <c r="G114" s="2988">
        <v>0</v>
      </c>
      <c r="H114" s="2990" t="s">
        <v>3348</v>
      </c>
      <c r="I114" s="2990" t="s">
        <v>3346</v>
      </c>
    </row>
    <row r="115" spans="2:9" hidden="1">
      <c r="B115" s="2986" t="s">
        <v>3306</v>
      </c>
      <c r="C115" t="s">
        <v>3268</v>
      </c>
      <c r="D115" s="2993">
        <v>1101</v>
      </c>
      <c r="E115" s="2993">
        <v>184.81</v>
      </c>
      <c r="F115" s="2993">
        <v>184.81</v>
      </c>
      <c r="G115" s="2988">
        <v>0</v>
      </c>
      <c r="H115" s="2990" t="s">
        <v>3348</v>
      </c>
      <c r="I115" s="2990" t="s">
        <v>3346</v>
      </c>
    </row>
    <row r="116" spans="2:9" hidden="1">
      <c r="B116" s="2986" t="s">
        <v>3306</v>
      </c>
      <c r="C116" t="s">
        <v>3268</v>
      </c>
      <c r="D116" s="2993">
        <v>1102</v>
      </c>
      <c r="E116" s="2993">
        <v>154.69</v>
      </c>
      <c r="F116" s="2993">
        <v>154.69</v>
      </c>
      <c r="G116" s="2988">
        <v>0</v>
      </c>
      <c r="H116" s="2990" t="s">
        <v>3348</v>
      </c>
      <c r="I116" s="2990" t="s">
        <v>3346</v>
      </c>
    </row>
    <row r="117" spans="2:9" hidden="1">
      <c r="B117" s="2986" t="s">
        <v>3306</v>
      </c>
      <c r="C117" t="s">
        <v>3268</v>
      </c>
      <c r="D117" s="2993">
        <v>1201</v>
      </c>
      <c r="E117" s="2993">
        <v>184.81</v>
      </c>
      <c r="F117" s="2993">
        <v>184.81</v>
      </c>
      <c r="G117" s="2988">
        <v>0</v>
      </c>
      <c r="H117" s="2990" t="s">
        <v>3348</v>
      </c>
      <c r="I117" s="2990" t="s">
        <v>3346</v>
      </c>
    </row>
    <row r="118" spans="2:9" hidden="1">
      <c r="B118" s="2986" t="s">
        <v>3306</v>
      </c>
      <c r="C118" t="s">
        <v>3268</v>
      </c>
      <c r="D118" s="2993">
        <v>1202</v>
      </c>
      <c r="E118" s="2993">
        <v>154.69</v>
      </c>
      <c r="F118" s="2993">
        <v>154.69</v>
      </c>
      <c r="G118" s="2988">
        <v>0</v>
      </c>
      <c r="H118" s="2990" t="s">
        <v>3348</v>
      </c>
      <c r="I118" s="2990" t="s">
        <v>3346</v>
      </c>
    </row>
    <row r="119" spans="2:9" hidden="1">
      <c r="B119" s="2986" t="s">
        <v>3306</v>
      </c>
      <c r="C119" t="s">
        <v>3268</v>
      </c>
      <c r="D119" s="2993">
        <v>1301</v>
      </c>
      <c r="E119" s="2993">
        <v>184.81</v>
      </c>
      <c r="F119" s="2993">
        <v>184.81</v>
      </c>
      <c r="G119" s="2988">
        <v>0</v>
      </c>
      <c r="H119" s="2990" t="s">
        <v>3348</v>
      </c>
      <c r="I119" s="2990" t="s">
        <v>3346</v>
      </c>
    </row>
    <row r="120" spans="2:9" hidden="1">
      <c r="B120" s="2986" t="s">
        <v>3306</v>
      </c>
      <c r="C120" t="s">
        <v>3268</v>
      </c>
      <c r="D120" s="2993">
        <v>1302</v>
      </c>
      <c r="E120" s="2993">
        <v>154.69</v>
      </c>
      <c r="F120" s="2993">
        <v>154.69</v>
      </c>
      <c r="G120" s="2988">
        <v>0</v>
      </c>
      <c r="H120" s="2990" t="s">
        <v>3348</v>
      </c>
      <c r="I120" s="2990" t="s">
        <v>3346</v>
      </c>
    </row>
    <row r="121" spans="2:9" hidden="1">
      <c r="B121" s="2986" t="s">
        <v>3306</v>
      </c>
      <c r="C121" t="s">
        <v>3268</v>
      </c>
      <c r="D121" s="2993">
        <v>1401</v>
      </c>
      <c r="E121" s="2993">
        <v>184.81</v>
      </c>
      <c r="F121" s="2993">
        <v>184.81</v>
      </c>
      <c r="G121" s="2988">
        <v>0</v>
      </c>
      <c r="H121" s="2990" t="s">
        <v>3348</v>
      </c>
      <c r="I121" s="2990" t="s">
        <v>3346</v>
      </c>
    </row>
    <row r="122" spans="2:9" hidden="1">
      <c r="B122" s="2986" t="s">
        <v>3306</v>
      </c>
      <c r="C122" t="s">
        <v>3268</v>
      </c>
      <c r="D122" s="2993">
        <v>1402</v>
      </c>
      <c r="E122" s="2993">
        <v>154.69</v>
      </c>
      <c r="F122" s="2993">
        <v>154.69</v>
      </c>
      <c r="G122" s="2988">
        <v>0</v>
      </c>
      <c r="H122" s="2990" t="s">
        <v>3348</v>
      </c>
      <c r="I122" s="2990" t="s">
        <v>3346</v>
      </c>
    </row>
    <row r="123" spans="2:9" hidden="1">
      <c r="B123" s="2986" t="s">
        <v>3306</v>
      </c>
      <c r="C123" t="s">
        <v>3268</v>
      </c>
      <c r="D123" s="2993">
        <v>1501</v>
      </c>
      <c r="E123" s="2993">
        <v>184.81</v>
      </c>
      <c r="F123" s="2993">
        <v>184.81</v>
      </c>
      <c r="G123" s="2988">
        <v>0</v>
      </c>
      <c r="H123" s="2990" t="s">
        <v>3348</v>
      </c>
      <c r="I123" s="2990" t="s">
        <v>3346</v>
      </c>
    </row>
    <row r="124" spans="2:9" hidden="1">
      <c r="B124" s="2986" t="s">
        <v>3306</v>
      </c>
      <c r="C124" t="s">
        <v>3268</v>
      </c>
      <c r="D124" s="2993">
        <v>1502</v>
      </c>
      <c r="E124" s="2993">
        <v>154.69</v>
      </c>
      <c r="F124" s="2993">
        <v>154.69</v>
      </c>
      <c r="G124" s="2988">
        <v>0</v>
      </c>
      <c r="H124" s="2990" t="s">
        <v>3348</v>
      </c>
      <c r="I124" s="2990" t="s">
        <v>3346</v>
      </c>
    </row>
    <row r="125" spans="2:9" hidden="1">
      <c r="B125" s="2986" t="s">
        <v>3306</v>
      </c>
      <c r="C125" t="s">
        <v>3268</v>
      </c>
      <c r="D125" s="2993">
        <v>1601</v>
      </c>
      <c r="E125" s="2993">
        <v>184.81</v>
      </c>
      <c r="F125" s="2993">
        <v>184.81</v>
      </c>
      <c r="G125" s="2988">
        <v>0</v>
      </c>
      <c r="H125" s="2990" t="s">
        <v>3348</v>
      </c>
      <c r="I125" s="2990" t="s">
        <v>3346</v>
      </c>
    </row>
    <row r="126" spans="2:9" hidden="1">
      <c r="B126" s="2986" t="s">
        <v>3306</v>
      </c>
      <c r="C126" t="s">
        <v>3268</v>
      </c>
      <c r="D126" s="2993">
        <v>1602</v>
      </c>
      <c r="E126" s="2993">
        <v>154.69</v>
      </c>
      <c r="F126" s="2993">
        <v>154.69</v>
      </c>
      <c r="G126" s="2988">
        <v>0</v>
      </c>
      <c r="H126" s="2990" t="s">
        <v>3348</v>
      </c>
      <c r="I126" s="2990" t="s">
        <v>3346</v>
      </c>
    </row>
    <row r="127" spans="2:9" hidden="1">
      <c r="B127" s="2986" t="s">
        <v>3306</v>
      </c>
      <c r="C127" t="s">
        <v>3268</v>
      </c>
      <c r="D127" s="2993">
        <v>1701</v>
      </c>
      <c r="E127" s="2993">
        <v>184.81</v>
      </c>
      <c r="F127" s="2993">
        <v>184.81</v>
      </c>
      <c r="G127" s="2988">
        <v>0</v>
      </c>
      <c r="H127" s="2990" t="s">
        <v>3348</v>
      </c>
      <c r="I127" s="2990" t="s">
        <v>3346</v>
      </c>
    </row>
    <row r="128" spans="2:9" hidden="1">
      <c r="B128" s="2986" t="s">
        <v>3306</v>
      </c>
      <c r="C128" t="s">
        <v>3268</v>
      </c>
      <c r="D128" s="2993">
        <v>1702</v>
      </c>
      <c r="E128" s="2993">
        <v>154.69</v>
      </c>
      <c r="F128" s="2993">
        <v>154.69</v>
      </c>
      <c r="G128" s="2988">
        <v>0</v>
      </c>
      <c r="H128" s="2990" t="s">
        <v>3348</v>
      </c>
      <c r="I128" s="2990" t="s">
        <v>3346</v>
      </c>
    </row>
    <row r="129" spans="2:9" hidden="1">
      <c r="B129" s="2986" t="s">
        <v>3306</v>
      </c>
      <c r="C129" t="s">
        <v>3268</v>
      </c>
      <c r="D129" s="2993">
        <v>1801</v>
      </c>
      <c r="E129" s="2993">
        <v>184.81</v>
      </c>
      <c r="F129" s="2993">
        <v>184.81</v>
      </c>
      <c r="G129" s="2988">
        <v>0</v>
      </c>
      <c r="H129" s="2990" t="s">
        <v>3348</v>
      </c>
      <c r="I129" s="2990" t="s">
        <v>3346</v>
      </c>
    </row>
    <row r="130" spans="2:9" hidden="1">
      <c r="B130" s="2986" t="s">
        <v>3306</v>
      </c>
      <c r="C130" t="s">
        <v>3268</v>
      </c>
      <c r="D130" s="2993">
        <v>1802</v>
      </c>
      <c r="E130" s="2993">
        <v>154.69</v>
      </c>
      <c r="F130" s="2993">
        <v>154.69</v>
      </c>
      <c r="G130" s="2988">
        <v>0</v>
      </c>
      <c r="H130" s="2990" t="s">
        <v>3348</v>
      </c>
      <c r="I130" s="2990" t="s">
        <v>3346</v>
      </c>
    </row>
    <row r="131" spans="2:9" hidden="1">
      <c r="B131" s="2986" t="s">
        <v>3306</v>
      </c>
      <c r="C131" t="s">
        <v>3268</v>
      </c>
      <c r="D131" s="2993">
        <v>1901</v>
      </c>
      <c r="E131" s="2993">
        <v>184.81</v>
      </c>
      <c r="F131" s="2993">
        <v>184.81</v>
      </c>
      <c r="G131" s="2988">
        <v>0</v>
      </c>
      <c r="H131" s="2990" t="s">
        <v>3348</v>
      </c>
      <c r="I131" s="2990" t="s">
        <v>3346</v>
      </c>
    </row>
    <row r="132" spans="2:9" hidden="1">
      <c r="B132" s="2986" t="s">
        <v>3306</v>
      </c>
      <c r="C132" t="s">
        <v>3268</v>
      </c>
      <c r="D132" s="2993">
        <v>1902</v>
      </c>
      <c r="E132" s="2993">
        <v>154.69</v>
      </c>
      <c r="F132" s="2993">
        <v>154.69</v>
      </c>
      <c r="G132" s="2988">
        <v>0</v>
      </c>
      <c r="H132" s="2990" t="s">
        <v>3348</v>
      </c>
      <c r="I132" s="2990" t="s">
        <v>3346</v>
      </c>
    </row>
    <row r="133" spans="2:9" hidden="1">
      <c r="B133" s="2986" t="s">
        <v>3306</v>
      </c>
      <c r="C133" t="s">
        <v>3289</v>
      </c>
      <c r="D133" s="2993">
        <v>101</v>
      </c>
      <c r="E133" s="2993">
        <v>295.39999999999998</v>
      </c>
      <c r="F133">
        <v>133.99</v>
      </c>
      <c r="G133">
        <v>161.41</v>
      </c>
      <c r="H133" s="2990" t="s">
        <v>3348</v>
      </c>
      <c r="I133" s="2990" t="s">
        <v>3346</v>
      </c>
    </row>
    <row r="134" spans="2:9" hidden="1">
      <c r="B134" s="2986" t="s">
        <v>3306</v>
      </c>
      <c r="C134" t="s">
        <v>3289</v>
      </c>
      <c r="D134" s="2993">
        <v>102</v>
      </c>
      <c r="E134" s="2993">
        <v>347.86</v>
      </c>
      <c r="F134">
        <v>155.81</v>
      </c>
      <c r="G134">
        <v>192.05</v>
      </c>
      <c r="H134" s="2990" t="s">
        <v>3348</v>
      </c>
      <c r="I134" s="2990" t="s">
        <v>3346</v>
      </c>
    </row>
    <row r="135" spans="2:9" hidden="1">
      <c r="B135" s="2986" t="s">
        <v>3306</v>
      </c>
      <c r="C135" t="s">
        <v>3289</v>
      </c>
      <c r="D135" s="2993">
        <v>201</v>
      </c>
      <c r="E135" s="2993">
        <v>154.07</v>
      </c>
      <c r="F135" s="2993">
        <v>154.07</v>
      </c>
      <c r="G135" s="2988">
        <v>0</v>
      </c>
      <c r="H135" s="2990" t="s">
        <v>3348</v>
      </c>
      <c r="I135" s="2990" t="s">
        <v>3346</v>
      </c>
    </row>
    <row r="136" spans="2:9" hidden="1">
      <c r="B136" s="2986" t="s">
        <v>3306</v>
      </c>
      <c r="C136" t="s">
        <v>3289</v>
      </c>
      <c r="D136" s="2993">
        <v>202</v>
      </c>
      <c r="E136" s="2993">
        <v>184.49</v>
      </c>
      <c r="F136" s="2993">
        <v>184.49</v>
      </c>
      <c r="G136" s="2988">
        <v>0</v>
      </c>
      <c r="H136" s="2990" t="s">
        <v>3348</v>
      </c>
      <c r="I136" s="2990" t="s">
        <v>3346</v>
      </c>
    </row>
    <row r="137" spans="2:9" hidden="1">
      <c r="B137" s="2986" t="s">
        <v>3306</v>
      </c>
      <c r="C137" t="s">
        <v>3289</v>
      </c>
      <c r="D137" s="2993">
        <v>301</v>
      </c>
      <c r="E137" s="2993">
        <v>154.69</v>
      </c>
      <c r="F137" s="2993">
        <v>154.69</v>
      </c>
      <c r="G137" s="2988">
        <v>0</v>
      </c>
      <c r="H137" s="2990" t="s">
        <v>3348</v>
      </c>
      <c r="I137" s="2990" t="s">
        <v>3346</v>
      </c>
    </row>
    <row r="138" spans="2:9" hidden="1">
      <c r="B138" s="2986" t="s">
        <v>3306</v>
      </c>
      <c r="C138" t="s">
        <v>3289</v>
      </c>
      <c r="D138" s="2993">
        <v>302</v>
      </c>
      <c r="E138" s="2993">
        <v>184.81</v>
      </c>
      <c r="F138" s="2993">
        <v>184.81</v>
      </c>
      <c r="G138" s="2988">
        <v>0</v>
      </c>
      <c r="H138" s="2990" t="s">
        <v>3348</v>
      </c>
      <c r="I138" s="2990" t="s">
        <v>3346</v>
      </c>
    </row>
    <row r="139" spans="2:9" hidden="1">
      <c r="B139" s="2986" t="s">
        <v>3306</v>
      </c>
      <c r="C139" t="s">
        <v>3289</v>
      </c>
      <c r="D139" s="2993">
        <v>401</v>
      </c>
      <c r="E139" s="2993">
        <v>154.69</v>
      </c>
      <c r="F139" s="2993">
        <v>154.69</v>
      </c>
      <c r="G139" s="2988">
        <v>0</v>
      </c>
      <c r="H139" s="2990" t="s">
        <v>3348</v>
      </c>
      <c r="I139" s="2990" t="s">
        <v>3346</v>
      </c>
    </row>
    <row r="140" spans="2:9" hidden="1">
      <c r="B140" s="2986" t="s">
        <v>3306</v>
      </c>
      <c r="C140" t="s">
        <v>3289</v>
      </c>
      <c r="D140" s="2993">
        <v>402</v>
      </c>
      <c r="E140" s="2993">
        <v>184.81</v>
      </c>
      <c r="F140" s="2993">
        <v>184.81</v>
      </c>
      <c r="G140" s="2988">
        <v>0</v>
      </c>
      <c r="H140" s="2990" t="s">
        <v>3348</v>
      </c>
      <c r="I140" s="2990" t="s">
        <v>3346</v>
      </c>
    </row>
    <row r="141" spans="2:9" hidden="1">
      <c r="B141" s="2986" t="s">
        <v>3306</v>
      </c>
      <c r="C141" t="s">
        <v>3289</v>
      </c>
      <c r="D141" s="2993">
        <v>501</v>
      </c>
      <c r="E141" s="2993">
        <v>154.69</v>
      </c>
      <c r="F141" s="2993">
        <v>154.69</v>
      </c>
      <c r="G141" s="2988">
        <v>0</v>
      </c>
      <c r="H141" s="2990" t="s">
        <v>3348</v>
      </c>
      <c r="I141" s="2990" t="s">
        <v>3346</v>
      </c>
    </row>
    <row r="142" spans="2:9" hidden="1">
      <c r="B142" s="2986" t="s">
        <v>3306</v>
      </c>
      <c r="C142" t="s">
        <v>3289</v>
      </c>
      <c r="D142" s="2993">
        <v>502</v>
      </c>
      <c r="E142" s="2993">
        <v>184.81</v>
      </c>
      <c r="F142" s="2993">
        <v>184.81</v>
      </c>
      <c r="G142" s="2988">
        <v>0</v>
      </c>
      <c r="H142" s="2990" t="s">
        <v>3348</v>
      </c>
      <c r="I142" s="2990" t="s">
        <v>3346</v>
      </c>
    </row>
    <row r="143" spans="2:9" hidden="1">
      <c r="B143" s="2986" t="s">
        <v>3306</v>
      </c>
      <c r="C143" t="s">
        <v>3289</v>
      </c>
      <c r="D143" s="2993">
        <v>601</v>
      </c>
      <c r="E143" s="2993">
        <v>154.69</v>
      </c>
      <c r="F143" s="2993">
        <v>154.69</v>
      </c>
      <c r="G143" s="2988">
        <v>0</v>
      </c>
      <c r="H143" s="2990" t="s">
        <v>3348</v>
      </c>
      <c r="I143" s="2990" t="s">
        <v>3346</v>
      </c>
    </row>
    <row r="144" spans="2:9" hidden="1">
      <c r="B144" s="2986" t="s">
        <v>3306</v>
      </c>
      <c r="C144" t="s">
        <v>3289</v>
      </c>
      <c r="D144" s="2993">
        <v>602</v>
      </c>
      <c r="E144" s="2993">
        <v>184.81</v>
      </c>
      <c r="F144" s="2993">
        <v>184.81</v>
      </c>
      <c r="G144" s="2988">
        <v>0</v>
      </c>
      <c r="H144" s="2990" t="s">
        <v>3348</v>
      </c>
      <c r="I144" s="2990" t="s">
        <v>3346</v>
      </c>
    </row>
    <row r="145" spans="2:9" hidden="1">
      <c r="B145" s="2986" t="s">
        <v>3306</v>
      </c>
      <c r="C145" t="s">
        <v>3289</v>
      </c>
      <c r="D145" s="2993">
        <v>701</v>
      </c>
      <c r="E145" s="2993">
        <v>154.69</v>
      </c>
      <c r="F145" s="2993">
        <v>154.69</v>
      </c>
      <c r="G145" s="2988">
        <v>0</v>
      </c>
      <c r="H145" s="2990" t="s">
        <v>3348</v>
      </c>
      <c r="I145" s="2990" t="s">
        <v>3346</v>
      </c>
    </row>
    <row r="146" spans="2:9" hidden="1">
      <c r="B146" s="2986" t="s">
        <v>3306</v>
      </c>
      <c r="C146" t="s">
        <v>3289</v>
      </c>
      <c r="D146" s="2993">
        <v>702</v>
      </c>
      <c r="E146" s="2993">
        <v>184.81</v>
      </c>
      <c r="F146" s="2993">
        <v>184.81</v>
      </c>
      <c r="G146" s="2988">
        <v>0</v>
      </c>
      <c r="H146" s="2990" t="s">
        <v>3348</v>
      </c>
      <c r="I146" s="2990" t="s">
        <v>3346</v>
      </c>
    </row>
    <row r="147" spans="2:9" hidden="1">
      <c r="B147" s="2986" t="s">
        <v>3306</v>
      </c>
      <c r="C147" t="s">
        <v>3289</v>
      </c>
      <c r="D147" s="2993">
        <v>801</v>
      </c>
      <c r="E147" s="2993">
        <v>154.69</v>
      </c>
      <c r="F147" s="2993">
        <v>154.69</v>
      </c>
      <c r="G147" s="2988">
        <v>0</v>
      </c>
      <c r="H147" s="2990" t="s">
        <v>3348</v>
      </c>
      <c r="I147" s="2990" t="s">
        <v>3346</v>
      </c>
    </row>
    <row r="148" spans="2:9" hidden="1">
      <c r="B148" s="2986" t="s">
        <v>3306</v>
      </c>
      <c r="C148" t="s">
        <v>3289</v>
      </c>
      <c r="D148" s="2993">
        <v>802</v>
      </c>
      <c r="E148" s="2993">
        <v>184.81</v>
      </c>
      <c r="F148" s="2993">
        <v>184.81</v>
      </c>
      <c r="G148" s="2988">
        <v>0</v>
      </c>
      <c r="H148" s="2990" t="s">
        <v>3348</v>
      </c>
      <c r="I148" s="2990" t="s">
        <v>3346</v>
      </c>
    </row>
    <row r="149" spans="2:9" hidden="1">
      <c r="B149" s="2986" t="s">
        <v>3306</v>
      </c>
      <c r="C149" t="s">
        <v>3289</v>
      </c>
      <c r="D149" s="2993">
        <v>901</v>
      </c>
      <c r="E149" s="2993">
        <v>154.69</v>
      </c>
      <c r="F149" s="2993">
        <v>154.69</v>
      </c>
      <c r="G149" s="2988">
        <v>0</v>
      </c>
      <c r="H149" s="2990" t="s">
        <v>3348</v>
      </c>
      <c r="I149" s="2990" t="s">
        <v>3346</v>
      </c>
    </row>
    <row r="150" spans="2:9" hidden="1">
      <c r="B150" s="2986" t="s">
        <v>3306</v>
      </c>
      <c r="C150" t="s">
        <v>3289</v>
      </c>
      <c r="D150" s="2993">
        <v>902</v>
      </c>
      <c r="E150" s="2993">
        <v>184.81</v>
      </c>
      <c r="F150" s="2993">
        <v>184.81</v>
      </c>
      <c r="G150" s="2988">
        <v>0</v>
      </c>
      <c r="H150" s="2990" t="s">
        <v>3348</v>
      </c>
      <c r="I150" s="2990" t="s">
        <v>3346</v>
      </c>
    </row>
    <row r="151" spans="2:9" hidden="1">
      <c r="B151" s="2986" t="s">
        <v>3306</v>
      </c>
      <c r="C151" t="s">
        <v>3289</v>
      </c>
      <c r="D151" s="2993">
        <v>1001</v>
      </c>
      <c r="E151" s="2993">
        <v>154.69</v>
      </c>
      <c r="F151" s="2993">
        <v>154.69</v>
      </c>
      <c r="G151" s="2988">
        <v>0</v>
      </c>
      <c r="H151" s="2990" t="s">
        <v>3348</v>
      </c>
      <c r="I151" s="2990" t="s">
        <v>3346</v>
      </c>
    </row>
    <row r="152" spans="2:9" hidden="1">
      <c r="B152" s="2986" t="s">
        <v>3306</v>
      </c>
      <c r="C152" t="s">
        <v>3289</v>
      </c>
      <c r="D152" s="2993">
        <v>1002</v>
      </c>
      <c r="E152" s="2993">
        <v>184.81</v>
      </c>
      <c r="F152" s="2993">
        <v>184.81</v>
      </c>
      <c r="G152" s="2988">
        <v>0</v>
      </c>
      <c r="H152" s="2990" t="s">
        <v>3348</v>
      </c>
      <c r="I152" s="2990" t="s">
        <v>3346</v>
      </c>
    </row>
    <row r="153" spans="2:9" hidden="1">
      <c r="B153" s="2986" t="s">
        <v>3306</v>
      </c>
      <c r="C153" t="s">
        <v>3289</v>
      </c>
      <c r="D153" s="2993">
        <v>1101</v>
      </c>
      <c r="E153" s="2993">
        <v>154.69</v>
      </c>
      <c r="F153" s="2993">
        <v>154.69</v>
      </c>
      <c r="G153" s="2988">
        <v>0</v>
      </c>
      <c r="H153" s="2990" t="s">
        <v>3348</v>
      </c>
      <c r="I153" s="2990" t="s">
        <v>3346</v>
      </c>
    </row>
    <row r="154" spans="2:9" hidden="1">
      <c r="B154" s="2986" t="s">
        <v>3306</v>
      </c>
      <c r="C154" t="s">
        <v>3289</v>
      </c>
      <c r="D154" s="2993">
        <v>1102</v>
      </c>
      <c r="E154" s="2993">
        <v>184.81</v>
      </c>
      <c r="F154" s="2993">
        <v>184.81</v>
      </c>
      <c r="G154" s="2988">
        <v>0</v>
      </c>
      <c r="H154" s="2990" t="s">
        <v>3348</v>
      </c>
      <c r="I154" s="2990" t="s">
        <v>3346</v>
      </c>
    </row>
    <row r="155" spans="2:9" hidden="1">
      <c r="B155" s="2986" t="s">
        <v>3306</v>
      </c>
      <c r="C155" t="s">
        <v>3289</v>
      </c>
      <c r="D155" s="2993">
        <v>1201</v>
      </c>
      <c r="E155" s="2993">
        <v>154.69</v>
      </c>
      <c r="F155" s="2993">
        <v>154.69</v>
      </c>
      <c r="G155" s="2988">
        <v>0</v>
      </c>
      <c r="H155" s="2990" t="s">
        <v>3348</v>
      </c>
      <c r="I155" s="2990" t="s">
        <v>3346</v>
      </c>
    </row>
    <row r="156" spans="2:9" hidden="1">
      <c r="B156" s="2986" t="s">
        <v>3306</v>
      </c>
      <c r="C156" t="s">
        <v>3289</v>
      </c>
      <c r="D156" s="2993">
        <v>1202</v>
      </c>
      <c r="E156" s="2993">
        <v>184.81</v>
      </c>
      <c r="F156" s="2993">
        <v>184.81</v>
      </c>
      <c r="G156" s="2988">
        <v>0</v>
      </c>
      <c r="H156" s="2990" t="s">
        <v>3348</v>
      </c>
      <c r="I156" s="2990" t="s">
        <v>3346</v>
      </c>
    </row>
    <row r="157" spans="2:9" hidden="1">
      <c r="B157" s="2986" t="s">
        <v>3306</v>
      </c>
      <c r="C157" t="s">
        <v>3289</v>
      </c>
      <c r="D157" s="2993">
        <v>1301</v>
      </c>
      <c r="E157" s="2993">
        <v>154.69</v>
      </c>
      <c r="F157" s="2993">
        <v>154.69</v>
      </c>
      <c r="G157" s="2988">
        <v>0</v>
      </c>
      <c r="H157" s="2990" t="s">
        <v>3348</v>
      </c>
      <c r="I157" s="2990" t="s">
        <v>3346</v>
      </c>
    </row>
    <row r="158" spans="2:9" hidden="1">
      <c r="B158" s="2986" t="s">
        <v>3306</v>
      </c>
      <c r="C158" t="s">
        <v>3289</v>
      </c>
      <c r="D158" s="2993">
        <v>1302</v>
      </c>
      <c r="E158" s="2993">
        <v>184.81</v>
      </c>
      <c r="F158" s="2993">
        <v>184.81</v>
      </c>
      <c r="G158" s="2988">
        <v>0</v>
      </c>
      <c r="H158" s="2990" t="s">
        <v>3348</v>
      </c>
      <c r="I158" s="2990" t="s">
        <v>3346</v>
      </c>
    </row>
    <row r="159" spans="2:9" hidden="1">
      <c r="B159" s="2986" t="s">
        <v>3306</v>
      </c>
      <c r="C159" t="s">
        <v>3289</v>
      </c>
      <c r="D159" s="2993">
        <v>1401</v>
      </c>
      <c r="E159" s="2993">
        <v>154.69</v>
      </c>
      <c r="F159" s="2993">
        <v>154.69</v>
      </c>
      <c r="G159" s="2988">
        <v>0</v>
      </c>
      <c r="H159" s="2990" t="s">
        <v>3348</v>
      </c>
      <c r="I159" s="2990" t="s">
        <v>3346</v>
      </c>
    </row>
    <row r="160" spans="2:9" hidden="1">
      <c r="B160" s="2986" t="s">
        <v>3306</v>
      </c>
      <c r="C160" t="s">
        <v>3289</v>
      </c>
      <c r="D160" s="2993">
        <v>1402</v>
      </c>
      <c r="E160" s="2993">
        <v>184.81</v>
      </c>
      <c r="F160" s="2993">
        <v>184.81</v>
      </c>
      <c r="G160" s="2988">
        <v>0</v>
      </c>
      <c r="H160" s="2990" t="s">
        <v>3348</v>
      </c>
      <c r="I160" s="2990" t="s">
        <v>3346</v>
      </c>
    </row>
    <row r="161" spans="2:9" hidden="1">
      <c r="B161" s="2986" t="s">
        <v>3306</v>
      </c>
      <c r="C161" t="s">
        <v>3289</v>
      </c>
      <c r="D161" s="2993">
        <v>1501</v>
      </c>
      <c r="E161" s="2993">
        <v>154.69</v>
      </c>
      <c r="F161" s="2993">
        <v>154.69</v>
      </c>
      <c r="G161" s="2988">
        <v>0</v>
      </c>
      <c r="H161" s="2990" t="s">
        <v>3348</v>
      </c>
      <c r="I161" s="2990" t="s">
        <v>3346</v>
      </c>
    </row>
    <row r="162" spans="2:9" hidden="1">
      <c r="B162" s="2986" t="s">
        <v>3306</v>
      </c>
      <c r="C162" t="s">
        <v>3289</v>
      </c>
      <c r="D162" s="2993">
        <v>1502</v>
      </c>
      <c r="E162" s="2993">
        <v>184.81</v>
      </c>
      <c r="F162" s="2993">
        <v>184.81</v>
      </c>
      <c r="G162" s="2988">
        <v>0</v>
      </c>
      <c r="H162" s="2990" t="s">
        <v>3348</v>
      </c>
      <c r="I162" s="2990" t="s">
        <v>3346</v>
      </c>
    </row>
    <row r="163" spans="2:9" hidden="1">
      <c r="B163" s="2986" t="s">
        <v>3306</v>
      </c>
      <c r="C163" t="s">
        <v>3289</v>
      </c>
      <c r="D163" s="2993">
        <v>1601</v>
      </c>
      <c r="E163" s="2993">
        <v>154.69</v>
      </c>
      <c r="F163" s="2993">
        <v>154.69</v>
      </c>
      <c r="G163" s="2988">
        <v>0</v>
      </c>
      <c r="H163" s="2990" t="s">
        <v>3348</v>
      </c>
      <c r="I163" s="2990" t="s">
        <v>3346</v>
      </c>
    </row>
    <row r="164" spans="2:9" hidden="1">
      <c r="B164" s="2986" t="s">
        <v>3306</v>
      </c>
      <c r="C164" t="s">
        <v>3289</v>
      </c>
      <c r="D164" s="2993">
        <v>1602</v>
      </c>
      <c r="E164" s="2993">
        <v>184.81</v>
      </c>
      <c r="F164" s="2993">
        <v>184.81</v>
      </c>
      <c r="G164" s="2988">
        <v>0</v>
      </c>
      <c r="H164" s="2990" t="s">
        <v>3348</v>
      </c>
      <c r="I164" s="2990" t="s">
        <v>3346</v>
      </c>
    </row>
    <row r="165" spans="2:9" hidden="1">
      <c r="B165" s="2986" t="s">
        <v>3306</v>
      </c>
      <c r="C165" t="s">
        <v>3289</v>
      </c>
      <c r="D165" s="2993">
        <v>1701</v>
      </c>
      <c r="E165" s="2993">
        <v>154.69</v>
      </c>
      <c r="F165" s="2993">
        <v>154.69</v>
      </c>
      <c r="G165" s="2988">
        <v>0</v>
      </c>
      <c r="H165" s="2990" t="s">
        <v>3348</v>
      </c>
      <c r="I165" s="2990" t="s">
        <v>3346</v>
      </c>
    </row>
    <row r="166" spans="2:9" hidden="1">
      <c r="B166" s="2986" t="s">
        <v>3306</v>
      </c>
      <c r="C166" t="s">
        <v>3289</v>
      </c>
      <c r="D166" s="2993">
        <v>1702</v>
      </c>
      <c r="E166" s="2993">
        <v>184.81</v>
      </c>
      <c r="F166" s="2993">
        <v>184.81</v>
      </c>
      <c r="G166" s="2988">
        <v>0</v>
      </c>
      <c r="H166" s="2990" t="s">
        <v>3348</v>
      </c>
      <c r="I166" s="2990" t="s">
        <v>3346</v>
      </c>
    </row>
    <row r="167" spans="2:9" hidden="1">
      <c r="B167" s="2986" t="s">
        <v>3306</v>
      </c>
      <c r="C167" t="s">
        <v>3289</v>
      </c>
      <c r="D167" s="2993">
        <v>1801</v>
      </c>
      <c r="E167" s="2993">
        <v>154.69</v>
      </c>
      <c r="F167" s="2993">
        <v>154.69</v>
      </c>
      <c r="G167" s="2988">
        <v>0</v>
      </c>
      <c r="H167" s="2990" t="s">
        <v>3348</v>
      </c>
      <c r="I167" s="2990" t="s">
        <v>3346</v>
      </c>
    </row>
    <row r="168" spans="2:9" hidden="1">
      <c r="B168" s="2986" t="s">
        <v>3306</v>
      </c>
      <c r="C168" t="s">
        <v>3289</v>
      </c>
      <c r="D168" s="2993">
        <v>1802</v>
      </c>
      <c r="E168" s="2993">
        <v>184.81</v>
      </c>
      <c r="F168" s="2993">
        <v>184.81</v>
      </c>
      <c r="G168" s="2988">
        <v>0</v>
      </c>
      <c r="H168" s="2990" t="s">
        <v>3348</v>
      </c>
      <c r="I168" s="2990" t="s">
        <v>3346</v>
      </c>
    </row>
    <row r="169" spans="2:9" hidden="1">
      <c r="B169" s="2986" t="s">
        <v>3306</v>
      </c>
      <c r="C169" t="s">
        <v>3289</v>
      </c>
      <c r="D169" s="2993">
        <v>1901</v>
      </c>
      <c r="E169" s="2993">
        <v>154.69</v>
      </c>
      <c r="F169" s="2993">
        <v>154.69</v>
      </c>
      <c r="G169" s="2988">
        <v>0</v>
      </c>
      <c r="H169" s="2990" t="s">
        <v>3348</v>
      </c>
      <c r="I169" s="2990" t="s">
        <v>3346</v>
      </c>
    </row>
    <row r="170" spans="2:9" hidden="1">
      <c r="B170" s="2986" t="s">
        <v>3306</v>
      </c>
      <c r="C170" t="s">
        <v>3289</v>
      </c>
      <c r="D170" s="2993">
        <v>1902</v>
      </c>
      <c r="E170" s="2993">
        <v>184.81</v>
      </c>
      <c r="F170" s="2993">
        <v>184.81</v>
      </c>
      <c r="G170" s="2988">
        <v>0</v>
      </c>
      <c r="H170" s="2990" t="s">
        <v>3348</v>
      </c>
      <c r="I170" s="2990" t="s">
        <v>3346</v>
      </c>
    </row>
    <row r="171" spans="2:9" hidden="1">
      <c r="B171" s="2986" t="s">
        <v>3324</v>
      </c>
      <c r="C171" s="2992" t="s">
        <v>3325</v>
      </c>
      <c r="D171" s="2988">
        <v>102</v>
      </c>
      <c r="E171" s="2988">
        <v>220.52</v>
      </c>
      <c r="F171" s="2988">
        <v>110.74</v>
      </c>
      <c r="G171" s="2988">
        <v>109.78</v>
      </c>
      <c r="H171" s="2990" t="s">
        <v>3348</v>
      </c>
      <c r="I171" s="2990" t="s">
        <v>3346</v>
      </c>
    </row>
    <row r="172" spans="2:9" hidden="1">
      <c r="B172" s="2986" t="s">
        <v>3305</v>
      </c>
      <c r="C172" s="2992" t="s">
        <v>3325</v>
      </c>
      <c r="D172" s="2988">
        <v>202</v>
      </c>
      <c r="E172" s="2988">
        <v>111.24</v>
      </c>
      <c r="F172" s="2988">
        <v>111.24</v>
      </c>
      <c r="G172" s="2988">
        <v>0</v>
      </c>
      <c r="H172" s="2990" t="s">
        <v>3348</v>
      </c>
      <c r="I172" s="2990" t="s">
        <v>3346</v>
      </c>
    </row>
    <row r="173" spans="2:9" hidden="1">
      <c r="B173" s="2995" t="s">
        <v>3305</v>
      </c>
      <c r="C173" s="3000" t="s">
        <v>3325</v>
      </c>
      <c r="D173" s="2999">
        <v>302</v>
      </c>
      <c r="E173" s="2999">
        <v>125.09</v>
      </c>
      <c r="F173" s="2999">
        <v>125.09</v>
      </c>
      <c r="G173" s="2999">
        <v>0</v>
      </c>
      <c r="H173" s="2996" t="s">
        <v>3348</v>
      </c>
      <c r="I173" s="2996" t="s">
        <v>3359</v>
      </c>
    </row>
    <row r="174" spans="2:9" hidden="1">
      <c r="B174" s="2986" t="s">
        <v>3305</v>
      </c>
      <c r="C174" s="2992" t="s">
        <v>3325</v>
      </c>
      <c r="D174" s="2988">
        <v>402</v>
      </c>
      <c r="E174" s="2988">
        <v>125.09</v>
      </c>
      <c r="F174" s="2988">
        <v>125.09</v>
      </c>
      <c r="G174" s="2988">
        <v>0</v>
      </c>
      <c r="H174" s="2990" t="s">
        <v>3348</v>
      </c>
      <c r="I174" s="2990" t="s">
        <v>3346</v>
      </c>
    </row>
    <row r="175" spans="2:9" hidden="1">
      <c r="B175" s="2986" t="s">
        <v>3305</v>
      </c>
      <c r="C175" s="2992" t="s">
        <v>3325</v>
      </c>
      <c r="D175" s="2988">
        <v>802</v>
      </c>
      <c r="E175" s="2988">
        <v>125.09</v>
      </c>
      <c r="F175" s="2988">
        <v>125.09</v>
      </c>
      <c r="G175" s="2988">
        <v>0</v>
      </c>
      <c r="H175" s="2990" t="s">
        <v>3348</v>
      </c>
      <c r="I175" s="2990" t="s">
        <v>3346</v>
      </c>
    </row>
    <row r="176" spans="2:9" hidden="1">
      <c r="B176" s="2986" t="s">
        <v>3305</v>
      </c>
      <c r="C176" s="2992" t="s">
        <v>3325</v>
      </c>
      <c r="D176" s="2988">
        <v>1402</v>
      </c>
      <c r="E176" s="2988">
        <v>125.09</v>
      </c>
      <c r="F176" s="2988">
        <v>125.09</v>
      </c>
      <c r="G176" s="2988">
        <v>0</v>
      </c>
      <c r="H176" s="2990" t="s">
        <v>3348</v>
      </c>
      <c r="I176" s="2990" t="s">
        <v>3346</v>
      </c>
    </row>
    <row r="177" spans="2:9" hidden="1">
      <c r="B177" s="2986" t="s">
        <v>3305</v>
      </c>
      <c r="C177" s="2992" t="s">
        <v>3325</v>
      </c>
      <c r="D177" s="2988">
        <v>1502</v>
      </c>
      <c r="E177" s="2988">
        <v>125.09</v>
      </c>
      <c r="F177" s="2988">
        <v>125.09</v>
      </c>
      <c r="G177" s="2988">
        <v>0</v>
      </c>
      <c r="H177" s="2990" t="s">
        <v>3348</v>
      </c>
      <c r="I177" s="2990" t="s">
        <v>3346</v>
      </c>
    </row>
    <row r="178" spans="2:9" hidden="1">
      <c r="B178" s="2986" t="s">
        <v>3305</v>
      </c>
      <c r="C178" s="2992" t="s">
        <v>3325</v>
      </c>
      <c r="D178" s="2988">
        <v>1702</v>
      </c>
      <c r="E178" s="2988">
        <v>125.09</v>
      </c>
      <c r="F178" s="2988">
        <v>125.09</v>
      </c>
      <c r="G178" s="2988">
        <v>0</v>
      </c>
      <c r="H178" s="2990" t="s">
        <v>3348</v>
      </c>
      <c r="I178" s="2990" t="s">
        <v>3346</v>
      </c>
    </row>
    <row r="179" spans="2:9" hidden="1">
      <c r="B179" s="2986" t="s">
        <v>3305</v>
      </c>
      <c r="C179" s="2992" t="s">
        <v>3325</v>
      </c>
      <c r="D179" s="2988">
        <v>1802</v>
      </c>
      <c r="E179" s="2988">
        <v>125.09</v>
      </c>
      <c r="F179" s="2988">
        <v>125.09</v>
      </c>
      <c r="G179" s="2988">
        <v>0</v>
      </c>
      <c r="H179" s="2990" t="s">
        <v>3348</v>
      </c>
      <c r="I179" s="2990" t="s">
        <v>3346</v>
      </c>
    </row>
    <row r="180" spans="2:9" hidden="1">
      <c r="B180" s="2986" t="s">
        <v>3321</v>
      </c>
      <c r="C180" s="2991" t="s">
        <v>3322</v>
      </c>
      <c r="D180" s="2988">
        <v>102</v>
      </c>
      <c r="E180" s="2988">
        <v>278.48</v>
      </c>
      <c r="F180" s="2988">
        <v>126.89</v>
      </c>
      <c r="G180" s="2988">
        <v>151.59</v>
      </c>
      <c r="H180" s="2990" t="s">
        <v>3348</v>
      </c>
      <c r="I180" s="2990" t="s">
        <v>3346</v>
      </c>
    </row>
    <row r="181" spans="2:9" hidden="1">
      <c r="B181" s="2986" t="s">
        <v>3303</v>
      </c>
      <c r="C181" s="2991" t="s">
        <v>3268</v>
      </c>
      <c r="D181" s="2988">
        <v>201</v>
      </c>
      <c r="E181" s="2988">
        <v>120.36</v>
      </c>
      <c r="F181" s="2988">
        <v>120.36</v>
      </c>
      <c r="G181" s="2988">
        <v>0</v>
      </c>
      <c r="H181" s="2990" t="s">
        <v>3348</v>
      </c>
      <c r="I181" s="2990" t="s">
        <v>3346</v>
      </c>
    </row>
    <row r="182" spans="2:9" hidden="1">
      <c r="B182" s="2986" t="s">
        <v>3303</v>
      </c>
      <c r="C182" s="2991" t="s">
        <v>3268</v>
      </c>
      <c r="D182" s="2988">
        <v>202</v>
      </c>
      <c r="E182" s="2988">
        <v>134.09</v>
      </c>
      <c r="F182" s="2988">
        <v>134.09</v>
      </c>
      <c r="G182" s="2988">
        <v>0</v>
      </c>
      <c r="H182" s="2990" t="s">
        <v>3348</v>
      </c>
      <c r="I182" s="2990" t="s">
        <v>3346</v>
      </c>
    </row>
    <row r="183" spans="2:9" hidden="1">
      <c r="B183" s="2986" t="s">
        <v>3303</v>
      </c>
      <c r="C183" s="2991" t="s">
        <v>3268</v>
      </c>
      <c r="D183" s="2988">
        <v>401</v>
      </c>
      <c r="E183" s="2988">
        <v>120.36</v>
      </c>
      <c r="F183" s="2988">
        <v>120.36</v>
      </c>
      <c r="G183" s="2988">
        <v>0</v>
      </c>
      <c r="H183" s="2990" t="s">
        <v>3348</v>
      </c>
      <c r="I183" s="2990" t="s">
        <v>3346</v>
      </c>
    </row>
    <row r="184" spans="2:9" hidden="1">
      <c r="B184" s="2986" t="s">
        <v>3303</v>
      </c>
      <c r="C184" s="2991" t="s">
        <v>3268</v>
      </c>
      <c r="D184" s="2988">
        <v>701</v>
      </c>
      <c r="E184" s="2988">
        <v>120.36</v>
      </c>
      <c r="F184" s="2988">
        <v>120.36</v>
      </c>
      <c r="G184" s="2988">
        <v>0</v>
      </c>
      <c r="H184" s="2990" t="s">
        <v>3348</v>
      </c>
      <c r="I184" s="2990" t="s">
        <v>3346</v>
      </c>
    </row>
    <row r="185" spans="2:9" hidden="1">
      <c r="B185" s="2995" t="s">
        <v>3303</v>
      </c>
      <c r="C185" s="2998" t="s">
        <v>3268</v>
      </c>
      <c r="D185" s="2999">
        <v>1302</v>
      </c>
      <c r="E185" s="2999">
        <v>134.09</v>
      </c>
      <c r="F185" s="2999">
        <v>134.09</v>
      </c>
      <c r="G185" s="2999">
        <v>0</v>
      </c>
      <c r="H185" s="2996" t="s">
        <v>3348</v>
      </c>
      <c r="I185" s="2996" t="s">
        <v>3359</v>
      </c>
    </row>
    <row r="186" spans="2:9" hidden="1">
      <c r="B186" s="2995" t="s">
        <v>3303</v>
      </c>
      <c r="C186" s="2998" t="s">
        <v>3268</v>
      </c>
      <c r="D186" s="2999">
        <v>1402</v>
      </c>
      <c r="E186" s="2999">
        <v>134.09</v>
      </c>
      <c r="F186" s="2999">
        <v>134.09</v>
      </c>
      <c r="G186" s="2999">
        <v>0</v>
      </c>
      <c r="H186" s="2996" t="s">
        <v>3348</v>
      </c>
      <c r="I186" s="2996" t="s">
        <v>3359</v>
      </c>
    </row>
    <row r="187" spans="2:9" hidden="1">
      <c r="B187" s="2986" t="s">
        <v>3303</v>
      </c>
      <c r="C187" s="2991" t="s">
        <v>3268</v>
      </c>
      <c r="D187" s="2988">
        <v>1502</v>
      </c>
      <c r="E187" s="2988">
        <v>134.09</v>
      </c>
      <c r="F187" s="2988">
        <v>134.09</v>
      </c>
      <c r="G187" s="2988">
        <v>0</v>
      </c>
      <c r="H187" s="2990" t="s">
        <v>3348</v>
      </c>
      <c r="I187" s="2990" t="s">
        <v>3346</v>
      </c>
    </row>
    <row r="188" spans="2:9" hidden="1">
      <c r="B188" s="2986" t="s">
        <v>3303</v>
      </c>
      <c r="C188" s="2991" t="s">
        <v>3268</v>
      </c>
      <c r="D188" s="2988">
        <v>1601</v>
      </c>
      <c r="E188" s="2988">
        <v>120.36</v>
      </c>
      <c r="F188" s="2988">
        <v>120.36</v>
      </c>
      <c r="G188" s="2988">
        <v>0</v>
      </c>
      <c r="H188" s="2990" t="s">
        <v>3348</v>
      </c>
      <c r="I188" s="2990" t="s">
        <v>3346</v>
      </c>
    </row>
    <row r="189" spans="2:9" hidden="1">
      <c r="B189" s="2986" t="s">
        <v>3303</v>
      </c>
      <c r="C189" s="2991" t="s">
        <v>3323</v>
      </c>
      <c r="D189" s="2988">
        <v>101</v>
      </c>
      <c r="E189" s="2988">
        <v>278.75</v>
      </c>
      <c r="F189" s="2988">
        <v>126.89</v>
      </c>
      <c r="G189" s="2988">
        <v>151.86000000000001</v>
      </c>
      <c r="H189" s="2990" t="s">
        <v>3348</v>
      </c>
      <c r="I189" s="2990" t="s">
        <v>3346</v>
      </c>
    </row>
    <row r="190" spans="2:9" hidden="1">
      <c r="B190" s="2986" t="s">
        <v>3303</v>
      </c>
      <c r="C190" s="2991" t="s">
        <v>3323</v>
      </c>
      <c r="D190" s="2988">
        <v>102</v>
      </c>
      <c r="E190" s="2988">
        <v>294.69</v>
      </c>
      <c r="F190" s="2988">
        <v>142.63999999999999</v>
      </c>
      <c r="G190" s="2988">
        <v>152.05000000000001</v>
      </c>
      <c r="H190" s="2990" t="s">
        <v>3348</v>
      </c>
      <c r="I190" s="2990" t="s">
        <v>3346</v>
      </c>
    </row>
    <row r="191" spans="2:9" hidden="1">
      <c r="B191" s="2986" t="s">
        <v>3303</v>
      </c>
      <c r="C191" s="2991" t="s">
        <v>3289</v>
      </c>
      <c r="D191" s="2988">
        <v>202</v>
      </c>
      <c r="E191" s="2988">
        <v>134.58000000000001</v>
      </c>
      <c r="F191" s="2988">
        <v>134.58000000000001</v>
      </c>
      <c r="G191" s="2988">
        <v>0</v>
      </c>
      <c r="H191" s="2990" t="s">
        <v>3348</v>
      </c>
      <c r="I191" s="2990" t="s">
        <v>3346</v>
      </c>
    </row>
    <row r="192" spans="2:9" hidden="1">
      <c r="B192" s="2986" t="s">
        <v>3303</v>
      </c>
      <c r="C192" s="2991" t="s">
        <v>3289</v>
      </c>
      <c r="D192" s="2988">
        <v>502</v>
      </c>
      <c r="E192" s="2988">
        <v>134.58000000000001</v>
      </c>
      <c r="F192" s="2988">
        <v>134.58000000000001</v>
      </c>
      <c r="G192" s="2988">
        <v>0</v>
      </c>
      <c r="H192" s="2990" t="s">
        <v>3348</v>
      </c>
      <c r="I192" s="2990" t="s">
        <v>3346</v>
      </c>
    </row>
    <row r="193" spans="2:9" hidden="1">
      <c r="B193" s="2986" t="s">
        <v>3303</v>
      </c>
      <c r="C193" s="2991" t="s">
        <v>3289</v>
      </c>
      <c r="D193" s="2988">
        <v>902</v>
      </c>
      <c r="E193" s="2988">
        <v>134.58000000000001</v>
      </c>
      <c r="F193" s="2988">
        <v>134.58000000000001</v>
      </c>
      <c r="G193" s="2988">
        <v>0</v>
      </c>
      <c r="H193" s="2990" t="s">
        <v>3348</v>
      </c>
      <c r="I193" s="2990" t="s">
        <v>3346</v>
      </c>
    </row>
    <row r="194" spans="2:9" hidden="1">
      <c r="B194" s="2986" t="s">
        <v>3303</v>
      </c>
      <c r="C194" s="2991" t="s">
        <v>3289</v>
      </c>
      <c r="D194" s="2988">
        <v>1001</v>
      </c>
      <c r="E194" s="2988">
        <v>134.09</v>
      </c>
      <c r="F194" s="2988">
        <v>134.09</v>
      </c>
      <c r="G194" s="2988">
        <v>0</v>
      </c>
      <c r="H194" s="2990" t="s">
        <v>3348</v>
      </c>
      <c r="I194" s="2990" t="s">
        <v>3346</v>
      </c>
    </row>
    <row r="195" spans="2:9" hidden="1">
      <c r="B195" s="2986" t="s">
        <v>3303</v>
      </c>
      <c r="C195" s="2991" t="s">
        <v>3289</v>
      </c>
      <c r="D195" s="2988">
        <v>1101</v>
      </c>
      <c r="E195" s="2988">
        <v>134.09</v>
      </c>
      <c r="F195" s="2988">
        <v>134.09</v>
      </c>
      <c r="G195" s="2988">
        <v>0</v>
      </c>
      <c r="H195" s="2990" t="s">
        <v>3348</v>
      </c>
      <c r="I195" s="2990" t="s">
        <v>3346</v>
      </c>
    </row>
    <row r="196" spans="2:9" hidden="1">
      <c r="B196" s="2986" t="s">
        <v>3303</v>
      </c>
      <c r="C196" s="2991" t="s">
        <v>3289</v>
      </c>
      <c r="D196" s="2988">
        <v>1201</v>
      </c>
      <c r="E196" s="2988">
        <v>134.09</v>
      </c>
      <c r="F196" s="2988">
        <v>134.09</v>
      </c>
      <c r="G196" s="2988">
        <v>0</v>
      </c>
      <c r="H196" s="2990" t="s">
        <v>3348</v>
      </c>
      <c r="I196" s="2990" t="s">
        <v>3346</v>
      </c>
    </row>
    <row r="197" spans="2:9" hidden="1">
      <c r="B197" s="2986" t="s">
        <v>3303</v>
      </c>
      <c r="C197" s="2991" t="s">
        <v>3289</v>
      </c>
      <c r="D197" s="2988">
        <v>1302</v>
      </c>
      <c r="E197" s="2988">
        <v>134.58000000000001</v>
      </c>
      <c r="F197" s="2988">
        <v>134.58000000000001</v>
      </c>
      <c r="G197" s="2988">
        <v>0</v>
      </c>
      <c r="H197" s="2990" t="s">
        <v>3348</v>
      </c>
      <c r="I197" s="2990" t="s">
        <v>3346</v>
      </c>
    </row>
    <row r="198" spans="2:9" hidden="1">
      <c r="B198" s="2986" t="s">
        <v>3303</v>
      </c>
      <c r="C198" s="2991" t="s">
        <v>3289</v>
      </c>
      <c r="D198" s="2988">
        <v>1602</v>
      </c>
      <c r="E198" s="2988">
        <v>134.58000000000001</v>
      </c>
      <c r="F198" s="2988">
        <v>134.58000000000001</v>
      </c>
      <c r="G198" s="2988">
        <v>0</v>
      </c>
      <c r="H198" s="2990" t="s">
        <v>3348</v>
      </c>
      <c r="I198" s="2990" t="s">
        <v>3346</v>
      </c>
    </row>
    <row r="199" spans="2:9" hidden="1">
      <c r="B199" s="2986" t="s">
        <v>3320</v>
      </c>
      <c r="C199" s="2988" t="s">
        <v>3268</v>
      </c>
      <c r="D199" s="2988">
        <v>101</v>
      </c>
      <c r="E199" s="2988">
        <v>342.58</v>
      </c>
      <c r="F199" s="2988">
        <v>155.84</v>
      </c>
      <c r="G199">
        <v>186.74</v>
      </c>
      <c r="H199" s="2990" t="s">
        <v>3348</v>
      </c>
      <c r="I199" s="2990" t="s">
        <v>3346</v>
      </c>
    </row>
    <row r="200" spans="2:9" hidden="1">
      <c r="B200" s="2986" t="s">
        <v>3320</v>
      </c>
      <c r="C200" s="2988" t="s">
        <v>3268</v>
      </c>
      <c r="D200" s="2988">
        <v>102</v>
      </c>
      <c r="E200" s="2988">
        <v>295.45</v>
      </c>
      <c r="F200" s="2988">
        <v>134.01</v>
      </c>
      <c r="G200">
        <v>161.44</v>
      </c>
      <c r="H200" s="2990" t="s">
        <v>3348</v>
      </c>
      <c r="I200" s="2990" t="s">
        <v>3346</v>
      </c>
    </row>
    <row r="201" spans="2:9" hidden="1">
      <c r="B201" s="2986" t="s">
        <v>3314</v>
      </c>
      <c r="C201" s="2990" t="s">
        <v>3325</v>
      </c>
      <c r="D201" s="2993">
        <v>701</v>
      </c>
      <c r="E201" s="2993">
        <v>154.19999999999999</v>
      </c>
      <c r="F201" s="2993">
        <v>154.19999999999999</v>
      </c>
      <c r="G201" s="2993">
        <v>0</v>
      </c>
      <c r="H201" s="2990" t="s">
        <v>3348</v>
      </c>
      <c r="I201" s="2990" t="s">
        <v>3352</v>
      </c>
    </row>
    <row r="202" spans="2:9" hidden="1">
      <c r="B202" s="2986" t="s">
        <v>3314</v>
      </c>
      <c r="C202" s="2990" t="s">
        <v>3325</v>
      </c>
      <c r="D202" s="2993">
        <v>902</v>
      </c>
      <c r="E202" s="2993">
        <v>152.58000000000001</v>
      </c>
      <c r="F202" s="2993">
        <v>152.58000000000001</v>
      </c>
      <c r="G202" s="2993">
        <v>0</v>
      </c>
      <c r="H202" s="2990" t="s">
        <v>3348</v>
      </c>
      <c r="I202" s="2990" t="s">
        <v>3352</v>
      </c>
    </row>
    <row r="203" spans="2:9" hidden="1">
      <c r="B203" s="2986" t="s">
        <v>3314</v>
      </c>
      <c r="C203" s="2990" t="s">
        <v>3325</v>
      </c>
      <c r="D203" s="2993">
        <v>1001</v>
      </c>
      <c r="E203" s="2993">
        <v>154.19999999999999</v>
      </c>
      <c r="F203" s="2993">
        <v>154.19999999999999</v>
      </c>
      <c r="G203" s="2993">
        <v>0</v>
      </c>
      <c r="H203" s="2990" t="s">
        <v>3348</v>
      </c>
      <c r="I203" s="2990" t="s">
        <v>3352</v>
      </c>
    </row>
    <row r="204" spans="2:9" hidden="1">
      <c r="B204" s="2986" t="s">
        <v>3314</v>
      </c>
      <c r="C204" s="2990" t="s">
        <v>3325</v>
      </c>
      <c r="D204" s="2993">
        <v>1002</v>
      </c>
      <c r="E204" s="2993">
        <v>152.58000000000001</v>
      </c>
      <c r="F204" s="2993">
        <v>152.58000000000001</v>
      </c>
      <c r="G204" s="2993">
        <v>0</v>
      </c>
      <c r="H204" s="2990" t="s">
        <v>3348</v>
      </c>
      <c r="I204" s="2990" t="s">
        <v>3352</v>
      </c>
    </row>
    <row r="205" spans="2:9" hidden="1">
      <c r="B205" s="2986" t="s">
        <v>3314</v>
      </c>
      <c r="C205" s="2990" t="s">
        <v>3325</v>
      </c>
      <c r="D205" s="2993">
        <v>1301</v>
      </c>
      <c r="E205" s="2993">
        <v>154.19999999999999</v>
      </c>
      <c r="F205" s="2993">
        <v>154.19999999999999</v>
      </c>
      <c r="G205" s="2993">
        <v>0</v>
      </c>
      <c r="H205" s="2990" t="s">
        <v>3348</v>
      </c>
      <c r="I205" s="2990" t="s">
        <v>3352</v>
      </c>
    </row>
    <row r="206" spans="2:9" hidden="1">
      <c r="B206" s="2986" t="s">
        <v>3314</v>
      </c>
      <c r="C206" s="2990" t="s">
        <v>3325</v>
      </c>
      <c r="D206" s="2993">
        <v>1501</v>
      </c>
      <c r="E206" s="2993">
        <v>154.19999999999999</v>
      </c>
      <c r="F206" s="2993">
        <v>154.19999999999999</v>
      </c>
      <c r="G206" s="2993">
        <v>0</v>
      </c>
      <c r="H206" s="2990" t="s">
        <v>3348</v>
      </c>
      <c r="I206" s="2990" t="s">
        <v>3352</v>
      </c>
    </row>
    <row r="207" spans="2:9" hidden="1">
      <c r="B207" s="2986" t="s">
        <v>3314</v>
      </c>
      <c r="C207" s="2990" t="s">
        <v>3325</v>
      </c>
      <c r="D207" s="2993">
        <v>1601</v>
      </c>
      <c r="E207" s="2993">
        <v>154.19999999999999</v>
      </c>
      <c r="F207" s="2993">
        <v>154.19999999999999</v>
      </c>
      <c r="G207" s="2993">
        <v>0</v>
      </c>
      <c r="H207" s="2990" t="s">
        <v>3348</v>
      </c>
      <c r="I207" s="2990" t="s">
        <v>3352</v>
      </c>
    </row>
    <row r="208" spans="2:9" hidden="1">
      <c r="B208" s="2986" t="s">
        <v>3314</v>
      </c>
      <c r="C208" s="2990" t="s">
        <v>3325</v>
      </c>
      <c r="D208" s="2993">
        <v>1801</v>
      </c>
      <c r="E208" s="2993">
        <v>154.19999999999999</v>
      </c>
      <c r="F208" s="2993">
        <v>154.19999999999999</v>
      </c>
      <c r="G208" s="2993">
        <v>0</v>
      </c>
      <c r="H208" s="2990" t="s">
        <v>3348</v>
      </c>
      <c r="I208" s="2990" t="s">
        <v>3352</v>
      </c>
    </row>
    <row r="209" spans="2:9" hidden="1">
      <c r="B209" s="2986" t="s">
        <v>3314</v>
      </c>
      <c r="C209" s="2990" t="s">
        <v>3325</v>
      </c>
      <c r="D209" s="2993">
        <v>1802</v>
      </c>
      <c r="E209" s="2993">
        <v>152.58000000000001</v>
      </c>
      <c r="F209" s="2993">
        <v>152.58000000000001</v>
      </c>
      <c r="G209" s="2993">
        <v>0</v>
      </c>
      <c r="H209" s="2990" t="s">
        <v>3348</v>
      </c>
      <c r="I209" s="2990" t="s">
        <v>3352</v>
      </c>
    </row>
    <row r="210" spans="2:9" hidden="1">
      <c r="B210" s="2986" t="s">
        <v>3302</v>
      </c>
      <c r="C210" s="2988" t="s">
        <v>3268</v>
      </c>
      <c r="D210" s="2988">
        <v>201</v>
      </c>
      <c r="E210" s="2988">
        <v>184.52</v>
      </c>
      <c r="F210" s="2988">
        <v>184.52</v>
      </c>
      <c r="G210" s="2988">
        <v>0</v>
      </c>
      <c r="H210" s="2990" t="s">
        <v>3348</v>
      </c>
      <c r="I210" s="2990" t="s">
        <v>3346</v>
      </c>
    </row>
    <row r="211" spans="2:9" hidden="1">
      <c r="B211" s="2986" t="s">
        <v>3302</v>
      </c>
      <c r="C211" s="2988" t="s">
        <v>3268</v>
      </c>
      <c r="D211" s="2988">
        <v>202</v>
      </c>
      <c r="E211" s="2988">
        <v>154.1</v>
      </c>
      <c r="F211" s="2988">
        <v>154.1</v>
      </c>
      <c r="G211" s="2988">
        <v>0</v>
      </c>
      <c r="H211" s="2990" t="s">
        <v>3348</v>
      </c>
      <c r="I211" s="2990" t="s">
        <v>3346</v>
      </c>
    </row>
    <row r="212" spans="2:9" hidden="1">
      <c r="B212" s="2986" t="s">
        <v>3302</v>
      </c>
      <c r="C212" s="2988" t="s">
        <v>3268</v>
      </c>
      <c r="D212" s="2988">
        <v>301</v>
      </c>
      <c r="E212" s="2988">
        <v>184.84</v>
      </c>
      <c r="F212" s="2988">
        <v>184.84</v>
      </c>
      <c r="G212" s="2988">
        <v>0</v>
      </c>
      <c r="H212" s="2990" t="s">
        <v>3348</v>
      </c>
      <c r="I212" s="2990" t="s">
        <v>3346</v>
      </c>
    </row>
    <row r="213" spans="2:9" hidden="1">
      <c r="B213" s="2986" t="s">
        <v>3302</v>
      </c>
      <c r="C213" s="2988" t="s">
        <v>3268</v>
      </c>
      <c r="D213" s="2988">
        <v>302</v>
      </c>
      <c r="E213" s="2988">
        <v>154.71</v>
      </c>
      <c r="F213" s="2988">
        <v>154.71</v>
      </c>
      <c r="G213" s="2988">
        <v>0</v>
      </c>
      <c r="H213" s="2990" t="s">
        <v>3348</v>
      </c>
      <c r="I213" s="2990" t="s">
        <v>3346</v>
      </c>
    </row>
    <row r="214" spans="2:9" hidden="1">
      <c r="B214" s="2986" t="s">
        <v>3302</v>
      </c>
      <c r="C214" s="2988" t="s">
        <v>3268</v>
      </c>
      <c r="D214" s="2988">
        <v>401</v>
      </c>
      <c r="E214" s="2988">
        <v>184.84</v>
      </c>
      <c r="F214" s="2988">
        <v>184.84</v>
      </c>
      <c r="G214" s="2988">
        <v>0</v>
      </c>
      <c r="H214" s="2990" t="s">
        <v>3348</v>
      </c>
      <c r="I214" s="2990" t="s">
        <v>3346</v>
      </c>
    </row>
    <row r="215" spans="2:9" hidden="1">
      <c r="B215" s="2986" t="s">
        <v>3302</v>
      </c>
      <c r="C215" s="2988" t="s">
        <v>3268</v>
      </c>
      <c r="D215" s="2988">
        <v>402</v>
      </c>
      <c r="E215" s="2988">
        <v>154.71</v>
      </c>
      <c r="F215" s="2988">
        <v>154.71</v>
      </c>
      <c r="G215" s="2988">
        <v>0</v>
      </c>
      <c r="H215" s="2990" t="s">
        <v>3348</v>
      </c>
      <c r="I215" s="2990" t="s">
        <v>3346</v>
      </c>
    </row>
    <row r="216" spans="2:9" hidden="1">
      <c r="B216" s="2986" t="s">
        <v>3302</v>
      </c>
      <c r="C216" s="2988" t="s">
        <v>3268</v>
      </c>
      <c r="D216" s="2988">
        <v>501</v>
      </c>
      <c r="E216" s="2988">
        <v>184.84</v>
      </c>
      <c r="F216" s="2988">
        <v>184.84</v>
      </c>
      <c r="G216" s="2988">
        <v>0</v>
      </c>
      <c r="H216" s="2990" t="s">
        <v>3348</v>
      </c>
      <c r="I216" s="2990" t="s">
        <v>3346</v>
      </c>
    </row>
    <row r="217" spans="2:9" hidden="1">
      <c r="B217" s="2986" t="s">
        <v>3302</v>
      </c>
      <c r="C217" s="2988" t="s">
        <v>3268</v>
      </c>
      <c r="D217" s="2988">
        <v>502</v>
      </c>
      <c r="E217" s="2988">
        <v>154.71</v>
      </c>
      <c r="F217" s="2988">
        <v>154.71</v>
      </c>
      <c r="G217" s="2988">
        <v>0</v>
      </c>
      <c r="H217" s="2990" t="s">
        <v>3348</v>
      </c>
      <c r="I217" s="2990" t="s">
        <v>3346</v>
      </c>
    </row>
    <row r="218" spans="2:9" hidden="1">
      <c r="B218" s="2986" t="s">
        <v>3302</v>
      </c>
      <c r="C218" s="2988" t="s">
        <v>3268</v>
      </c>
      <c r="D218" s="2988">
        <v>601</v>
      </c>
      <c r="E218" s="2988">
        <v>184.84</v>
      </c>
      <c r="F218" s="2988">
        <v>184.84</v>
      </c>
      <c r="G218" s="2988">
        <v>0</v>
      </c>
      <c r="H218" s="2990" t="s">
        <v>3348</v>
      </c>
      <c r="I218" s="2990" t="s">
        <v>3346</v>
      </c>
    </row>
    <row r="219" spans="2:9" hidden="1">
      <c r="B219" s="2986" t="s">
        <v>3302</v>
      </c>
      <c r="C219" s="2988" t="s">
        <v>3268</v>
      </c>
      <c r="D219" s="2988">
        <v>602</v>
      </c>
      <c r="E219" s="2988">
        <v>154.71</v>
      </c>
      <c r="F219" s="2988">
        <v>154.71</v>
      </c>
      <c r="G219" s="2988">
        <v>0</v>
      </c>
      <c r="H219" s="2990" t="s">
        <v>3348</v>
      </c>
      <c r="I219" s="2990" t="s">
        <v>3346</v>
      </c>
    </row>
    <row r="220" spans="2:9" hidden="1">
      <c r="B220" s="2986" t="s">
        <v>3302</v>
      </c>
      <c r="C220" s="2988" t="s">
        <v>3268</v>
      </c>
      <c r="D220" s="2988">
        <v>701</v>
      </c>
      <c r="E220" s="2988">
        <v>184.84</v>
      </c>
      <c r="F220" s="2988">
        <v>184.84</v>
      </c>
      <c r="G220" s="2988">
        <v>0</v>
      </c>
      <c r="H220" s="2990" t="s">
        <v>3348</v>
      </c>
      <c r="I220" s="2990" t="s">
        <v>3346</v>
      </c>
    </row>
    <row r="221" spans="2:9" hidden="1">
      <c r="B221" s="2986" t="s">
        <v>3302</v>
      </c>
      <c r="C221" s="2988" t="s">
        <v>3268</v>
      </c>
      <c r="D221" s="2988">
        <v>702</v>
      </c>
      <c r="E221" s="2988">
        <v>154.71</v>
      </c>
      <c r="F221" s="2988">
        <v>154.71</v>
      </c>
      <c r="G221" s="2988">
        <v>0</v>
      </c>
      <c r="H221" s="2990" t="s">
        <v>3348</v>
      </c>
      <c r="I221" s="2990" t="s">
        <v>3346</v>
      </c>
    </row>
    <row r="222" spans="2:9" hidden="1">
      <c r="B222" s="2986" t="s">
        <v>3302</v>
      </c>
      <c r="C222" s="2988" t="s">
        <v>3268</v>
      </c>
      <c r="D222" s="2988">
        <v>801</v>
      </c>
      <c r="E222" s="2988">
        <v>184.84</v>
      </c>
      <c r="F222" s="2988">
        <v>184.84</v>
      </c>
      <c r="G222" s="2988">
        <v>0</v>
      </c>
      <c r="H222" s="2990" t="s">
        <v>3348</v>
      </c>
      <c r="I222" s="2990" t="s">
        <v>3346</v>
      </c>
    </row>
    <row r="223" spans="2:9" hidden="1">
      <c r="B223" s="2986" t="s">
        <v>3302</v>
      </c>
      <c r="C223" s="2988" t="s">
        <v>3268</v>
      </c>
      <c r="D223" s="2988">
        <v>802</v>
      </c>
      <c r="E223" s="2988">
        <v>154.71</v>
      </c>
      <c r="F223" s="2988">
        <v>154.71</v>
      </c>
      <c r="G223" s="2988">
        <v>0</v>
      </c>
      <c r="H223" s="2990" t="s">
        <v>3348</v>
      </c>
      <c r="I223" s="2990" t="s">
        <v>3346</v>
      </c>
    </row>
    <row r="224" spans="2:9" hidden="1">
      <c r="B224" s="2986" t="s">
        <v>3302</v>
      </c>
      <c r="C224" s="2988" t="s">
        <v>3268</v>
      </c>
      <c r="D224" s="2988">
        <v>901</v>
      </c>
      <c r="E224" s="2988">
        <v>184.84</v>
      </c>
      <c r="F224" s="2988">
        <v>184.84</v>
      </c>
      <c r="G224" s="2988">
        <v>0</v>
      </c>
      <c r="H224" s="2990" t="s">
        <v>3348</v>
      </c>
      <c r="I224" s="2990" t="s">
        <v>3346</v>
      </c>
    </row>
    <row r="225" spans="2:9" hidden="1">
      <c r="B225" s="2986" t="s">
        <v>3302</v>
      </c>
      <c r="C225" s="2988" t="s">
        <v>3268</v>
      </c>
      <c r="D225" s="2988">
        <v>902</v>
      </c>
      <c r="E225" s="2988">
        <v>154.71</v>
      </c>
      <c r="F225" s="2988">
        <v>154.71</v>
      </c>
      <c r="G225" s="2988">
        <v>0</v>
      </c>
      <c r="H225" s="2990" t="s">
        <v>3348</v>
      </c>
      <c r="I225" s="2990" t="s">
        <v>3346</v>
      </c>
    </row>
    <row r="226" spans="2:9" hidden="1">
      <c r="B226" s="2986" t="s">
        <v>3302</v>
      </c>
      <c r="C226" s="2988" t="s">
        <v>3268</v>
      </c>
      <c r="D226" s="2988">
        <v>1001</v>
      </c>
      <c r="E226" s="2988">
        <v>184.84</v>
      </c>
      <c r="F226" s="2988">
        <v>184.84</v>
      </c>
      <c r="G226" s="2988">
        <v>0</v>
      </c>
      <c r="H226" s="2990" t="s">
        <v>3348</v>
      </c>
      <c r="I226" s="2990" t="s">
        <v>3346</v>
      </c>
    </row>
    <row r="227" spans="2:9" hidden="1">
      <c r="B227" s="2986" t="s">
        <v>3302</v>
      </c>
      <c r="C227" s="2988" t="s">
        <v>3268</v>
      </c>
      <c r="D227" s="2988">
        <v>1002</v>
      </c>
      <c r="E227" s="2988">
        <v>154.71</v>
      </c>
      <c r="F227" s="2988">
        <v>154.71</v>
      </c>
      <c r="G227" s="2988">
        <v>0</v>
      </c>
      <c r="H227" s="2990" t="s">
        <v>3348</v>
      </c>
      <c r="I227" s="2990" t="s">
        <v>3346</v>
      </c>
    </row>
    <row r="228" spans="2:9" hidden="1">
      <c r="B228" s="2986" t="s">
        <v>3302</v>
      </c>
      <c r="C228" s="2988" t="s">
        <v>3268</v>
      </c>
      <c r="D228" s="2988">
        <v>1101</v>
      </c>
      <c r="E228" s="2988">
        <v>184.84</v>
      </c>
      <c r="F228" s="2988">
        <v>184.84</v>
      </c>
      <c r="G228" s="2988">
        <v>0</v>
      </c>
      <c r="H228" s="2990" t="s">
        <v>3348</v>
      </c>
      <c r="I228" s="2990" t="s">
        <v>3346</v>
      </c>
    </row>
    <row r="229" spans="2:9" hidden="1">
      <c r="B229" s="2986" t="s">
        <v>3315</v>
      </c>
      <c r="C229" s="2990" t="s">
        <v>3325</v>
      </c>
      <c r="D229" s="2993">
        <v>202</v>
      </c>
      <c r="E229" s="2993">
        <v>152.47999999999999</v>
      </c>
      <c r="F229" s="2993">
        <v>152.47999999999999</v>
      </c>
      <c r="G229" s="2993">
        <v>0</v>
      </c>
      <c r="H229" s="2990" t="s">
        <v>3348</v>
      </c>
      <c r="I229" s="2990" t="s">
        <v>3353</v>
      </c>
    </row>
    <row r="230" spans="2:9" hidden="1">
      <c r="B230" s="2986" t="s">
        <v>3315</v>
      </c>
      <c r="C230" s="2990" t="s">
        <v>3325</v>
      </c>
      <c r="D230" s="2993">
        <v>302</v>
      </c>
      <c r="E230" s="2993">
        <v>152.69</v>
      </c>
      <c r="F230" s="2993">
        <v>152.69</v>
      </c>
      <c r="G230" s="2993">
        <v>0</v>
      </c>
      <c r="H230" s="2990" t="s">
        <v>3348</v>
      </c>
      <c r="I230" s="2990" t="s">
        <v>3353</v>
      </c>
    </row>
    <row r="231" spans="2:9" hidden="1">
      <c r="B231" s="2986" t="s">
        <v>3315</v>
      </c>
      <c r="C231" s="2990" t="s">
        <v>3325</v>
      </c>
      <c r="D231" s="2993">
        <v>501</v>
      </c>
      <c r="E231" s="2993">
        <v>154.32</v>
      </c>
      <c r="F231" s="2993">
        <v>154.32</v>
      </c>
      <c r="G231" s="2993">
        <v>0</v>
      </c>
      <c r="H231" s="2990" t="s">
        <v>3348</v>
      </c>
      <c r="I231" s="2990" t="s">
        <v>3353</v>
      </c>
    </row>
    <row r="232" spans="2:9" hidden="1">
      <c r="B232" s="2986" t="s">
        <v>3315</v>
      </c>
      <c r="C232" s="2990" t="s">
        <v>3325</v>
      </c>
      <c r="D232" s="2993">
        <v>502</v>
      </c>
      <c r="E232" s="2993">
        <v>152.69</v>
      </c>
      <c r="F232" s="2993">
        <v>152.69</v>
      </c>
      <c r="G232" s="2993">
        <v>0</v>
      </c>
      <c r="H232" s="2990" t="s">
        <v>3348</v>
      </c>
      <c r="I232" s="2990" t="s">
        <v>3353</v>
      </c>
    </row>
    <row r="233" spans="2:9" hidden="1">
      <c r="B233" s="2986" t="s">
        <v>3315</v>
      </c>
      <c r="C233" s="2990" t="s">
        <v>3325</v>
      </c>
      <c r="D233" s="2993">
        <v>802</v>
      </c>
      <c r="E233" s="2993">
        <v>152.69</v>
      </c>
      <c r="F233" s="2993">
        <v>152.69</v>
      </c>
      <c r="G233" s="2993">
        <v>0</v>
      </c>
      <c r="H233" s="2990" t="s">
        <v>3348</v>
      </c>
      <c r="I233" s="2990" t="s">
        <v>3353</v>
      </c>
    </row>
    <row r="234" spans="2:9" hidden="1">
      <c r="B234" s="2986" t="s">
        <v>3315</v>
      </c>
      <c r="C234" s="2990" t="s">
        <v>3325</v>
      </c>
      <c r="D234" s="2993">
        <v>901</v>
      </c>
      <c r="E234" s="2993">
        <v>154.32</v>
      </c>
      <c r="F234" s="2993">
        <v>154.32</v>
      </c>
      <c r="G234" s="2993">
        <v>0</v>
      </c>
      <c r="H234" s="2990" t="s">
        <v>3348</v>
      </c>
      <c r="I234" s="2990" t="s">
        <v>3353</v>
      </c>
    </row>
    <row r="235" spans="2:9" hidden="1">
      <c r="B235" s="2986" t="s">
        <v>3315</v>
      </c>
      <c r="C235" s="2990" t="s">
        <v>3325</v>
      </c>
      <c r="D235" s="2993">
        <v>1001</v>
      </c>
      <c r="E235" s="2993">
        <v>154.32</v>
      </c>
      <c r="F235" s="2993">
        <v>154.32</v>
      </c>
      <c r="G235" s="2993">
        <v>0</v>
      </c>
      <c r="H235" s="2990" t="s">
        <v>3348</v>
      </c>
      <c r="I235" s="2990" t="s">
        <v>3353</v>
      </c>
    </row>
    <row r="236" spans="2:9" hidden="1">
      <c r="B236" s="2986" t="s">
        <v>3315</v>
      </c>
      <c r="C236" s="2990" t="s">
        <v>3325</v>
      </c>
      <c r="D236" s="2993">
        <v>1101</v>
      </c>
      <c r="E236" s="2993">
        <v>154.32</v>
      </c>
      <c r="F236" s="2993">
        <v>154.32</v>
      </c>
      <c r="G236" s="2993">
        <v>0</v>
      </c>
      <c r="H236" s="2990" t="s">
        <v>3348</v>
      </c>
      <c r="I236" s="2990" t="s">
        <v>3353</v>
      </c>
    </row>
    <row r="237" spans="2:9" hidden="1">
      <c r="B237" s="2986" t="s">
        <v>3315</v>
      </c>
      <c r="C237" s="2990" t="s">
        <v>3325</v>
      </c>
      <c r="D237" s="2993">
        <v>1202</v>
      </c>
      <c r="E237" s="2993">
        <v>152.69</v>
      </c>
      <c r="F237" s="2993">
        <v>152.69</v>
      </c>
      <c r="G237" s="2993">
        <v>0</v>
      </c>
      <c r="H237" s="2990" t="s">
        <v>3348</v>
      </c>
      <c r="I237" s="2990" t="s">
        <v>3353</v>
      </c>
    </row>
    <row r="238" spans="2:9" hidden="1">
      <c r="B238" s="2986" t="s">
        <v>3315</v>
      </c>
      <c r="C238" s="2990" t="s">
        <v>3325</v>
      </c>
      <c r="D238" s="2993">
        <v>1302</v>
      </c>
      <c r="E238" s="2993">
        <v>152.69</v>
      </c>
      <c r="F238" s="2993">
        <v>152.69</v>
      </c>
      <c r="G238" s="2993">
        <v>0</v>
      </c>
      <c r="H238" s="2990" t="s">
        <v>3348</v>
      </c>
      <c r="I238" s="2990" t="s">
        <v>3353</v>
      </c>
    </row>
    <row r="239" spans="2:9" hidden="1">
      <c r="B239" s="2986" t="s">
        <v>3315</v>
      </c>
      <c r="C239" s="2990" t="s">
        <v>3325</v>
      </c>
      <c r="D239" s="2993">
        <v>1501</v>
      </c>
      <c r="E239" s="2993">
        <v>154.32</v>
      </c>
      <c r="F239" s="2993">
        <v>154.32</v>
      </c>
      <c r="G239" s="2993">
        <v>0</v>
      </c>
      <c r="H239" s="2990" t="s">
        <v>3348</v>
      </c>
      <c r="I239" s="2990" t="s">
        <v>3353</v>
      </c>
    </row>
    <row r="240" spans="2:9" hidden="1">
      <c r="B240" s="2986" t="s">
        <v>3315</v>
      </c>
      <c r="C240" s="2990" t="s">
        <v>3325</v>
      </c>
      <c r="D240" s="2993">
        <v>1502</v>
      </c>
      <c r="E240" s="2993">
        <v>152.69</v>
      </c>
      <c r="F240" s="2993">
        <v>152.69</v>
      </c>
      <c r="G240" s="2993">
        <v>0</v>
      </c>
      <c r="H240" s="2990" t="s">
        <v>3348</v>
      </c>
      <c r="I240" s="2990" t="s">
        <v>3353</v>
      </c>
    </row>
    <row r="241" spans="2:9" hidden="1">
      <c r="B241" s="2986" t="s">
        <v>3315</v>
      </c>
      <c r="C241" s="2990" t="s">
        <v>3325</v>
      </c>
      <c r="D241" s="2993">
        <v>1601</v>
      </c>
      <c r="E241" s="2993">
        <v>154.32</v>
      </c>
      <c r="F241" s="2993">
        <v>154.32</v>
      </c>
      <c r="G241" s="2993">
        <v>0</v>
      </c>
      <c r="H241" s="2990" t="s">
        <v>3348</v>
      </c>
      <c r="I241" s="2990" t="s">
        <v>3353</v>
      </c>
    </row>
    <row r="242" spans="2:9" hidden="1">
      <c r="B242" s="2986" t="s">
        <v>3315</v>
      </c>
      <c r="C242" s="2990" t="s">
        <v>3325</v>
      </c>
      <c r="D242" s="2993">
        <v>1602</v>
      </c>
      <c r="E242" s="2993">
        <v>152.69</v>
      </c>
      <c r="F242" s="2993">
        <v>152.69</v>
      </c>
      <c r="G242" s="2993">
        <v>0</v>
      </c>
      <c r="H242" s="2990" t="s">
        <v>3348</v>
      </c>
      <c r="I242" s="2990" t="s">
        <v>3353</v>
      </c>
    </row>
    <row r="243" spans="2:9" hidden="1">
      <c r="B243" s="2986" t="s">
        <v>3315</v>
      </c>
      <c r="C243" s="2990" t="s">
        <v>3325</v>
      </c>
      <c r="D243" s="2993">
        <v>1701</v>
      </c>
      <c r="E243" s="2993">
        <v>154.32</v>
      </c>
      <c r="F243" s="2993">
        <v>154.32</v>
      </c>
      <c r="G243" s="2993">
        <v>0</v>
      </c>
      <c r="H243" s="2990" t="s">
        <v>3348</v>
      </c>
      <c r="I243" s="2990" t="s">
        <v>3353</v>
      </c>
    </row>
    <row r="244" spans="2:9" hidden="1">
      <c r="B244" s="2986" t="s">
        <v>3315</v>
      </c>
      <c r="C244" s="2990" t="s">
        <v>3325</v>
      </c>
      <c r="D244" s="2993">
        <v>1702</v>
      </c>
      <c r="E244" s="2993">
        <v>152.69</v>
      </c>
      <c r="F244" s="2993">
        <v>152.69</v>
      </c>
      <c r="G244" s="2993">
        <v>0</v>
      </c>
      <c r="H244" s="2990" t="s">
        <v>3348</v>
      </c>
      <c r="I244" s="2990" t="s">
        <v>3353</v>
      </c>
    </row>
    <row r="245" spans="2:9" hidden="1">
      <c r="B245" s="2986" t="s">
        <v>3315</v>
      </c>
      <c r="C245" s="2990" t="s">
        <v>3325</v>
      </c>
      <c r="D245" s="2993">
        <v>1802</v>
      </c>
      <c r="E245" s="2993">
        <v>152.69</v>
      </c>
      <c r="F245" s="2993">
        <v>152.69</v>
      </c>
      <c r="G245" s="2993">
        <v>0</v>
      </c>
      <c r="H245" s="2990" t="s">
        <v>3348</v>
      </c>
      <c r="I245" s="2990" t="s">
        <v>3353</v>
      </c>
    </row>
    <row r="246" spans="2:9" hidden="1">
      <c r="B246" s="2986" t="s">
        <v>3302</v>
      </c>
      <c r="C246" s="2988" t="s">
        <v>3268</v>
      </c>
      <c r="D246" s="2988">
        <v>1102</v>
      </c>
      <c r="E246" s="2988">
        <v>154.71</v>
      </c>
      <c r="F246" s="2988">
        <v>154.71</v>
      </c>
      <c r="G246" s="2988">
        <v>0</v>
      </c>
      <c r="H246" s="2990" t="s">
        <v>3348</v>
      </c>
      <c r="I246" s="2990" t="s">
        <v>3346</v>
      </c>
    </row>
    <row r="247" spans="2:9" hidden="1">
      <c r="B247" s="2986" t="s">
        <v>3302</v>
      </c>
      <c r="C247" s="2988" t="s">
        <v>3268</v>
      </c>
      <c r="D247" s="2988">
        <v>1201</v>
      </c>
      <c r="E247" s="2988">
        <v>184.84</v>
      </c>
      <c r="F247" s="2988">
        <v>184.84</v>
      </c>
      <c r="G247" s="2988">
        <v>0</v>
      </c>
      <c r="H247" s="2990" t="s">
        <v>3348</v>
      </c>
      <c r="I247" s="2990" t="s">
        <v>3346</v>
      </c>
    </row>
    <row r="248" spans="2:9" hidden="1">
      <c r="B248" s="2986" t="s">
        <v>3302</v>
      </c>
      <c r="C248" s="2988" t="s">
        <v>3268</v>
      </c>
      <c r="D248" s="2988">
        <v>1202</v>
      </c>
      <c r="E248" s="2988">
        <v>154.71</v>
      </c>
      <c r="F248" s="2988">
        <v>154.71</v>
      </c>
      <c r="G248" s="2988">
        <v>0</v>
      </c>
      <c r="H248" s="2990" t="s">
        <v>3348</v>
      </c>
      <c r="I248" s="2990" t="s">
        <v>3346</v>
      </c>
    </row>
    <row r="249" spans="2:9" hidden="1">
      <c r="B249" s="2986" t="s">
        <v>3302</v>
      </c>
      <c r="C249" s="2988" t="s">
        <v>3268</v>
      </c>
      <c r="D249" s="2988">
        <v>1301</v>
      </c>
      <c r="E249" s="2988">
        <v>184.84</v>
      </c>
      <c r="F249" s="2988">
        <v>184.84</v>
      </c>
      <c r="G249" s="2988">
        <v>0</v>
      </c>
      <c r="H249" s="2990" t="s">
        <v>3348</v>
      </c>
      <c r="I249" s="2990" t="s">
        <v>3346</v>
      </c>
    </row>
    <row r="250" spans="2:9" hidden="1">
      <c r="B250" s="2986" t="s">
        <v>3302</v>
      </c>
      <c r="C250" s="2988" t="s">
        <v>3268</v>
      </c>
      <c r="D250" s="2988">
        <v>1302</v>
      </c>
      <c r="E250" s="2988">
        <v>154.71</v>
      </c>
      <c r="F250" s="2988">
        <v>154.71</v>
      </c>
      <c r="G250" s="2988">
        <v>0</v>
      </c>
      <c r="H250" s="2990" t="s">
        <v>3348</v>
      </c>
      <c r="I250" s="2990" t="s">
        <v>3346</v>
      </c>
    </row>
    <row r="251" spans="2:9" hidden="1">
      <c r="B251" s="2986" t="s">
        <v>3302</v>
      </c>
      <c r="C251" s="2988" t="s">
        <v>3268</v>
      </c>
      <c r="D251" s="2988">
        <v>1401</v>
      </c>
      <c r="E251" s="2988">
        <v>184.84</v>
      </c>
      <c r="F251" s="2988">
        <v>184.84</v>
      </c>
      <c r="G251" s="2988">
        <v>0</v>
      </c>
      <c r="H251" s="2990" t="s">
        <v>3348</v>
      </c>
      <c r="I251" s="2990" t="s">
        <v>3346</v>
      </c>
    </row>
    <row r="252" spans="2:9" hidden="1">
      <c r="B252" s="2986" t="s">
        <v>3302</v>
      </c>
      <c r="C252" s="2988" t="s">
        <v>3268</v>
      </c>
      <c r="D252" s="2988">
        <v>1402</v>
      </c>
      <c r="E252" s="2988">
        <v>154.71</v>
      </c>
      <c r="F252" s="2988">
        <v>154.71</v>
      </c>
      <c r="G252" s="2988">
        <v>0</v>
      </c>
      <c r="H252" s="2990" t="s">
        <v>3348</v>
      </c>
      <c r="I252" s="2990" t="s">
        <v>3346</v>
      </c>
    </row>
    <row r="253" spans="2:9" hidden="1">
      <c r="B253" s="2986" t="s">
        <v>3302</v>
      </c>
      <c r="C253" s="2988" t="s">
        <v>3268</v>
      </c>
      <c r="D253" s="2988">
        <v>1501</v>
      </c>
      <c r="E253" s="2988">
        <v>184.84</v>
      </c>
      <c r="F253" s="2988">
        <v>184.84</v>
      </c>
      <c r="G253" s="2988">
        <v>0</v>
      </c>
      <c r="H253" s="2990" t="s">
        <v>3348</v>
      </c>
      <c r="I253" s="2990" t="s">
        <v>3346</v>
      </c>
    </row>
    <row r="254" spans="2:9" hidden="1">
      <c r="B254" s="2986" t="s">
        <v>3302</v>
      </c>
      <c r="C254" s="2988" t="s">
        <v>3268</v>
      </c>
      <c r="D254" s="2988">
        <v>1502</v>
      </c>
      <c r="E254" s="2988">
        <v>154.71</v>
      </c>
      <c r="F254" s="2988">
        <v>154.71</v>
      </c>
      <c r="G254" s="2988">
        <v>0</v>
      </c>
      <c r="H254" s="2990" t="s">
        <v>3348</v>
      </c>
      <c r="I254" s="2990" t="s">
        <v>3346</v>
      </c>
    </row>
    <row r="255" spans="2:9" hidden="1">
      <c r="B255" s="2986" t="s">
        <v>3302</v>
      </c>
      <c r="C255" s="2988" t="s">
        <v>3268</v>
      </c>
      <c r="D255" s="2988">
        <v>1601</v>
      </c>
      <c r="E255" s="2988">
        <v>184.84</v>
      </c>
      <c r="F255" s="2988">
        <v>184.84</v>
      </c>
      <c r="G255" s="2988">
        <v>0</v>
      </c>
      <c r="H255" s="2990" t="s">
        <v>3348</v>
      </c>
      <c r="I255" s="2990" t="s">
        <v>3346</v>
      </c>
    </row>
    <row r="256" spans="2:9" hidden="1">
      <c r="B256" s="2986" t="s">
        <v>3302</v>
      </c>
      <c r="C256" s="2988" t="s">
        <v>3268</v>
      </c>
      <c r="D256" s="2988">
        <v>1602</v>
      </c>
      <c r="E256" s="2988">
        <v>154.71</v>
      </c>
      <c r="F256" s="2988">
        <v>154.71</v>
      </c>
      <c r="G256" s="2988">
        <v>0</v>
      </c>
      <c r="H256" s="2990" t="s">
        <v>3348</v>
      </c>
      <c r="I256" s="2990" t="s">
        <v>3346</v>
      </c>
    </row>
    <row r="257" spans="2:9" hidden="1">
      <c r="B257" s="2986" t="s">
        <v>3302</v>
      </c>
      <c r="C257" s="2988" t="s">
        <v>3268</v>
      </c>
      <c r="D257" s="2988">
        <v>1701</v>
      </c>
      <c r="E257" s="2988">
        <v>184.84</v>
      </c>
      <c r="F257" s="2988">
        <v>184.84</v>
      </c>
      <c r="G257" s="2988">
        <v>0</v>
      </c>
      <c r="H257" s="2990" t="s">
        <v>3348</v>
      </c>
      <c r="I257" s="2990" t="s">
        <v>3346</v>
      </c>
    </row>
    <row r="258" spans="2:9" hidden="1">
      <c r="B258" s="2986" t="s">
        <v>3302</v>
      </c>
      <c r="C258" s="2988" t="s">
        <v>3268</v>
      </c>
      <c r="D258" s="2988">
        <v>1702</v>
      </c>
      <c r="E258" s="2988">
        <v>154.71</v>
      </c>
      <c r="F258" s="2988">
        <v>154.71</v>
      </c>
      <c r="G258" s="2988">
        <v>0</v>
      </c>
      <c r="H258" s="2990" t="s">
        <v>3348</v>
      </c>
      <c r="I258" s="2990" t="s">
        <v>3346</v>
      </c>
    </row>
    <row r="259" spans="2:9" hidden="1">
      <c r="B259" s="2986" t="s">
        <v>3302</v>
      </c>
      <c r="C259" s="2988" t="s">
        <v>3268</v>
      </c>
      <c r="D259" s="2988">
        <v>1801</v>
      </c>
      <c r="E259" s="2988">
        <v>184.84</v>
      </c>
      <c r="F259" s="2988">
        <v>184.84</v>
      </c>
      <c r="G259" s="2988">
        <v>0</v>
      </c>
      <c r="H259" s="2990" t="s">
        <v>3348</v>
      </c>
      <c r="I259" s="2990" t="s">
        <v>3346</v>
      </c>
    </row>
    <row r="260" spans="2:9" hidden="1">
      <c r="B260" s="2986" t="s">
        <v>3302</v>
      </c>
      <c r="C260" s="2988" t="s">
        <v>3268</v>
      </c>
      <c r="D260" s="2988">
        <v>1802</v>
      </c>
      <c r="E260" s="2988">
        <v>154.71</v>
      </c>
      <c r="F260" s="2988">
        <v>154.71</v>
      </c>
      <c r="G260" s="2988">
        <v>0</v>
      </c>
      <c r="H260" s="2990" t="s">
        <v>3348</v>
      </c>
      <c r="I260" s="2990" t="s">
        <v>3346</v>
      </c>
    </row>
    <row r="261" spans="2:9" hidden="1">
      <c r="B261" s="2986" t="s">
        <v>3302</v>
      </c>
      <c r="C261" s="2988" t="s">
        <v>3268</v>
      </c>
      <c r="D261" s="2988">
        <v>1901</v>
      </c>
      <c r="E261" s="2988">
        <v>184.84</v>
      </c>
      <c r="F261" s="2988">
        <v>184.84</v>
      </c>
      <c r="G261" s="2988">
        <v>0</v>
      </c>
      <c r="H261" s="2990" t="s">
        <v>3348</v>
      </c>
      <c r="I261" s="2990" t="s">
        <v>3346</v>
      </c>
    </row>
    <row r="262" spans="2:9" hidden="1">
      <c r="B262" s="2986" t="s">
        <v>3302</v>
      </c>
      <c r="C262" s="2988" t="s">
        <v>3268</v>
      </c>
      <c r="D262" s="2988">
        <v>1902</v>
      </c>
      <c r="E262" s="2988">
        <v>154.71</v>
      </c>
      <c r="F262" s="2988">
        <v>154.71</v>
      </c>
      <c r="G262" s="2988">
        <v>0</v>
      </c>
      <c r="H262" s="2990" t="s">
        <v>3348</v>
      </c>
      <c r="I262" s="2990" t="s">
        <v>3346</v>
      </c>
    </row>
    <row r="263" spans="2:9" hidden="1">
      <c r="B263" s="2986" t="s">
        <v>3302</v>
      </c>
      <c r="C263" s="2988" t="s">
        <v>3289</v>
      </c>
      <c r="D263" s="2988">
        <v>101</v>
      </c>
      <c r="E263" s="2988">
        <v>295.45</v>
      </c>
      <c r="F263" s="2988">
        <v>134.01</v>
      </c>
      <c r="G263">
        <v>161.44</v>
      </c>
      <c r="H263" s="2990" t="s">
        <v>3348</v>
      </c>
      <c r="I263" s="2990" t="s">
        <v>3346</v>
      </c>
    </row>
    <row r="264" spans="2:9" hidden="1">
      <c r="B264" s="2986" t="s">
        <v>3302</v>
      </c>
      <c r="C264" s="2988" t="s">
        <v>3289</v>
      </c>
      <c r="D264" s="2988">
        <v>102</v>
      </c>
      <c r="E264" s="2988">
        <v>347.92</v>
      </c>
      <c r="F264" s="2988">
        <v>155.84</v>
      </c>
      <c r="G264">
        <v>192.07999999999998</v>
      </c>
      <c r="H264" s="2990" t="s">
        <v>3348</v>
      </c>
      <c r="I264" s="2990" t="s">
        <v>3346</v>
      </c>
    </row>
    <row r="265" spans="2:9" hidden="1">
      <c r="B265" s="2986" t="s">
        <v>3302</v>
      </c>
      <c r="C265" s="2988" t="s">
        <v>3289</v>
      </c>
      <c r="D265" s="2988">
        <v>201</v>
      </c>
      <c r="E265" s="2988">
        <v>154.1</v>
      </c>
      <c r="F265" s="2988">
        <v>154.1</v>
      </c>
      <c r="G265" s="2988">
        <v>0</v>
      </c>
      <c r="H265" s="2990" t="s">
        <v>3348</v>
      </c>
      <c r="I265" s="2990" t="s">
        <v>3346</v>
      </c>
    </row>
    <row r="266" spans="2:9" hidden="1">
      <c r="B266" s="2986" t="s">
        <v>3302</v>
      </c>
      <c r="C266" s="2988" t="s">
        <v>3289</v>
      </c>
      <c r="D266" s="2988">
        <v>202</v>
      </c>
      <c r="E266" s="2988">
        <v>184.52</v>
      </c>
      <c r="F266" s="2988">
        <v>184.52</v>
      </c>
      <c r="G266" s="2988">
        <v>0</v>
      </c>
      <c r="H266" s="2990" t="s">
        <v>3348</v>
      </c>
      <c r="I266" s="2990" t="s">
        <v>3346</v>
      </c>
    </row>
    <row r="267" spans="2:9" hidden="1">
      <c r="B267" s="2986" t="s">
        <v>3302</v>
      </c>
      <c r="C267" s="2988" t="s">
        <v>3289</v>
      </c>
      <c r="D267" s="2988">
        <v>301</v>
      </c>
      <c r="E267" s="2988">
        <v>154.71</v>
      </c>
      <c r="F267" s="2988">
        <v>154.71</v>
      </c>
      <c r="G267" s="2988">
        <v>0</v>
      </c>
      <c r="H267" s="2990" t="s">
        <v>3348</v>
      </c>
      <c r="I267" s="2990" t="s">
        <v>3346</v>
      </c>
    </row>
    <row r="268" spans="2:9" hidden="1">
      <c r="B268" s="2986" t="s">
        <v>3302</v>
      </c>
      <c r="C268" s="2988" t="s">
        <v>3289</v>
      </c>
      <c r="D268" s="2988">
        <v>302</v>
      </c>
      <c r="E268" s="2988">
        <v>184.84</v>
      </c>
      <c r="F268" s="2988">
        <v>184.84</v>
      </c>
      <c r="G268" s="2988">
        <v>0</v>
      </c>
      <c r="H268" s="2990" t="s">
        <v>3348</v>
      </c>
      <c r="I268" s="2990" t="s">
        <v>3346</v>
      </c>
    </row>
    <row r="269" spans="2:9" hidden="1">
      <c r="B269" s="2986" t="s">
        <v>3302</v>
      </c>
      <c r="C269" s="2988" t="s">
        <v>3289</v>
      </c>
      <c r="D269" s="2988">
        <v>401</v>
      </c>
      <c r="E269" s="2988">
        <v>154.71</v>
      </c>
      <c r="F269" s="2988">
        <v>154.71</v>
      </c>
      <c r="G269" s="2988">
        <v>0</v>
      </c>
      <c r="H269" s="2990" t="s">
        <v>3348</v>
      </c>
      <c r="I269" s="2990" t="s">
        <v>3346</v>
      </c>
    </row>
    <row r="270" spans="2:9" hidden="1">
      <c r="B270" s="2986" t="s">
        <v>3302</v>
      </c>
      <c r="C270" s="2988" t="s">
        <v>3289</v>
      </c>
      <c r="D270" s="2988">
        <v>402</v>
      </c>
      <c r="E270" s="2988">
        <v>184.84</v>
      </c>
      <c r="F270" s="2988">
        <v>184.84</v>
      </c>
      <c r="G270" s="2988">
        <v>0</v>
      </c>
      <c r="H270" s="2990" t="s">
        <v>3348</v>
      </c>
      <c r="I270" s="2990" t="s">
        <v>3346</v>
      </c>
    </row>
    <row r="271" spans="2:9" hidden="1">
      <c r="B271" s="2986" t="s">
        <v>3302</v>
      </c>
      <c r="C271" s="2988" t="s">
        <v>3289</v>
      </c>
      <c r="D271" s="2988">
        <v>501</v>
      </c>
      <c r="E271" s="2988">
        <v>154.71</v>
      </c>
      <c r="F271" s="2988">
        <v>154.71</v>
      </c>
      <c r="G271" s="2988">
        <v>0</v>
      </c>
      <c r="H271" s="2990" t="s">
        <v>3348</v>
      </c>
      <c r="I271" s="2990" t="s">
        <v>3346</v>
      </c>
    </row>
    <row r="272" spans="2:9" hidden="1">
      <c r="B272" s="2986" t="s">
        <v>3302</v>
      </c>
      <c r="C272" s="2988" t="s">
        <v>3289</v>
      </c>
      <c r="D272" s="2988">
        <v>502</v>
      </c>
      <c r="E272" s="2988">
        <v>184.84</v>
      </c>
      <c r="F272" s="2988">
        <v>184.84</v>
      </c>
      <c r="G272" s="2988">
        <v>0</v>
      </c>
      <c r="H272" s="2990" t="s">
        <v>3348</v>
      </c>
      <c r="I272" s="2990" t="s">
        <v>3346</v>
      </c>
    </row>
    <row r="273" spans="2:9" hidden="1">
      <c r="B273" s="2986" t="s">
        <v>3302</v>
      </c>
      <c r="C273" s="2988" t="s">
        <v>3289</v>
      </c>
      <c r="D273" s="2988">
        <v>601</v>
      </c>
      <c r="E273" s="2988">
        <v>154.71</v>
      </c>
      <c r="F273" s="2988">
        <v>154.71</v>
      </c>
      <c r="G273" s="2988">
        <v>0</v>
      </c>
      <c r="H273" s="2990" t="s">
        <v>3348</v>
      </c>
      <c r="I273" s="2990" t="s">
        <v>3346</v>
      </c>
    </row>
    <row r="274" spans="2:9" hidden="1">
      <c r="B274" s="2986" t="s">
        <v>3302</v>
      </c>
      <c r="C274" s="2988" t="s">
        <v>3289</v>
      </c>
      <c r="D274" s="2988">
        <v>602</v>
      </c>
      <c r="E274" s="2988">
        <v>184.84</v>
      </c>
      <c r="F274" s="2988">
        <v>184.84</v>
      </c>
      <c r="G274" s="2988">
        <v>0</v>
      </c>
      <c r="H274" s="2990" t="s">
        <v>3348</v>
      </c>
      <c r="I274" s="2990" t="s">
        <v>3346</v>
      </c>
    </row>
    <row r="275" spans="2:9" hidden="1">
      <c r="B275" s="2986" t="s">
        <v>3302</v>
      </c>
      <c r="C275" s="2988" t="s">
        <v>3289</v>
      </c>
      <c r="D275" s="2988">
        <v>701</v>
      </c>
      <c r="E275" s="2988">
        <v>154.71</v>
      </c>
      <c r="F275" s="2988">
        <v>154.71</v>
      </c>
      <c r="G275" s="2988">
        <v>0</v>
      </c>
      <c r="H275" s="2990" t="s">
        <v>3348</v>
      </c>
      <c r="I275" s="2990" t="s">
        <v>3346</v>
      </c>
    </row>
    <row r="276" spans="2:9" hidden="1">
      <c r="B276" s="2986" t="s">
        <v>3302</v>
      </c>
      <c r="C276" s="2988" t="s">
        <v>3289</v>
      </c>
      <c r="D276" s="2988">
        <v>702</v>
      </c>
      <c r="E276" s="2988">
        <v>184.84</v>
      </c>
      <c r="F276" s="2988">
        <v>184.84</v>
      </c>
      <c r="G276" s="2988">
        <v>0</v>
      </c>
      <c r="H276" s="2990" t="s">
        <v>3348</v>
      </c>
      <c r="I276" s="2990" t="s">
        <v>3346</v>
      </c>
    </row>
    <row r="277" spans="2:9" hidden="1">
      <c r="B277" s="2986" t="s">
        <v>3302</v>
      </c>
      <c r="C277" s="2988" t="s">
        <v>3289</v>
      </c>
      <c r="D277" s="2988">
        <v>801</v>
      </c>
      <c r="E277" s="2988">
        <v>154.71</v>
      </c>
      <c r="F277" s="2988">
        <v>154.71</v>
      </c>
      <c r="G277" s="2988">
        <v>0</v>
      </c>
      <c r="H277" s="2990" t="s">
        <v>3348</v>
      </c>
      <c r="I277" s="2990" t="s">
        <v>3346</v>
      </c>
    </row>
    <row r="278" spans="2:9" hidden="1">
      <c r="B278" s="2986" t="s">
        <v>3302</v>
      </c>
      <c r="C278" s="2988" t="s">
        <v>3289</v>
      </c>
      <c r="D278" s="2988">
        <v>802</v>
      </c>
      <c r="E278" s="2988">
        <v>184.84</v>
      </c>
      <c r="F278" s="2988">
        <v>184.84</v>
      </c>
      <c r="G278" s="2988">
        <v>0</v>
      </c>
      <c r="H278" s="2990" t="s">
        <v>3348</v>
      </c>
      <c r="I278" s="2990" t="s">
        <v>3346</v>
      </c>
    </row>
    <row r="279" spans="2:9" hidden="1">
      <c r="B279" s="2986" t="s">
        <v>3302</v>
      </c>
      <c r="C279" s="2988" t="s">
        <v>3289</v>
      </c>
      <c r="D279" s="2988">
        <v>901</v>
      </c>
      <c r="E279" s="2988">
        <v>154.71</v>
      </c>
      <c r="F279" s="2988">
        <v>154.71</v>
      </c>
      <c r="G279" s="2988">
        <v>0</v>
      </c>
      <c r="H279" s="2990" t="s">
        <v>3348</v>
      </c>
      <c r="I279" s="2990" t="s">
        <v>3346</v>
      </c>
    </row>
    <row r="280" spans="2:9" hidden="1">
      <c r="B280" s="2986" t="s">
        <v>3302</v>
      </c>
      <c r="C280" s="2988" t="s">
        <v>3289</v>
      </c>
      <c r="D280" s="2988">
        <v>902</v>
      </c>
      <c r="E280" s="2988">
        <v>184.84</v>
      </c>
      <c r="F280" s="2988">
        <v>184.84</v>
      </c>
      <c r="G280" s="2988">
        <v>0</v>
      </c>
      <c r="H280" s="2990" t="s">
        <v>3348</v>
      </c>
      <c r="I280" s="2990" t="s">
        <v>3346</v>
      </c>
    </row>
    <row r="281" spans="2:9" hidden="1">
      <c r="B281" s="2986" t="s">
        <v>3302</v>
      </c>
      <c r="C281" s="2988" t="s">
        <v>3289</v>
      </c>
      <c r="D281" s="2988">
        <v>1001</v>
      </c>
      <c r="E281" s="2988">
        <v>154.71</v>
      </c>
      <c r="F281" s="2988">
        <v>154.71</v>
      </c>
      <c r="G281" s="2988">
        <v>0</v>
      </c>
      <c r="H281" s="2990" t="s">
        <v>3348</v>
      </c>
      <c r="I281" s="2990" t="s">
        <v>3346</v>
      </c>
    </row>
    <row r="282" spans="2:9" hidden="1">
      <c r="B282" s="2986" t="s">
        <v>3302</v>
      </c>
      <c r="C282" s="2988" t="s">
        <v>3289</v>
      </c>
      <c r="D282" s="2988">
        <v>1002</v>
      </c>
      <c r="E282" s="2988">
        <v>184.84</v>
      </c>
      <c r="F282" s="2988">
        <v>184.84</v>
      </c>
      <c r="G282" s="2988">
        <v>0</v>
      </c>
      <c r="H282" s="2990" t="s">
        <v>3348</v>
      </c>
      <c r="I282" s="2990" t="s">
        <v>3346</v>
      </c>
    </row>
    <row r="283" spans="2:9" hidden="1">
      <c r="B283" s="2986" t="s">
        <v>3302</v>
      </c>
      <c r="C283" s="2988" t="s">
        <v>3289</v>
      </c>
      <c r="D283" s="2988">
        <v>1101</v>
      </c>
      <c r="E283" s="2988">
        <v>154.71</v>
      </c>
      <c r="F283" s="2988">
        <v>154.71</v>
      </c>
      <c r="G283" s="2988">
        <v>0</v>
      </c>
      <c r="H283" s="2990" t="s">
        <v>3348</v>
      </c>
      <c r="I283" s="2990" t="s">
        <v>3346</v>
      </c>
    </row>
    <row r="284" spans="2:9" hidden="1">
      <c r="B284" s="2986" t="s">
        <v>3302</v>
      </c>
      <c r="C284" s="2988" t="s">
        <v>3289</v>
      </c>
      <c r="D284" s="2988">
        <v>1102</v>
      </c>
      <c r="E284" s="2988">
        <v>184.84</v>
      </c>
      <c r="F284" s="2988">
        <v>184.84</v>
      </c>
      <c r="G284" s="2988">
        <v>0</v>
      </c>
      <c r="H284" s="2990" t="s">
        <v>3348</v>
      </c>
      <c r="I284" s="2990" t="s">
        <v>3346</v>
      </c>
    </row>
    <row r="285" spans="2:9" hidden="1">
      <c r="B285" s="2986" t="s">
        <v>3302</v>
      </c>
      <c r="C285" s="2988" t="s">
        <v>3289</v>
      </c>
      <c r="D285" s="2988">
        <v>1201</v>
      </c>
      <c r="E285" s="2988">
        <v>154.71</v>
      </c>
      <c r="F285" s="2988">
        <v>154.71</v>
      </c>
      <c r="G285" s="2988">
        <v>0</v>
      </c>
      <c r="H285" s="2990" t="s">
        <v>3348</v>
      </c>
      <c r="I285" s="2990" t="s">
        <v>3346</v>
      </c>
    </row>
    <row r="286" spans="2:9" hidden="1">
      <c r="B286" s="2986" t="s">
        <v>3302</v>
      </c>
      <c r="C286" s="2988" t="s">
        <v>3289</v>
      </c>
      <c r="D286" s="2988">
        <v>1202</v>
      </c>
      <c r="E286" s="2988">
        <v>184.84</v>
      </c>
      <c r="F286" s="2988">
        <v>184.84</v>
      </c>
      <c r="G286" s="2988">
        <v>0</v>
      </c>
      <c r="H286" s="2990" t="s">
        <v>3348</v>
      </c>
      <c r="I286" s="2990" t="s">
        <v>3346</v>
      </c>
    </row>
    <row r="287" spans="2:9" hidden="1">
      <c r="B287" s="2986" t="s">
        <v>3302</v>
      </c>
      <c r="C287" s="2988" t="s">
        <v>3289</v>
      </c>
      <c r="D287" s="2988">
        <v>1301</v>
      </c>
      <c r="E287" s="2988">
        <v>154.71</v>
      </c>
      <c r="F287" s="2988">
        <v>154.71</v>
      </c>
      <c r="G287" s="2988">
        <v>0</v>
      </c>
      <c r="H287" s="2990" t="s">
        <v>3348</v>
      </c>
      <c r="I287" s="2990" t="s">
        <v>3346</v>
      </c>
    </row>
    <row r="288" spans="2:9" hidden="1">
      <c r="B288" s="2986" t="s">
        <v>3302</v>
      </c>
      <c r="C288" s="2988" t="s">
        <v>3289</v>
      </c>
      <c r="D288" s="2988">
        <v>1302</v>
      </c>
      <c r="E288" s="2988">
        <v>184.84</v>
      </c>
      <c r="F288" s="2988">
        <v>184.84</v>
      </c>
      <c r="G288" s="2988">
        <v>0</v>
      </c>
      <c r="H288" s="2990" t="s">
        <v>3348</v>
      </c>
      <c r="I288" s="2990" t="s">
        <v>3346</v>
      </c>
    </row>
    <row r="289" spans="2:9" hidden="1">
      <c r="B289" s="2986" t="s">
        <v>3302</v>
      </c>
      <c r="C289" s="2988" t="s">
        <v>3289</v>
      </c>
      <c r="D289" s="2988">
        <v>1401</v>
      </c>
      <c r="E289" s="2988">
        <v>154.71</v>
      </c>
      <c r="F289" s="2988">
        <v>154.71</v>
      </c>
      <c r="G289" s="2988">
        <v>0</v>
      </c>
      <c r="H289" s="2990" t="s">
        <v>3348</v>
      </c>
      <c r="I289" s="2990" t="s">
        <v>3346</v>
      </c>
    </row>
    <row r="290" spans="2:9" hidden="1">
      <c r="B290" s="2986" t="s">
        <v>3302</v>
      </c>
      <c r="C290" s="2988" t="s">
        <v>3289</v>
      </c>
      <c r="D290" s="2988">
        <v>1402</v>
      </c>
      <c r="E290" s="2988">
        <v>184.84</v>
      </c>
      <c r="F290" s="2988">
        <v>184.84</v>
      </c>
      <c r="G290" s="2988">
        <v>0</v>
      </c>
      <c r="H290" s="2990" t="s">
        <v>3348</v>
      </c>
      <c r="I290" s="2990" t="s">
        <v>3346</v>
      </c>
    </row>
    <row r="291" spans="2:9" hidden="1">
      <c r="B291" s="2986" t="s">
        <v>3302</v>
      </c>
      <c r="C291" s="2988" t="s">
        <v>3289</v>
      </c>
      <c r="D291" s="2988">
        <v>1501</v>
      </c>
      <c r="E291" s="2988">
        <v>154.71</v>
      </c>
      <c r="F291" s="2988">
        <v>154.71</v>
      </c>
      <c r="G291" s="2988">
        <v>0</v>
      </c>
      <c r="H291" s="2990" t="s">
        <v>3348</v>
      </c>
      <c r="I291" s="2990" t="s">
        <v>3346</v>
      </c>
    </row>
    <row r="292" spans="2:9" hidden="1">
      <c r="B292" s="2986" t="s">
        <v>3302</v>
      </c>
      <c r="C292" s="2988" t="s">
        <v>3289</v>
      </c>
      <c r="D292" s="2988">
        <v>1502</v>
      </c>
      <c r="E292" s="2988">
        <v>184.84</v>
      </c>
      <c r="F292" s="2988">
        <v>184.84</v>
      </c>
      <c r="G292" s="2988">
        <v>0</v>
      </c>
      <c r="H292" s="2990" t="s">
        <v>3348</v>
      </c>
      <c r="I292" s="2990" t="s">
        <v>3346</v>
      </c>
    </row>
    <row r="293" spans="2:9" hidden="1">
      <c r="B293" s="2986" t="s">
        <v>3302</v>
      </c>
      <c r="C293" s="2988" t="s">
        <v>3289</v>
      </c>
      <c r="D293" s="2988">
        <v>1601</v>
      </c>
      <c r="E293" s="2988">
        <v>154.71</v>
      </c>
      <c r="F293" s="2988">
        <v>154.71</v>
      </c>
      <c r="G293" s="2988">
        <v>0</v>
      </c>
      <c r="H293" s="2990" t="s">
        <v>3348</v>
      </c>
      <c r="I293" s="2990" t="s">
        <v>3346</v>
      </c>
    </row>
    <row r="294" spans="2:9" hidden="1">
      <c r="B294" s="2986" t="s">
        <v>3302</v>
      </c>
      <c r="C294" s="2988" t="s">
        <v>3289</v>
      </c>
      <c r="D294" s="2988">
        <v>1602</v>
      </c>
      <c r="E294" s="2988">
        <v>184.84</v>
      </c>
      <c r="F294" s="2988">
        <v>184.84</v>
      </c>
      <c r="G294" s="2988">
        <v>0</v>
      </c>
      <c r="H294" s="2990" t="s">
        <v>3348</v>
      </c>
      <c r="I294" s="2990" t="s">
        <v>3346</v>
      </c>
    </row>
    <row r="295" spans="2:9" hidden="1">
      <c r="B295" s="2986" t="s">
        <v>3302</v>
      </c>
      <c r="C295" s="2988" t="s">
        <v>3289</v>
      </c>
      <c r="D295" s="2988">
        <v>1701</v>
      </c>
      <c r="E295" s="2988">
        <v>154.71</v>
      </c>
      <c r="F295" s="2988">
        <v>154.71</v>
      </c>
      <c r="G295" s="2988">
        <v>0</v>
      </c>
      <c r="H295" s="2990" t="s">
        <v>3348</v>
      </c>
      <c r="I295" s="2990" t="s">
        <v>3346</v>
      </c>
    </row>
    <row r="296" spans="2:9" hidden="1">
      <c r="B296" s="2986" t="s">
        <v>3302</v>
      </c>
      <c r="C296" s="2988" t="s">
        <v>3289</v>
      </c>
      <c r="D296" s="2988">
        <v>1702</v>
      </c>
      <c r="E296" s="2988">
        <v>184.84</v>
      </c>
      <c r="F296" s="2988">
        <v>184.84</v>
      </c>
      <c r="G296" s="2988">
        <v>0</v>
      </c>
      <c r="H296" s="2990" t="s">
        <v>3348</v>
      </c>
      <c r="I296" s="2990" t="s">
        <v>3346</v>
      </c>
    </row>
    <row r="297" spans="2:9" hidden="1">
      <c r="B297" s="2986" t="s">
        <v>3302</v>
      </c>
      <c r="C297" s="2988" t="s">
        <v>3289</v>
      </c>
      <c r="D297" s="2988">
        <v>1801</v>
      </c>
      <c r="E297" s="2988">
        <v>154.71</v>
      </c>
      <c r="F297" s="2988">
        <v>154.71</v>
      </c>
      <c r="G297" s="2988">
        <v>0</v>
      </c>
      <c r="H297" s="2990" t="s">
        <v>3348</v>
      </c>
      <c r="I297" s="2990" t="s">
        <v>3346</v>
      </c>
    </row>
    <row r="298" spans="2:9" hidden="1">
      <c r="B298" s="2986" t="s">
        <v>3302</v>
      </c>
      <c r="C298" s="2988" t="s">
        <v>3289</v>
      </c>
      <c r="D298" s="2988">
        <v>1802</v>
      </c>
      <c r="E298" s="2988">
        <v>184.84</v>
      </c>
      <c r="F298" s="2988">
        <v>184.84</v>
      </c>
      <c r="G298" s="2988">
        <v>0</v>
      </c>
      <c r="H298" s="2990" t="s">
        <v>3348</v>
      </c>
      <c r="I298" s="2990" t="s">
        <v>3346</v>
      </c>
    </row>
    <row r="299" spans="2:9" hidden="1">
      <c r="B299" s="2986" t="s">
        <v>3302</v>
      </c>
      <c r="C299" s="2988" t="s">
        <v>3289</v>
      </c>
      <c r="D299" s="2988">
        <v>1901</v>
      </c>
      <c r="E299" s="2988">
        <v>154.71</v>
      </c>
      <c r="F299" s="2988">
        <v>154.71</v>
      </c>
      <c r="G299" s="2988">
        <v>0</v>
      </c>
      <c r="H299" s="2990" t="s">
        <v>3348</v>
      </c>
      <c r="I299" s="2990" t="s">
        <v>3346</v>
      </c>
    </row>
    <row r="300" spans="2:9" hidden="1">
      <c r="B300" s="2986" t="s">
        <v>3302</v>
      </c>
      <c r="C300" s="2988" t="s">
        <v>3289</v>
      </c>
      <c r="D300" s="2988">
        <v>1902</v>
      </c>
      <c r="E300" s="2988">
        <v>184.84</v>
      </c>
      <c r="F300" s="2988">
        <v>184.84</v>
      </c>
      <c r="G300" s="2988">
        <v>0</v>
      </c>
      <c r="H300" s="2990" t="s">
        <v>3348</v>
      </c>
      <c r="I300" s="2990" t="s">
        <v>3346</v>
      </c>
    </row>
    <row r="301" spans="2:9" hidden="1">
      <c r="B301" s="2986" t="s">
        <v>3297</v>
      </c>
      <c r="C301" s="2986" t="s">
        <v>3298</v>
      </c>
      <c r="D301" s="2985" t="s">
        <v>3269</v>
      </c>
      <c r="E301" s="2987">
        <v>298.64999999999998</v>
      </c>
      <c r="F301">
        <v>135.72999999999999</v>
      </c>
      <c r="G301">
        <v>162.92000000000002</v>
      </c>
      <c r="H301" s="2990" t="s">
        <v>3348</v>
      </c>
      <c r="I301" s="2990" t="s">
        <v>3346</v>
      </c>
    </row>
    <row r="302" spans="2:9" hidden="1">
      <c r="B302" s="2986" t="s">
        <v>3297</v>
      </c>
      <c r="C302" s="2986" t="s">
        <v>3298</v>
      </c>
      <c r="D302" s="2985" t="s">
        <v>3270</v>
      </c>
      <c r="E302" s="2987">
        <v>299.52</v>
      </c>
      <c r="F302">
        <v>135.06</v>
      </c>
      <c r="G302">
        <v>164.46</v>
      </c>
      <c r="H302" s="2990" t="s">
        <v>3348</v>
      </c>
      <c r="I302" s="2990" t="s">
        <v>3346</v>
      </c>
    </row>
    <row r="303" spans="2:9" hidden="1">
      <c r="B303" s="2986" t="s">
        <v>3297</v>
      </c>
      <c r="C303" s="2986" t="s">
        <v>3298</v>
      </c>
      <c r="D303" s="2985" t="s">
        <v>3271</v>
      </c>
      <c r="E303" s="2987">
        <v>154.86000000000001</v>
      </c>
      <c r="F303" s="2987">
        <v>154.86000000000001</v>
      </c>
      <c r="G303">
        <v>0</v>
      </c>
      <c r="H303" s="2990" t="s">
        <v>3348</v>
      </c>
      <c r="I303" s="2990" t="s">
        <v>3346</v>
      </c>
    </row>
    <row r="304" spans="2:9" hidden="1">
      <c r="B304" s="2986" t="s">
        <v>3297</v>
      </c>
      <c r="C304" s="2986" t="s">
        <v>3298</v>
      </c>
      <c r="D304" s="2985" t="s">
        <v>3272</v>
      </c>
      <c r="E304" s="2987">
        <v>154.19</v>
      </c>
      <c r="F304" s="2987">
        <v>154.19</v>
      </c>
      <c r="G304">
        <v>0</v>
      </c>
      <c r="H304" s="2990" t="s">
        <v>3348</v>
      </c>
      <c r="I304" s="2990" t="s">
        <v>3346</v>
      </c>
    </row>
    <row r="305" spans="2:9" hidden="1">
      <c r="B305" s="2986" t="s">
        <v>3297</v>
      </c>
      <c r="C305" s="2986" t="s">
        <v>3298</v>
      </c>
      <c r="D305" s="2985" t="s">
        <v>3273</v>
      </c>
      <c r="E305" s="2987">
        <v>154.86000000000001</v>
      </c>
      <c r="F305" s="2987">
        <v>154.86000000000001</v>
      </c>
      <c r="G305">
        <v>0</v>
      </c>
      <c r="H305" s="2990" t="s">
        <v>3348</v>
      </c>
      <c r="I305" s="2990" t="s">
        <v>3346</v>
      </c>
    </row>
    <row r="306" spans="2:9" hidden="1">
      <c r="B306" s="2986" t="s">
        <v>3297</v>
      </c>
      <c r="C306" s="2986" t="s">
        <v>3298</v>
      </c>
      <c r="D306" s="2985" t="s">
        <v>3274</v>
      </c>
      <c r="E306" s="2987">
        <v>154.19</v>
      </c>
      <c r="F306" s="2987">
        <v>154.19</v>
      </c>
      <c r="G306">
        <v>0</v>
      </c>
      <c r="H306" s="2990" t="s">
        <v>3348</v>
      </c>
      <c r="I306" s="2990" t="s">
        <v>3346</v>
      </c>
    </row>
    <row r="307" spans="2:9" hidden="1">
      <c r="B307" s="2986" t="s">
        <v>3297</v>
      </c>
      <c r="C307" s="2986" t="s">
        <v>3298</v>
      </c>
      <c r="D307" s="2985" t="s">
        <v>3275</v>
      </c>
      <c r="E307" s="2987">
        <v>154.86000000000001</v>
      </c>
      <c r="F307" s="2987">
        <v>154.86000000000001</v>
      </c>
      <c r="G307">
        <v>0</v>
      </c>
      <c r="H307" s="2990" t="s">
        <v>3348</v>
      </c>
      <c r="I307" s="2990" t="s">
        <v>3346</v>
      </c>
    </row>
    <row r="308" spans="2:9" hidden="1">
      <c r="B308" s="2986" t="s">
        <v>3297</v>
      </c>
      <c r="C308" s="2986" t="s">
        <v>3298</v>
      </c>
      <c r="D308" s="2985" t="s">
        <v>3276</v>
      </c>
      <c r="E308" s="2987">
        <v>154.19</v>
      </c>
      <c r="F308" s="2987">
        <v>154.19</v>
      </c>
      <c r="G308">
        <v>0</v>
      </c>
      <c r="H308" s="2990" t="s">
        <v>3348</v>
      </c>
      <c r="I308" s="2990" t="s">
        <v>3346</v>
      </c>
    </row>
    <row r="309" spans="2:9" hidden="1">
      <c r="B309" s="2986" t="s">
        <v>3297</v>
      </c>
      <c r="C309" s="2986" t="s">
        <v>3298</v>
      </c>
      <c r="D309" s="2985" t="s">
        <v>3277</v>
      </c>
      <c r="E309" s="2987">
        <v>154.86000000000001</v>
      </c>
      <c r="F309" s="2987">
        <v>154.86000000000001</v>
      </c>
      <c r="G309">
        <v>0</v>
      </c>
      <c r="H309" s="2990" t="s">
        <v>3348</v>
      </c>
      <c r="I309" s="2990" t="s">
        <v>3346</v>
      </c>
    </row>
    <row r="310" spans="2:9" hidden="1">
      <c r="B310" s="2986" t="s">
        <v>3297</v>
      </c>
      <c r="C310" s="2986" t="s">
        <v>3298</v>
      </c>
      <c r="D310" s="2985" t="s">
        <v>3278</v>
      </c>
      <c r="E310" s="2987">
        <v>154.19</v>
      </c>
      <c r="F310" s="2987">
        <v>154.19</v>
      </c>
      <c r="G310">
        <v>0</v>
      </c>
      <c r="H310" s="2990" t="s">
        <v>3348</v>
      </c>
      <c r="I310" s="2990" t="s">
        <v>3346</v>
      </c>
    </row>
    <row r="311" spans="2:9" hidden="1">
      <c r="B311" s="2986" t="s">
        <v>3297</v>
      </c>
      <c r="C311" s="2986" t="s">
        <v>3298</v>
      </c>
      <c r="D311" s="2985" t="s">
        <v>3279</v>
      </c>
      <c r="E311" s="2987">
        <v>154.86000000000001</v>
      </c>
      <c r="F311" s="2987">
        <v>154.86000000000001</v>
      </c>
      <c r="G311">
        <v>0</v>
      </c>
      <c r="H311" s="2990" t="s">
        <v>3348</v>
      </c>
      <c r="I311" s="2990" t="s">
        <v>3346</v>
      </c>
    </row>
    <row r="312" spans="2:9" hidden="1">
      <c r="B312" s="2986" t="s">
        <v>3297</v>
      </c>
      <c r="C312" s="2986" t="s">
        <v>3298</v>
      </c>
      <c r="D312" s="2985" t="s">
        <v>3280</v>
      </c>
      <c r="E312" s="2987">
        <v>154.19</v>
      </c>
      <c r="F312" s="2987">
        <v>154.19</v>
      </c>
      <c r="G312">
        <v>0</v>
      </c>
      <c r="H312" s="2990" t="s">
        <v>3348</v>
      </c>
      <c r="I312" s="2990" t="s">
        <v>3346</v>
      </c>
    </row>
    <row r="313" spans="2:9" hidden="1">
      <c r="B313" s="2986" t="s">
        <v>3297</v>
      </c>
      <c r="C313" s="2986" t="s">
        <v>3298</v>
      </c>
      <c r="D313" s="2985" t="s">
        <v>3281</v>
      </c>
      <c r="E313" s="2987">
        <v>154.86000000000001</v>
      </c>
      <c r="F313" s="2987">
        <v>154.86000000000001</v>
      </c>
      <c r="G313">
        <v>0</v>
      </c>
      <c r="H313" s="2990" t="s">
        <v>3348</v>
      </c>
      <c r="I313" s="2990" t="s">
        <v>3346</v>
      </c>
    </row>
    <row r="314" spans="2:9" hidden="1">
      <c r="B314" s="2986" t="s">
        <v>3297</v>
      </c>
      <c r="C314" s="2986" t="s">
        <v>3298</v>
      </c>
      <c r="D314" s="2985" t="s">
        <v>3282</v>
      </c>
      <c r="E314" s="2987">
        <v>154.19</v>
      </c>
      <c r="F314" s="2987">
        <v>154.19</v>
      </c>
      <c r="G314">
        <v>0</v>
      </c>
      <c r="H314" s="2990" t="s">
        <v>3348</v>
      </c>
      <c r="I314" s="2990" t="s">
        <v>3346</v>
      </c>
    </row>
    <row r="315" spans="2:9" hidden="1">
      <c r="B315" s="2986" t="s">
        <v>3297</v>
      </c>
      <c r="C315" s="2986" t="s">
        <v>3298</v>
      </c>
      <c r="D315" s="2985" t="s">
        <v>3283</v>
      </c>
      <c r="E315" s="2987">
        <v>154.86000000000001</v>
      </c>
      <c r="F315" s="2987">
        <v>154.86000000000001</v>
      </c>
      <c r="G315">
        <v>0</v>
      </c>
      <c r="H315" s="2990" t="s">
        <v>3348</v>
      </c>
      <c r="I315" s="2990" t="s">
        <v>3346</v>
      </c>
    </row>
    <row r="316" spans="2:9" hidden="1">
      <c r="B316" s="2986" t="s">
        <v>3296</v>
      </c>
      <c r="C316" s="2986" t="s">
        <v>3268</v>
      </c>
      <c r="D316" s="2985" t="s">
        <v>3284</v>
      </c>
      <c r="E316" s="2987">
        <v>154.19</v>
      </c>
      <c r="F316" s="2987">
        <v>154.19</v>
      </c>
      <c r="G316">
        <v>0</v>
      </c>
      <c r="H316" s="2990" t="s">
        <v>3348</v>
      </c>
      <c r="I316" s="2990" t="s">
        <v>3346</v>
      </c>
    </row>
    <row r="317" spans="2:9" hidden="1">
      <c r="B317" s="2986" t="s">
        <v>3296</v>
      </c>
      <c r="C317" s="2985" t="s">
        <v>3268</v>
      </c>
      <c r="D317" s="2985" t="s">
        <v>3285</v>
      </c>
      <c r="E317" s="2987">
        <v>154.86000000000001</v>
      </c>
      <c r="F317" s="2987">
        <v>154.86000000000001</v>
      </c>
      <c r="G317">
        <v>0</v>
      </c>
      <c r="H317" s="2990" t="s">
        <v>3348</v>
      </c>
      <c r="I317" s="2990" t="s">
        <v>3346</v>
      </c>
    </row>
    <row r="318" spans="2:9" hidden="1">
      <c r="B318" s="2986" t="s">
        <v>3296</v>
      </c>
      <c r="C318" s="2986" t="s">
        <v>3268</v>
      </c>
      <c r="D318" s="2985" t="s">
        <v>3286</v>
      </c>
      <c r="E318" s="2987">
        <v>154.19</v>
      </c>
      <c r="F318" s="2987">
        <v>154.19</v>
      </c>
      <c r="G318">
        <v>0</v>
      </c>
      <c r="H318" s="2990" t="s">
        <v>3348</v>
      </c>
      <c r="I318" s="2990" t="s">
        <v>3346</v>
      </c>
    </row>
    <row r="319" spans="2:9" hidden="1">
      <c r="B319" s="2986" t="s">
        <v>3296</v>
      </c>
      <c r="C319" s="2985" t="s">
        <v>3268</v>
      </c>
      <c r="D319" s="2985" t="s">
        <v>3287</v>
      </c>
      <c r="E319" s="2987">
        <v>154.86000000000001</v>
      </c>
      <c r="F319" s="2987">
        <v>154.86000000000001</v>
      </c>
      <c r="G319">
        <v>0</v>
      </c>
      <c r="H319" s="2990" t="s">
        <v>3348</v>
      </c>
      <c r="I319" s="2990" t="s">
        <v>3346</v>
      </c>
    </row>
    <row r="320" spans="2:9" hidden="1">
      <c r="B320" s="2986" t="s">
        <v>3296</v>
      </c>
      <c r="C320" s="2986" t="s">
        <v>3268</v>
      </c>
      <c r="D320" s="2985" t="s">
        <v>3288</v>
      </c>
      <c r="E320" s="2987">
        <v>154.19</v>
      </c>
      <c r="F320" s="2987">
        <v>154.19</v>
      </c>
      <c r="G320">
        <v>0</v>
      </c>
      <c r="H320" s="2990" t="s">
        <v>3348</v>
      </c>
      <c r="I320" s="2990" t="s">
        <v>3346</v>
      </c>
    </row>
    <row r="321" spans="2:9" hidden="1">
      <c r="B321" s="2986" t="s">
        <v>3296</v>
      </c>
      <c r="C321" s="2985" t="s">
        <v>3289</v>
      </c>
      <c r="D321" s="2985" t="s">
        <v>3269</v>
      </c>
      <c r="E321" s="2987">
        <v>299.52</v>
      </c>
      <c r="F321">
        <v>135.06</v>
      </c>
      <c r="G321">
        <v>164.46</v>
      </c>
      <c r="H321" s="2990" t="s">
        <v>3348</v>
      </c>
      <c r="I321" s="2990" t="s">
        <v>3346</v>
      </c>
    </row>
    <row r="322" spans="2:9" hidden="1">
      <c r="B322" s="2986" t="s">
        <v>3296</v>
      </c>
      <c r="C322" s="2986" t="s">
        <v>3292</v>
      </c>
      <c r="D322" s="2985" t="s">
        <v>3270</v>
      </c>
      <c r="E322" s="2987">
        <v>299.52</v>
      </c>
      <c r="F322">
        <v>135.06</v>
      </c>
      <c r="G322">
        <v>164.46</v>
      </c>
      <c r="H322" s="2990" t="s">
        <v>3348</v>
      </c>
      <c r="I322" s="2990" t="s">
        <v>3346</v>
      </c>
    </row>
    <row r="323" spans="2:9" hidden="1">
      <c r="B323" s="2986" t="s">
        <v>3296</v>
      </c>
      <c r="C323" s="2985" t="s">
        <v>3289</v>
      </c>
      <c r="D323" s="2985" t="s">
        <v>3271</v>
      </c>
      <c r="E323" s="2987">
        <v>154.19</v>
      </c>
      <c r="F323" s="2987">
        <v>154.19</v>
      </c>
      <c r="G323">
        <v>0</v>
      </c>
      <c r="H323" s="2990" t="s">
        <v>3348</v>
      </c>
      <c r="I323" s="2990" t="s">
        <v>3346</v>
      </c>
    </row>
    <row r="324" spans="2:9" hidden="1">
      <c r="B324" s="2986" t="s">
        <v>3296</v>
      </c>
      <c r="C324" s="2986" t="s">
        <v>3289</v>
      </c>
      <c r="D324" s="2985" t="s">
        <v>3272</v>
      </c>
      <c r="E324" s="2988">
        <v>154.19</v>
      </c>
      <c r="F324" s="2988">
        <v>154.19</v>
      </c>
      <c r="G324">
        <v>0</v>
      </c>
      <c r="H324" s="2990" t="s">
        <v>3348</v>
      </c>
      <c r="I324" s="2990" t="s">
        <v>3346</v>
      </c>
    </row>
    <row r="325" spans="2:9" hidden="1">
      <c r="B325" s="2986" t="s">
        <v>3296</v>
      </c>
      <c r="C325" s="2985" t="s">
        <v>3289</v>
      </c>
      <c r="D325" s="2985" t="s">
        <v>3273</v>
      </c>
      <c r="E325" s="2988">
        <v>154.19</v>
      </c>
      <c r="F325" s="2988">
        <v>154.19</v>
      </c>
      <c r="G325">
        <v>0</v>
      </c>
      <c r="H325" s="2990" t="s">
        <v>3348</v>
      </c>
      <c r="I325" s="2990" t="s">
        <v>3346</v>
      </c>
    </row>
    <row r="326" spans="2:9" hidden="1">
      <c r="B326" s="2986" t="s">
        <v>3296</v>
      </c>
      <c r="C326" s="2986" t="s">
        <v>3289</v>
      </c>
      <c r="D326" s="2985" t="s">
        <v>3274</v>
      </c>
      <c r="E326" s="2988">
        <v>154.19</v>
      </c>
      <c r="F326" s="2988">
        <v>154.19</v>
      </c>
      <c r="G326">
        <v>0</v>
      </c>
      <c r="H326" s="2990" t="s">
        <v>3348</v>
      </c>
      <c r="I326" s="2990" t="s">
        <v>3346</v>
      </c>
    </row>
    <row r="327" spans="2:9" hidden="1">
      <c r="B327" s="2986" t="s">
        <v>3296</v>
      </c>
      <c r="C327" s="2985" t="s">
        <v>3289</v>
      </c>
      <c r="D327" s="2985" t="s">
        <v>3275</v>
      </c>
      <c r="E327" s="2988">
        <v>154.19</v>
      </c>
      <c r="F327" s="2988">
        <v>154.19</v>
      </c>
      <c r="G327">
        <v>0</v>
      </c>
      <c r="H327" s="2990" t="s">
        <v>3348</v>
      </c>
      <c r="I327" s="2990" t="s">
        <v>3346</v>
      </c>
    </row>
    <row r="328" spans="2:9" hidden="1">
      <c r="B328" s="2986" t="s">
        <v>3296</v>
      </c>
      <c r="C328" s="2986" t="s">
        <v>3289</v>
      </c>
      <c r="D328" s="2985" t="s">
        <v>3276</v>
      </c>
      <c r="E328" s="2988">
        <v>154.19</v>
      </c>
      <c r="F328" s="2988">
        <v>154.19</v>
      </c>
      <c r="G328">
        <v>0</v>
      </c>
      <c r="H328" s="2990" t="s">
        <v>3348</v>
      </c>
      <c r="I328" s="2990" t="s">
        <v>3346</v>
      </c>
    </row>
    <row r="329" spans="2:9" hidden="1">
      <c r="B329" s="2986" t="s">
        <v>3296</v>
      </c>
      <c r="C329" s="2985" t="s">
        <v>3289</v>
      </c>
      <c r="D329" s="2985" t="s">
        <v>3277</v>
      </c>
      <c r="E329" s="2988">
        <v>154.19</v>
      </c>
      <c r="F329" s="2988">
        <v>154.19</v>
      </c>
      <c r="G329">
        <v>0</v>
      </c>
      <c r="H329" s="2990" t="s">
        <v>3348</v>
      </c>
      <c r="I329" s="2990" t="s">
        <v>3346</v>
      </c>
    </row>
    <row r="330" spans="2:9" hidden="1">
      <c r="B330" s="2986" t="s">
        <v>3296</v>
      </c>
      <c r="C330" s="2986" t="s">
        <v>3289</v>
      </c>
      <c r="D330" s="2985" t="s">
        <v>3278</v>
      </c>
      <c r="E330" s="2988">
        <v>154.19</v>
      </c>
      <c r="F330" s="2988">
        <v>154.19</v>
      </c>
      <c r="G330">
        <v>0</v>
      </c>
      <c r="H330" s="2990" t="s">
        <v>3348</v>
      </c>
      <c r="I330" s="2990" t="s">
        <v>3346</v>
      </c>
    </row>
    <row r="331" spans="2:9" hidden="1">
      <c r="B331" s="2986" t="s">
        <v>3296</v>
      </c>
      <c r="C331" s="2985" t="s">
        <v>3289</v>
      </c>
      <c r="D331" s="2985" t="s">
        <v>3279</v>
      </c>
      <c r="E331" s="2988">
        <v>154.19</v>
      </c>
      <c r="F331" s="2988">
        <v>154.19</v>
      </c>
      <c r="G331">
        <v>0</v>
      </c>
      <c r="H331" s="2990" t="s">
        <v>3348</v>
      </c>
      <c r="I331" s="2990" t="s">
        <v>3346</v>
      </c>
    </row>
    <row r="332" spans="2:9" hidden="1">
      <c r="B332" s="2986" t="s">
        <v>3296</v>
      </c>
      <c r="C332" s="2986" t="s">
        <v>3289</v>
      </c>
      <c r="D332" s="2985" t="s">
        <v>3280</v>
      </c>
      <c r="E332" s="2988">
        <v>154.19</v>
      </c>
      <c r="F332" s="2988">
        <v>154.19</v>
      </c>
      <c r="G332">
        <v>0</v>
      </c>
      <c r="H332" s="2990" t="s">
        <v>3348</v>
      </c>
      <c r="I332" s="2990" t="s">
        <v>3346</v>
      </c>
    </row>
    <row r="333" spans="2:9" hidden="1">
      <c r="B333" s="2986" t="s">
        <v>3296</v>
      </c>
      <c r="C333" s="2985" t="s">
        <v>3289</v>
      </c>
      <c r="D333" s="2985" t="s">
        <v>3281</v>
      </c>
      <c r="E333" s="2988">
        <v>154.19</v>
      </c>
      <c r="F333" s="2988">
        <v>154.19</v>
      </c>
      <c r="G333">
        <v>0</v>
      </c>
      <c r="H333" s="2990" t="s">
        <v>3348</v>
      </c>
      <c r="I333" s="2990" t="s">
        <v>3346</v>
      </c>
    </row>
    <row r="334" spans="2:9" hidden="1">
      <c r="B334" s="2986" t="s">
        <v>3296</v>
      </c>
      <c r="C334" s="2986" t="s">
        <v>3289</v>
      </c>
      <c r="D334" s="2985" t="s">
        <v>3282</v>
      </c>
      <c r="E334" s="2988">
        <v>154.19</v>
      </c>
      <c r="F334" s="2988">
        <v>154.19</v>
      </c>
      <c r="G334">
        <v>0</v>
      </c>
      <c r="H334" s="2990" t="s">
        <v>3348</v>
      </c>
      <c r="I334" s="2990" t="s">
        <v>3346</v>
      </c>
    </row>
    <row r="335" spans="2:9" hidden="1">
      <c r="B335" s="2986" t="s">
        <v>3296</v>
      </c>
      <c r="C335" s="2985" t="s">
        <v>3289</v>
      </c>
      <c r="D335" s="2985" t="s">
        <v>3283</v>
      </c>
      <c r="E335" s="2988">
        <v>154.19</v>
      </c>
      <c r="F335" s="2988">
        <v>154.19</v>
      </c>
      <c r="G335">
        <v>0</v>
      </c>
      <c r="H335" s="2990" t="s">
        <v>3348</v>
      </c>
      <c r="I335" s="2990" t="s">
        <v>3346</v>
      </c>
    </row>
    <row r="336" spans="2:9" hidden="1">
      <c r="B336" s="2986" t="s">
        <v>3296</v>
      </c>
      <c r="C336" s="2986" t="s">
        <v>3289</v>
      </c>
      <c r="D336" s="2985" t="s">
        <v>3284</v>
      </c>
      <c r="E336" s="2988">
        <v>154.19</v>
      </c>
      <c r="F336" s="2988">
        <v>154.19</v>
      </c>
      <c r="G336">
        <v>0</v>
      </c>
      <c r="H336" s="2990" t="s">
        <v>3348</v>
      </c>
      <c r="I336" s="2990" t="s">
        <v>3346</v>
      </c>
    </row>
    <row r="337" spans="2:9" hidden="1">
      <c r="B337" s="2986" t="s">
        <v>3296</v>
      </c>
      <c r="C337" s="2985" t="s">
        <v>3289</v>
      </c>
      <c r="D337" s="2985" t="s">
        <v>3285</v>
      </c>
      <c r="E337" s="2988">
        <v>154.19</v>
      </c>
      <c r="F337" s="2988">
        <v>154.19</v>
      </c>
      <c r="G337">
        <v>0</v>
      </c>
      <c r="H337" s="2990" t="s">
        <v>3348</v>
      </c>
      <c r="I337" s="2990" t="s">
        <v>3346</v>
      </c>
    </row>
    <row r="338" spans="2:9" hidden="1">
      <c r="B338" s="2986" t="s">
        <v>3296</v>
      </c>
      <c r="C338" s="2986" t="s">
        <v>3289</v>
      </c>
      <c r="D338" s="2985" t="s">
        <v>3286</v>
      </c>
      <c r="E338" s="2988">
        <v>154.19</v>
      </c>
      <c r="F338" s="2988">
        <v>154.19</v>
      </c>
      <c r="G338">
        <v>0</v>
      </c>
      <c r="H338" s="2990" t="s">
        <v>3348</v>
      </c>
      <c r="I338" s="2990" t="s">
        <v>3346</v>
      </c>
    </row>
    <row r="339" spans="2:9" hidden="1">
      <c r="B339" s="2986" t="s">
        <v>3296</v>
      </c>
      <c r="C339" s="2985" t="s">
        <v>3289</v>
      </c>
      <c r="D339" s="2985" t="s">
        <v>3287</v>
      </c>
      <c r="E339" s="2988">
        <v>154.19</v>
      </c>
      <c r="F339" s="2988">
        <v>154.19</v>
      </c>
      <c r="G339">
        <v>0</v>
      </c>
      <c r="H339" s="2990" t="s">
        <v>3348</v>
      </c>
      <c r="I339" s="2990" t="s">
        <v>3346</v>
      </c>
    </row>
    <row r="340" spans="2:9" hidden="1">
      <c r="B340" s="2986" t="s">
        <v>3296</v>
      </c>
      <c r="C340" s="2986" t="s">
        <v>3289</v>
      </c>
      <c r="D340" s="2985" t="s">
        <v>3288</v>
      </c>
      <c r="E340" s="2988">
        <v>154.19</v>
      </c>
      <c r="F340" s="2988">
        <v>154.19</v>
      </c>
      <c r="G340">
        <v>0</v>
      </c>
      <c r="H340" s="2990" t="s">
        <v>3348</v>
      </c>
      <c r="I340" s="2990" t="s">
        <v>3346</v>
      </c>
    </row>
    <row r="341" spans="2:9" hidden="1">
      <c r="B341" s="2986" t="s">
        <v>3296</v>
      </c>
      <c r="C341" s="2985" t="s">
        <v>3291</v>
      </c>
      <c r="D341" s="2985" t="s">
        <v>3269</v>
      </c>
      <c r="E341" s="2988">
        <v>299.52</v>
      </c>
      <c r="F341">
        <v>135.06</v>
      </c>
      <c r="G341">
        <v>164.46</v>
      </c>
      <c r="H341" s="2990" t="s">
        <v>3348</v>
      </c>
      <c r="I341" s="2990" t="s">
        <v>3346</v>
      </c>
    </row>
    <row r="342" spans="2:9" hidden="1">
      <c r="B342" s="2986" t="s">
        <v>3296</v>
      </c>
      <c r="C342" s="2986" t="s">
        <v>3293</v>
      </c>
      <c r="D342" s="2985" t="s">
        <v>3270</v>
      </c>
      <c r="E342" s="2988">
        <v>298.64999999999998</v>
      </c>
      <c r="F342">
        <v>135.72999999999999</v>
      </c>
      <c r="G342">
        <v>162.92000000000002</v>
      </c>
      <c r="H342" s="2990" t="s">
        <v>3348</v>
      </c>
      <c r="I342" s="2990" t="s">
        <v>3346</v>
      </c>
    </row>
    <row r="343" spans="2:9" hidden="1">
      <c r="B343" s="2986" t="s">
        <v>3296</v>
      </c>
      <c r="C343" s="2985" t="s">
        <v>3291</v>
      </c>
      <c r="D343" s="2985" t="s">
        <v>3271</v>
      </c>
      <c r="E343" s="2988">
        <v>154.19</v>
      </c>
      <c r="F343" s="2988">
        <v>154.19</v>
      </c>
      <c r="G343">
        <v>0</v>
      </c>
      <c r="H343" s="2990" t="s">
        <v>3348</v>
      </c>
      <c r="I343" s="2990" t="s">
        <v>3346</v>
      </c>
    </row>
    <row r="344" spans="2:9" hidden="1">
      <c r="B344" s="2986" t="s">
        <v>3296</v>
      </c>
      <c r="C344" s="2986" t="s">
        <v>3291</v>
      </c>
      <c r="D344" s="2985" t="s">
        <v>3272</v>
      </c>
      <c r="E344" s="2988">
        <v>154.86000000000001</v>
      </c>
      <c r="F344" s="2988">
        <v>154.86000000000001</v>
      </c>
      <c r="G344">
        <v>0</v>
      </c>
      <c r="H344" s="2990" t="s">
        <v>3348</v>
      </c>
      <c r="I344" s="2990" t="s">
        <v>3346</v>
      </c>
    </row>
    <row r="345" spans="2:9" hidden="1">
      <c r="B345" s="2986" t="s">
        <v>3296</v>
      </c>
      <c r="C345" s="2985" t="s">
        <v>3291</v>
      </c>
      <c r="D345" s="2985" t="s">
        <v>3273</v>
      </c>
      <c r="E345" s="2988">
        <v>154.19</v>
      </c>
      <c r="F345" s="2988">
        <v>154.19</v>
      </c>
      <c r="G345">
        <v>0</v>
      </c>
      <c r="H345" s="2990" t="s">
        <v>3348</v>
      </c>
      <c r="I345" s="2990" t="s">
        <v>3346</v>
      </c>
    </row>
    <row r="346" spans="2:9" hidden="1">
      <c r="B346" s="2986" t="s">
        <v>3296</v>
      </c>
      <c r="C346" s="2986" t="s">
        <v>3291</v>
      </c>
      <c r="D346" s="2985" t="s">
        <v>3274</v>
      </c>
      <c r="E346" s="2988">
        <v>154.86000000000001</v>
      </c>
      <c r="F346" s="2988">
        <v>154.86000000000001</v>
      </c>
      <c r="G346">
        <v>0</v>
      </c>
      <c r="H346" s="2990" t="s">
        <v>3348</v>
      </c>
      <c r="I346" s="2990" t="s">
        <v>3346</v>
      </c>
    </row>
    <row r="347" spans="2:9" hidden="1">
      <c r="B347" s="2986" t="s">
        <v>3296</v>
      </c>
      <c r="C347" s="2985" t="s">
        <v>3291</v>
      </c>
      <c r="D347" s="2985" t="s">
        <v>3275</v>
      </c>
      <c r="E347" s="2988">
        <v>154.19</v>
      </c>
      <c r="F347" s="2988">
        <v>154.19</v>
      </c>
      <c r="G347">
        <v>0</v>
      </c>
      <c r="H347" s="2990" t="s">
        <v>3348</v>
      </c>
      <c r="I347" s="2990" t="s">
        <v>3346</v>
      </c>
    </row>
    <row r="348" spans="2:9" hidden="1">
      <c r="B348" s="2986" t="s">
        <v>3296</v>
      </c>
      <c r="C348" s="2986" t="s">
        <v>3291</v>
      </c>
      <c r="D348" s="2985" t="s">
        <v>3276</v>
      </c>
      <c r="E348" s="2988">
        <v>154.86000000000001</v>
      </c>
      <c r="F348" s="2988">
        <v>154.86000000000001</v>
      </c>
      <c r="G348">
        <v>0</v>
      </c>
      <c r="H348" s="2990" t="s">
        <v>3348</v>
      </c>
      <c r="I348" s="2990" t="s">
        <v>3346</v>
      </c>
    </row>
    <row r="349" spans="2:9" hidden="1">
      <c r="B349" s="2986" t="s">
        <v>3296</v>
      </c>
      <c r="C349" s="2985" t="s">
        <v>3291</v>
      </c>
      <c r="D349" s="2985" t="s">
        <v>3277</v>
      </c>
      <c r="E349" s="2988">
        <v>154.19</v>
      </c>
      <c r="F349" s="2988">
        <v>154.19</v>
      </c>
      <c r="G349">
        <v>0</v>
      </c>
      <c r="H349" s="2990" t="s">
        <v>3348</v>
      </c>
      <c r="I349" s="2990" t="s">
        <v>3346</v>
      </c>
    </row>
    <row r="350" spans="2:9" hidden="1">
      <c r="B350" s="2986" t="s">
        <v>3296</v>
      </c>
      <c r="C350" s="2986" t="s">
        <v>3291</v>
      </c>
      <c r="D350" s="2985" t="s">
        <v>3278</v>
      </c>
      <c r="E350" s="2988">
        <v>154.86000000000001</v>
      </c>
      <c r="F350" s="2988">
        <v>154.86000000000001</v>
      </c>
      <c r="G350">
        <v>0</v>
      </c>
      <c r="H350" s="2990" t="s">
        <v>3348</v>
      </c>
      <c r="I350" s="2990" t="s">
        <v>3346</v>
      </c>
    </row>
    <row r="351" spans="2:9" hidden="1">
      <c r="B351" s="2986" t="s">
        <v>3296</v>
      </c>
      <c r="C351" s="2985" t="s">
        <v>3291</v>
      </c>
      <c r="D351" s="2985" t="s">
        <v>3279</v>
      </c>
      <c r="E351" s="2988">
        <v>154.19</v>
      </c>
      <c r="F351" s="2988">
        <v>154.19</v>
      </c>
      <c r="G351">
        <v>0</v>
      </c>
      <c r="H351" s="2990" t="s">
        <v>3348</v>
      </c>
      <c r="I351" s="2990" t="s">
        <v>3346</v>
      </c>
    </row>
    <row r="352" spans="2:9" hidden="1">
      <c r="B352" s="2986" t="s">
        <v>3296</v>
      </c>
      <c r="C352" s="2986" t="s">
        <v>3291</v>
      </c>
      <c r="D352" s="2985" t="s">
        <v>3280</v>
      </c>
      <c r="E352" s="2988">
        <v>154.86000000000001</v>
      </c>
      <c r="F352" s="2988">
        <v>154.86000000000001</v>
      </c>
      <c r="G352">
        <v>0</v>
      </c>
      <c r="H352" s="2990" t="s">
        <v>3348</v>
      </c>
      <c r="I352" s="2990" t="s">
        <v>3346</v>
      </c>
    </row>
    <row r="353" spans="2:9" hidden="1">
      <c r="B353" s="2986" t="s">
        <v>3296</v>
      </c>
      <c r="C353" s="2985" t="s">
        <v>3291</v>
      </c>
      <c r="D353" s="2985" t="s">
        <v>3281</v>
      </c>
      <c r="E353" s="2988">
        <v>154.19</v>
      </c>
      <c r="F353" s="2988">
        <v>154.19</v>
      </c>
      <c r="G353">
        <v>0</v>
      </c>
      <c r="H353" s="2990" t="s">
        <v>3348</v>
      </c>
      <c r="I353" s="2990" t="s">
        <v>3346</v>
      </c>
    </row>
    <row r="354" spans="2:9" hidden="1">
      <c r="B354" s="2986" t="s">
        <v>3296</v>
      </c>
      <c r="C354" s="2986" t="s">
        <v>3291</v>
      </c>
      <c r="D354" s="2985" t="s">
        <v>3282</v>
      </c>
      <c r="E354" s="2988">
        <v>154.86000000000001</v>
      </c>
      <c r="F354" s="2988">
        <v>154.86000000000001</v>
      </c>
      <c r="G354">
        <v>0</v>
      </c>
      <c r="H354" s="2990" t="s">
        <v>3348</v>
      </c>
      <c r="I354" s="2990" t="s">
        <v>3346</v>
      </c>
    </row>
    <row r="355" spans="2:9" hidden="1">
      <c r="B355" s="2986" t="s">
        <v>3296</v>
      </c>
      <c r="C355" s="2985" t="s">
        <v>3291</v>
      </c>
      <c r="D355" s="2985" t="s">
        <v>3283</v>
      </c>
      <c r="E355" s="2987">
        <v>154.19</v>
      </c>
      <c r="F355" s="2987">
        <v>154.19</v>
      </c>
      <c r="G355">
        <v>0</v>
      </c>
      <c r="H355" s="2990" t="s">
        <v>3348</v>
      </c>
      <c r="I355" s="2990" t="s">
        <v>3346</v>
      </c>
    </row>
    <row r="356" spans="2:9" hidden="1">
      <c r="B356" s="2986" t="s">
        <v>3296</v>
      </c>
      <c r="C356" s="2986" t="s">
        <v>3291</v>
      </c>
      <c r="D356" s="2985" t="s">
        <v>3284</v>
      </c>
      <c r="E356" s="2987">
        <v>154.86000000000001</v>
      </c>
      <c r="F356" s="2987">
        <v>154.86000000000001</v>
      </c>
      <c r="G356">
        <v>0</v>
      </c>
      <c r="H356" s="2990" t="s">
        <v>3348</v>
      </c>
      <c r="I356" s="2990" t="s">
        <v>3346</v>
      </c>
    </row>
    <row r="357" spans="2:9" ht="13.5" hidden="1" customHeight="1">
      <c r="B357" s="2986" t="s">
        <v>3296</v>
      </c>
      <c r="C357" s="2985" t="s">
        <v>3291</v>
      </c>
      <c r="D357" s="2985" t="s">
        <v>3285</v>
      </c>
      <c r="E357" s="2987">
        <v>154.19</v>
      </c>
      <c r="F357" s="2987">
        <v>154.19</v>
      </c>
      <c r="G357">
        <v>0</v>
      </c>
      <c r="H357" s="2990" t="s">
        <v>3348</v>
      </c>
      <c r="I357" s="2990" t="s">
        <v>3346</v>
      </c>
    </row>
    <row r="358" spans="2:9" hidden="1">
      <c r="B358" s="2986" t="s">
        <v>3296</v>
      </c>
      <c r="C358" s="2986" t="s">
        <v>3291</v>
      </c>
      <c r="D358" s="2985" t="s">
        <v>3286</v>
      </c>
      <c r="E358" s="2987">
        <v>154.86000000000001</v>
      </c>
      <c r="F358" s="2987">
        <v>154.86000000000001</v>
      </c>
      <c r="G358">
        <v>0</v>
      </c>
      <c r="H358" s="2990" t="s">
        <v>3348</v>
      </c>
      <c r="I358" s="2990" t="s">
        <v>3346</v>
      </c>
    </row>
    <row r="359" spans="2:9" hidden="1">
      <c r="B359" s="2986" t="s">
        <v>3296</v>
      </c>
      <c r="C359" s="2985" t="s">
        <v>3291</v>
      </c>
      <c r="D359" s="2985" t="s">
        <v>3287</v>
      </c>
      <c r="E359" s="2987">
        <v>154.19</v>
      </c>
      <c r="F359" s="2987">
        <v>154.19</v>
      </c>
      <c r="G359">
        <v>0</v>
      </c>
      <c r="H359" s="2990" t="s">
        <v>3348</v>
      </c>
      <c r="I359" s="2990" t="s">
        <v>3346</v>
      </c>
    </row>
    <row r="360" spans="2:9" hidden="1">
      <c r="B360" s="2986" t="s">
        <v>3296</v>
      </c>
      <c r="C360" s="2986" t="s">
        <v>3291</v>
      </c>
      <c r="D360" s="2985" t="s">
        <v>3288</v>
      </c>
      <c r="E360" s="2988">
        <v>154.86000000000001</v>
      </c>
      <c r="F360" s="2988">
        <v>154.86000000000001</v>
      </c>
      <c r="G360">
        <v>0</v>
      </c>
      <c r="H360" s="2990" t="s">
        <v>3348</v>
      </c>
      <c r="I360" s="2990" t="s">
        <v>3346</v>
      </c>
    </row>
    <row r="361" spans="2:9" hidden="1">
      <c r="B361" s="2990" t="s">
        <v>3341</v>
      </c>
      <c r="C361" s="2990" t="s">
        <v>3322</v>
      </c>
      <c r="D361" s="2993">
        <v>101</v>
      </c>
      <c r="E361" s="2993">
        <v>271.66000000000003</v>
      </c>
      <c r="F361">
        <v>120.16</v>
      </c>
      <c r="G361">
        <v>151.5</v>
      </c>
      <c r="H361" s="2990" t="s">
        <v>3348</v>
      </c>
      <c r="I361" s="2990" t="s">
        <v>3346</v>
      </c>
    </row>
    <row r="362" spans="2:9" hidden="1">
      <c r="B362" s="2990" t="s">
        <v>3341</v>
      </c>
      <c r="C362" s="2990" t="s">
        <v>3322</v>
      </c>
      <c r="D362" s="2993">
        <v>102</v>
      </c>
      <c r="E362" s="2993">
        <v>273.18</v>
      </c>
      <c r="F362">
        <v>119.65</v>
      </c>
      <c r="G362">
        <v>153.53</v>
      </c>
      <c r="H362" s="2990" t="s">
        <v>3348</v>
      </c>
      <c r="I362" s="2990" t="s">
        <v>3346</v>
      </c>
    </row>
    <row r="363" spans="2:9" hidden="1">
      <c r="B363" s="2990" t="s">
        <v>3343</v>
      </c>
      <c r="C363" s="2990" t="s">
        <v>3268</v>
      </c>
      <c r="D363" s="2993">
        <v>201</v>
      </c>
      <c r="E363" s="2993">
        <v>152.09</v>
      </c>
      <c r="F363" s="2993">
        <v>152.09</v>
      </c>
      <c r="G363" s="2993">
        <v>0</v>
      </c>
      <c r="H363" s="2990" t="s">
        <v>3348</v>
      </c>
      <c r="I363" s="2990" t="s">
        <v>3346</v>
      </c>
    </row>
    <row r="364" spans="2:9" hidden="1">
      <c r="B364" s="2990" t="s">
        <v>3343</v>
      </c>
      <c r="C364" s="2990" t="s">
        <v>3268</v>
      </c>
      <c r="D364" s="2993">
        <v>202</v>
      </c>
      <c r="E364" s="2993">
        <v>153.21</v>
      </c>
      <c r="F364" s="2993">
        <v>153.21</v>
      </c>
      <c r="G364" s="2993">
        <v>0</v>
      </c>
      <c r="H364" s="2990" t="s">
        <v>3348</v>
      </c>
      <c r="I364" s="2990" t="s">
        <v>3346</v>
      </c>
    </row>
    <row r="365" spans="2:9" hidden="1">
      <c r="B365" s="2996" t="s">
        <v>3343</v>
      </c>
      <c r="C365" s="2996" t="s">
        <v>3268</v>
      </c>
      <c r="D365" s="2997">
        <v>301</v>
      </c>
      <c r="E365" s="2997">
        <v>152.05000000000001</v>
      </c>
      <c r="F365" s="2997">
        <v>152.05000000000001</v>
      </c>
      <c r="G365" s="2997">
        <v>0</v>
      </c>
      <c r="H365" s="2996" t="s">
        <v>3348</v>
      </c>
      <c r="I365" s="2996" t="s">
        <v>3359</v>
      </c>
    </row>
    <row r="366" spans="2:9" hidden="1">
      <c r="B366" s="2990" t="s">
        <v>3343</v>
      </c>
      <c r="C366" s="2990" t="s">
        <v>3268</v>
      </c>
      <c r="D366" s="2993">
        <v>302</v>
      </c>
      <c r="E366" s="2993">
        <v>153.16999999999999</v>
      </c>
      <c r="F366" s="2993">
        <v>153.16999999999999</v>
      </c>
      <c r="G366" s="2993">
        <v>0</v>
      </c>
      <c r="H366" s="2990" t="s">
        <v>3348</v>
      </c>
      <c r="I366" s="2990" t="s">
        <v>3346</v>
      </c>
    </row>
    <row r="367" spans="2:9" hidden="1">
      <c r="B367" s="2990" t="s">
        <v>3343</v>
      </c>
      <c r="C367" s="2990" t="s">
        <v>3268</v>
      </c>
      <c r="D367" s="2993">
        <v>401</v>
      </c>
      <c r="E367" s="2993">
        <v>152.05000000000001</v>
      </c>
      <c r="F367" s="2993">
        <v>152.05000000000001</v>
      </c>
      <c r="G367" s="2993">
        <v>0</v>
      </c>
      <c r="H367" s="2990" t="s">
        <v>3348</v>
      </c>
      <c r="I367" s="2990" t="s">
        <v>3346</v>
      </c>
    </row>
    <row r="368" spans="2:9" hidden="1">
      <c r="B368" s="2990" t="s">
        <v>3343</v>
      </c>
      <c r="C368" s="2990" t="s">
        <v>3268</v>
      </c>
      <c r="D368" s="2993">
        <v>402</v>
      </c>
      <c r="E368" s="2993">
        <v>153.16999999999999</v>
      </c>
      <c r="F368" s="2993">
        <v>153.16999999999999</v>
      </c>
      <c r="G368" s="2993">
        <v>0</v>
      </c>
      <c r="H368" s="2990" t="s">
        <v>3348</v>
      </c>
      <c r="I368" s="2990" t="s">
        <v>3346</v>
      </c>
    </row>
    <row r="369" spans="2:9" hidden="1">
      <c r="B369" s="2990" t="s">
        <v>3343</v>
      </c>
      <c r="C369" s="2990" t="s">
        <v>3268</v>
      </c>
      <c r="D369" s="2993">
        <v>501</v>
      </c>
      <c r="E369" s="2993">
        <v>152.05000000000001</v>
      </c>
      <c r="F369" s="2993">
        <v>152.05000000000001</v>
      </c>
      <c r="G369" s="2993">
        <v>0</v>
      </c>
      <c r="H369" s="2990" t="s">
        <v>3348</v>
      </c>
      <c r="I369" s="2990" t="s">
        <v>3346</v>
      </c>
    </row>
    <row r="370" spans="2:9" hidden="1">
      <c r="B370" s="2990" t="s">
        <v>3343</v>
      </c>
      <c r="C370" s="2990" t="s">
        <v>3268</v>
      </c>
      <c r="D370" s="2993">
        <v>502</v>
      </c>
      <c r="E370" s="2993">
        <v>153.16999999999999</v>
      </c>
      <c r="F370" s="2993">
        <v>153.16999999999999</v>
      </c>
      <c r="G370" s="2993">
        <v>0</v>
      </c>
      <c r="H370" s="2990" t="s">
        <v>3348</v>
      </c>
      <c r="I370" s="2990" t="s">
        <v>3346</v>
      </c>
    </row>
    <row r="371" spans="2:9" hidden="1">
      <c r="B371" s="2990" t="s">
        <v>3343</v>
      </c>
      <c r="C371" s="2990" t="s">
        <v>3268</v>
      </c>
      <c r="D371" s="2993">
        <v>601</v>
      </c>
      <c r="E371" s="2993">
        <v>152.05000000000001</v>
      </c>
      <c r="F371" s="2993">
        <v>152.05000000000001</v>
      </c>
      <c r="G371" s="2993">
        <v>0</v>
      </c>
      <c r="H371" s="2990" t="s">
        <v>3348</v>
      </c>
      <c r="I371" s="2990" t="s">
        <v>3346</v>
      </c>
    </row>
    <row r="372" spans="2:9" hidden="1">
      <c r="B372" s="2996" t="s">
        <v>3343</v>
      </c>
      <c r="C372" s="2996" t="s">
        <v>3268</v>
      </c>
      <c r="D372" s="2997">
        <v>602</v>
      </c>
      <c r="E372" s="2997">
        <v>153.16999999999999</v>
      </c>
      <c r="F372" s="2997">
        <v>153.16999999999999</v>
      </c>
      <c r="G372" s="2997">
        <v>0</v>
      </c>
      <c r="H372" s="2996" t="s">
        <v>3348</v>
      </c>
      <c r="I372" s="2996" t="s">
        <v>3359</v>
      </c>
    </row>
    <row r="373" spans="2:9" hidden="1">
      <c r="B373" s="2990" t="s">
        <v>3343</v>
      </c>
      <c r="C373" s="2990" t="s">
        <v>3268</v>
      </c>
      <c r="D373" s="2993">
        <v>701</v>
      </c>
      <c r="E373" s="2993">
        <v>152.05000000000001</v>
      </c>
      <c r="F373" s="2993">
        <v>152.05000000000001</v>
      </c>
      <c r="G373" s="2993">
        <v>0</v>
      </c>
      <c r="H373" s="2990" t="s">
        <v>3348</v>
      </c>
      <c r="I373" s="2990" t="s">
        <v>3357</v>
      </c>
    </row>
    <row r="374" spans="2:9" hidden="1">
      <c r="B374" s="2990" t="s">
        <v>3343</v>
      </c>
      <c r="C374" s="2990" t="s">
        <v>3268</v>
      </c>
      <c r="D374" s="2993">
        <v>702</v>
      </c>
      <c r="E374" s="2993">
        <v>153.16999999999999</v>
      </c>
      <c r="F374" s="2993">
        <v>153.16999999999999</v>
      </c>
      <c r="G374" s="2993">
        <v>0</v>
      </c>
      <c r="H374" s="2990" t="s">
        <v>3348</v>
      </c>
      <c r="I374" s="2990" t="s">
        <v>3346</v>
      </c>
    </row>
    <row r="375" spans="2:9" hidden="1">
      <c r="B375" s="2996" t="s">
        <v>3343</v>
      </c>
      <c r="C375" s="2996" t="s">
        <v>3268</v>
      </c>
      <c r="D375" s="2997">
        <v>801</v>
      </c>
      <c r="E375" s="2997">
        <v>152.05000000000001</v>
      </c>
      <c r="F375" s="2997">
        <v>152.05000000000001</v>
      </c>
      <c r="G375" s="2997">
        <v>0</v>
      </c>
      <c r="H375" s="2996" t="s">
        <v>3348</v>
      </c>
      <c r="I375" s="2996" t="s">
        <v>3359</v>
      </c>
    </row>
    <row r="376" spans="2:9" hidden="1">
      <c r="B376" s="2996" t="s">
        <v>3343</v>
      </c>
      <c r="C376" s="2996" t="s">
        <v>3268</v>
      </c>
      <c r="D376" s="2997">
        <v>802</v>
      </c>
      <c r="E376" s="2997">
        <v>153.16999999999999</v>
      </c>
      <c r="F376" s="2997">
        <v>153.16999999999999</v>
      </c>
      <c r="G376" s="2997">
        <v>0</v>
      </c>
      <c r="H376" s="2996" t="s">
        <v>3348</v>
      </c>
      <c r="I376" s="2996" t="s">
        <v>3359</v>
      </c>
    </row>
    <row r="377" spans="2:9" hidden="1">
      <c r="B377" s="2990" t="s">
        <v>3343</v>
      </c>
      <c r="C377" s="2990" t="s">
        <v>3268</v>
      </c>
      <c r="D377" s="2993">
        <v>901</v>
      </c>
      <c r="E377" s="2993">
        <v>152.05000000000001</v>
      </c>
      <c r="F377" s="2993">
        <v>152.05000000000001</v>
      </c>
      <c r="G377" s="2993">
        <v>0</v>
      </c>
      <c r="H377" s="2990" t="s">
        <v>3348</v>
      </c>
      <c r="I377" s="2990" t="s">
        <v>3356</v>
      </c>
    </row>
    <row r="378" spans="2:9" hidden="1">
      <c r="B378" s="2990" t="s">
        <v>3343</v>
      </c>
      <c r="C378" s="2990" t="s">
        <v>3268</v>
      </c>
      <c r="D378" s="2993">
        <v>902</v>
      </c>
      <c r="E378" s="2993">
        <v>153.16999999999999</v>
      </c>
      <c r="F378" s="2993">
        <v>153.16999999999999</v>
      </c>
      <c r="G378" s="2993">
        <v>0</v>
      </c>
      <c r="H378" s="2990" t="s">
        <v>3348</v>
      </c>
      <c r="I378" s="2990" t="s">
        <v>3346</v>
      </c>
    </row>
    <row r="379" spans="2:9" hidden="1">
      <c r="B379" s="2990" t="s">
        <v>3343</v>
      </c>
      <c r="C379" s="2990" t="s">
        <v>3268</v>
      </c>
      <c r="D379" s="2993">
        <v>1001</v>
      </c>
      <c r="E379" s="2993">
        <v>152.05000000000001</v>
      </c>
      <c r="F379" s="2993">
        <v>152.05000000000001</v>
      </c>
      <c r="G379" s="2993">
        <v>0</v>
      </c>
      <c r="H379" s="2990" t="s">
        <v>3348</v>
      </c>
      <c r="I379" s="2990" t="s">
        <v>3346</v>
      </c>
    </row>
    <row r="380" spans="2:9" hidden="1">
      <c r="B380" s="2990" t="s">
        <v>3343</v>
      </c>
      <c r="C380" s="2990" t="s">
        <v>3268</v>
      </c>
      <c r="D380" s="2993">
        <v>1002</v>
      </c>
      <c r="E380" s="2993">
        <v>153.16999999999999</v>
      </c>
      <c r="F380" s="2993">
        <v>153.16999999999999</v>
      </c>
      <c r="G380" s="2993">
        <v>0</v>
      </c>
      <c r="H380" s="2990" t="s">
        <v>3348</v>
      </c>
      <c r="I380" s="2990" t="s">
        <v>3346</v>
      </c>
    </row>
    <row r="381" spans="2:9" hidden="1">
      <c r="B381" s="2990" t="s">
        <v>3343</v>
      </c>
      <c r="C381" s="2990" t="s">
        <v>3268</v>
      </c>
      <c r="D381" s="2993">
        <v>1101</v>
      </c>
      <c r="E381" s="2993">
        <v>152.05000000000001</v>
      </c>
      <c r="F381" s="2993">
        <v>152.05000000000001</v>
      </c>
      <c r="G381" s="2993">
        <v>0</v>
      </c>
      <c r="H381" s="2990" t="s">
        <v>3348</v>
      </c>
      <c r="I381" s="2990" t="s">
        <v>3346</v>
      </c>
    </row>
    <row r="382" spans="2:9" hidden="1">
      <c r="B382" s="2996" t="s">
        <v>3343</v>
      </c>
      <c r="C382" s="2996" t="s">
        <v>3268</v>
      </c>
      <c r="D382" s="2997">
        <v>1102</v>
      </c>
      <c r="E382" s="2997">
        <v>153.16999999999999</v>
      </c>
      <c r="F382" s="2997">
        <v>153.16999999999999</v>
      </c>
      <c r="G382" s="2997">
        <v>0</v>
      </c>
      <c r="H382" s="2996" t="s">
        <v>3348</v>
      </c>
      <c r="I382" s="2996" t="s">
        <v>3359</v>
      </c>
    </row>
    <row r="383" spans="2:9" hidden="1">
      <c r="B383" s="2990" t="s">
        <v>3343</v>
      </c>
      <c r="C383" s="2990" t="s">
        <v>3268</v>
      </c>
      <c r="D383" s="2993">
        <v>1201</v>
      </c>
      <c r="E383" s="2993">
        <v>152.05000000000001</v>
      </c>
      <c r="F383" s="2993">
        <v>152.05000000000001</v>
      </c>
      <c r="G383" s="2993">
        <v>0</v>
      </c>
      <c r="H383" s="2990" t="s">
        <v>3348</v>
      </c>
      <c r="I383" s="2990" t="s">
        <v>3346</v>
      </c>
    </row>
    <row r="384" spans="2:9" hidden="1">
      <c r="B384" s="2990" t="s">
        <v>3343</v>
      </c>
      <c r="C384" s="2990" t="s">
        <v>3268</v>
      </c>
      <c r="D384" s="2993">
        <v>1202</v>
      </c>
      <c r="E384" s="2993">
        <v>153.16999999999999</v>
      </c>
      <c r="F384" s="2993">
        <v>153.16999999999999</v>
      </c>
      <c r="G384" s="2993">
        <v>0</v>
      </c>
      <c r="H384" s="2990" t="s">
        <v>3348</v>
      </c>
      <c r="I384" s="2990" t="s">
        <v>3346</v>
      </c>
    </row>
    <row r="385" spans="2:9" hidden="1">
      <c r="B385" s="2990" t="s">
        <v>3343</v>
      </c>
      <c r="C385" s="2990" t="s">
        <v>3268</v>
      </c>
      <c r="D385" s="2993">
        <v>1301</v>
      </c>
      <c r="E385" s="2993">
        <v>152.05000000000001</v>
      </c>
      <c r="F385" s="2993">
        <v>152.05000000000001</v>
      </c>
      <c r="G385" s="2993">
        <v>0</v>
      </c>
      <c r="H385" s="2990" t="s">
        <v>3348</v>
      </c>
      <c r="I385" s="2990" t="s">
        <v>3346</v>
      </c>
    </row>
    <row r="386" spans="2:9" hidden="1">
      <c r="B386" s="2990" t="s">
        <v>3343</v>
      </c>
      <c r="C386" s="2990" t="s">
        <v>3268</v>
      </c>
      <c r="D386" s="2993">
        <v>1302</v>
      </c>
      <c r="E386" s="2993">
        <v>153.16999999999999</v>
      </c>
      <c r="F386" s="2993">
        <v>153.16999999999999</v>
      </c>
      <c r="G386" s="2993">
        <v>0</v>
      </c>
      <c r="H386" s="2990" t="s">
        <v>3348</v>
      </c>
      <c r="I386" s="2990" t="s">
        <v>3346</v>
      </c>
    </row>
    <row r="387" spans="2:9" hidden="1">
      <c r="B387" s="2996" t="s">
        <v>3343</v>
      </c>
      <c r="C387" s="2996" t="s">
        <v>3268</v>
      </c>
      <c r="D387" s="2997">
        <v>1401</v>
      </c>
      <c r="E387" s="2997">
        <v>152.05000000000001</v>
      </c>
      <c r="F387" s="2997">
        <v>152.05000000000001</v>
      </c>
      <c r="G387" s="2997">
        <v>0</v>
      </c>
      <c r="H387" s="2996" t="s">
        <v>3348</v>
      </c>
      <c r="I387" s="2996" t="s">
        <v>3359</v>
      </c>
    </row>
    <row r="388" spans="2:9" hidden="1">
      <c r="B388" s="2990" t="s">
        <v>3343</v>
      </c>
      <c r="C388" s="2990" t="s">
        <v>3268</v>
      </c>
      <c r="D388" s="2993">
        <v>1402</v>
      </c>
      <c r="E388" s="2993">
        <v>153.16999999999999</v>
      </c>
      <c r="F388" s="2993">
        <v>153.16999999999999</v>
      </c>
      <c r="G388" s="2993">
        <v>0</v>
      </c>
      <c r="H388" s="2990" t="s">
        <v>3348</v>
      </c>
      <c r="I388" s="2990" t="s">
        <v>3346</v>
      </c>
    </row>
    <row r="389" spans="2:9" hidden="1">
      <c r="B389" s="2990" t="s">
        <v>3343</v>
      </c>
      <c r="C389" s="2990" t="s">
        <v>3268</v>
      </c>
      <c r="D389" s="2993">
        <v>1501</v>
      </c>
      <c r="E389" s="2993">
        <v>152.05000000000001</v>
      </c>
      <c r="F389" s="2993">
        <v>152.05000000000001</v>
      </c>
      <c r="G389" s="2993">
        <v>0</v>
      </c>
      <c r="H389" s="2990" t="s">
        <v>3348</v>
      </c>
      <c r="I389" s="2990" t="s">
        <v>3346</v>
      </c>
    </row>
    <row r="390" spans="2:9" hidden="1">
      <c r="B390" s="2990" t="s">
        <v>3343</v>
      </c>
      <c r="C390" s="2990" t="s">
        <v>3268</v>
      </c>
      <c r="D390" s="2993">
        <v>1502</v>
      </c>
      <c r="E390" s="2993">
        <v>153.16999999999999</v>
      </c>
      <c r="F390" s="2993">
        <v>153.16999999999999</v>
      </c>
      <c r="G390" s="2993">
        <v>0</v>
      </c>
      <c r="H390" s="2990" t="s">
        <v>3348</v>
      </c>
      <c r="I390" s="2990" t="s">
        <v>3346</v>
      </c>
    </row>
    <row r="391" spans="2:9" hidden="1">
      <c r="B391" s="2996" t="s">
        <v>3343</v>
      </c>
      <c r="C391" s="2996" t="s">
        <v>3268</v>
      </c>
      <c r="D391" s="2997">
        <v>1601</v>
      </c>
      <c r="E391" s="2997">
        <v>152.05000000000001</v>
      </c>
      <c r="F391" s="2997">
        <v>152.05000000000001</v>
      </c>
      <c r="G391" s="2997">
        <v>0</v>
      </c>
      <c r="H391" s="2996" t="s">
        <v>3348</v>
      </c>
      <c r="I391" s="2996" t="s">
        <v>3359</v>
      </c>
    </row>
    <row r="392" spans="2:9" hidden="1">
      <c r="B392" s="2990" t="s">
        <v>3343</v>
      </c>
      <c r="C392" s="2990" t="s">
        <v>3268</v>
      </c>
      <c r="D392" s="2993">
        <v>1602</v>
      </c>
      <c r="E392" s="2993">
        <v>153.16999999999999</v>
      </c>
      <c r="F392" s="2993">
        <v>153.16999999999999</v>
      </c>
      <c r="G392" s="2993">
        <v>0</v>
      </c>
      <c r="H392" s="2990" t="s">
        <v>3348</v>
      </c>
      <c r="I392" s="2990" t="s">
        <v>3346</v>
      </c>
    </row>
    <row r="393" spans="2:9" hidden="1">
      <c r="B393" s="2990" t="s">
        <v>3343</v>
      </c>
      <c r="C393" s="2990" t="s">
        <v>3268</v>
      </c>
      <c r="D393" s="2993">
        <v>1701</v>
      </c>
      <c r="E393" s="2993">
        <v>152.05000000000001</v>
      </c>
      <c r="F393" s="2993">
        <v>152.05000000000001</v>
      </c>
      <c r="G393" s="2993">
        <v>0</v>
      </c>
      <c r="H393" s="2990" t="s">
        <v>3348</v>
      </c>
      <c r="I393" s="2990" t="s">
        <v>3346</v>
      </c>
    </row>
    <row r="394" spans="2:9" hidden="1">
      <c r="B394" s="2990" t="s">
        <v>3343</v>
      </c>
      <c r="C394" s="2990" t="s">
        <v>3268</v>
      </c>
      <c r="D394" s="2993">
        <v>1702</v>
      </c>
      <c r="E394" s="2993">
        <v>153.16999999999999</v>
      </c>
      <c r="F394" s="2993">
        <v>153.16999999999999</v>
      </c>
      <c r="G394" s="2993">
        <v>0</v>
      </c>
      <c r="H394" s="2990" t="s">
        <v>3348</v>
      </c>
      <c r="I394" s="2990" t="s">
        <v>3346</v>
      </c>
    </row>
    <row r="395" spans="2:9" hidden="1">
      <c r="B395" s="2990" t="s">
        <v>3343</v>
      </c>
      <c r="C395" s="2990" t="s">
        <v>3268</v>
      </c>
      <c r="D395" s="2993">
        <v>1801</v>
      </c>
      <c r="E395" s="2993">
        <v>152.05000000000001</v>
      </c>
      <c r="F395" s="2993">
        <v>152.05000000000001</v>
      </c>
      <c r="G395" s="2993">
        <v>0</v>
      </c>
      <c r="H395" s="2990" t="s">
        <v>3348</v>
      </c>
      <c r="I395" s="2990" t="s">
        <v>3346</v>
      </c>
    </row>
    <row r="396" spans="2:9" hidden="1">
      <c r="B396" s="2990" t="s">
        <v>3343</v>
      </c>
      <c r="C396" s="2990" t="s">
        <v>3268</v>
      </c>
      <c r="D396" s="2993">
        <v>1802</v>
      </c>
      <c r="E396" s="2993">
        <v>153.16999999999999</v>
      </c>
      <c r="F396" s="2993">
        <v>153.16999999999999</v>
      </c>
      <c r="G396" s="2993">
        <v>0</v>
      </c>
      <c r="H396" s="2990" t="s">
        <v>3348</v>
      </c>
      <c r="I396" s="2990" t="s">
        <v>3346</v>
      </c>
    </row>
    <row r="397" spans="2:9" hidden="1">
      <c r="B397" s="2996" t="s">
        <v>3343</v>
      </c>
      <c r="C397" s="2996" t="s">
        <v>3268</v>
      </c>
      <c r="D397" s="2997">
        <v>1901</v>
      </c>
      <c r="E397" s="2997">
        <v>152.05000000000001</v>
      </c>
      <c r="F397" s="2997">
        <v>152.05000000000001</v>
      </c>
      <c r="G397" s="2997">
        <v>0</v>
      </c>
      <c r="H397" s="2996" t="s">
        <v>3348</v>
      </c>
      <c r="I397" s="2996" t="s">
        <v>3359</v>
      </c>
    </row>
    <row r="398" spans="2:9" hidden="1">
      <c r="B398" s="2990" t="s">
        <v>3343</v>
      </c>
      <c r="C398" s="2990" t="s">
        <v>3268</v>
      </c>
      <c r="D398" s="2993">
        <v>1902</v>
      </c>
      <c r="E398" s="2993">
        <v>153.16999999999999</v>
      </c>
      <c r="F398" s="2993">
        <v>153.16999999999999</v>
      </c>
      <c r="G398" s="2993">
        <v>0</v>
      </c>
      <c r="H398" s="2990" t="s">
        <v>3348</v>
      </c>
      <c r="I398" s="2990" t="s">
        <v>3346</v>
      </c>
    </row>
    <row r="399" spans="2:9" hidden="1">
      <c r="B399" s="2990" t="s">
        <v>3343</v>
      </c>
      <c r="C399" t="s">
        <v>3289</v>
      </c>
      <c r="D399" s="2993">
        <v>101</v>
      </c>
      <c r="E399" s="2993">
        <v>273.20999999999998</v>
      </c>
      <c r="F399">
        <v>119.68</v>
      </c>
      <c r="G399">
        <v>153.53</v>
      </c>
      <c r="H399" s="2990" t="s">
        <v>3348</v>
      </c>
      <c r="I399" s="2990" t="s">
        <v>3346</v>
      </c>
    </row>
    <row r="400" spans="2:9" hidden="1">
      <c r="B400" s="2990" t="s">
        <v>3343</v>
      </c>
      <c r="C400" t="s">
        <v>3289</v>
      </c>
      <c r="D400" s="2993">
        <v>102</v>
      </c>
      <c r="E400" s="2993">
        <v>271.70999999999998</v>
      </c>
      <c r="F400">
        <v>120.16</v>
      </c>
      <c r="G400">
        <v>151.55000000000001</v>
      </c>
      <c r="H400" s="2990" t="s">
        <v>3348</v>
      </c>
      <c r="I400" s="2990" t="s">
        <v>3346</v>
      </c>
    </row>
    <row r="401" spans="2:9" hidden="1">
      <c r="B401" s="2990" t="s">
        <v>3343</v>
      </c>
      <c r="C401" t="s">
        <v>3289</v>
      </c>
      <c r="D401" s="2993">
        <v>201</v>
      </c>
      <c r="E401" s="2993">
        <v>153.21</v>
      </c>
      <c r="F401" s="2993">
        <v>153.21</v>
      </c>
      <c r="G401" s="2993">
        <v>0</v>
      </c>
      <c r="H401" s="2990" t="s">
        <v>3348</v>
      </c>
      <c r="I401" s="2990" t="s">
        <v>3346</v>
      </c>
    </row>
    <row r="402" spans="2:9" hidden="1">
      <c r="B402" s="2990" t="s">
        <v>3343</v>
      </c>
      <c r="C402" t="s">
        <v>3289</v>
      </c>
      <c r="D402" s="2993">
        <v>202</v>
      </c>
      <c r="E402" s="2993">
        <v>152.09</v>
      </c>
      <c r="F402" s="2993">
        <v>152.09</v>
      </c>
      <c r="G402" s="2993">
        <v>0</v>
      </c>
      <c r="H402" s="2990" t="s">
        <v>3348</v>
      </c>
      <c r="I402" s="2990" t="s">
        <v>3346</v>
      </c>
    </row>
    <row r="403" spans="2:9" hidden="1">
      <c r="B403" s="2990" t="s">
        <v>3343</v>
      </c>
      <c r="C403" t="s">
        <v>3289</v>
      </c>
      <c r="D403" s="2993">
        <v>301</v>
      </c>
      <c r="E403" s="2993">
        <v>153.16999999999999</v>
      </c>
      <c r="F403" s="2993">
        <v>153.16999999999999</v>
      </c>
      <c r="G403" s="2993">
        <v>0</v>
      </c>
      <c r="H403" s="2990" t="s">
        <v>3348</v>
      </c>
      <c r="I403" s="2990" t="s">
        <v>3346</v>
      </c>
    </row>
    <row r="404" spans="2:9" hidden="1">
      <c r="B404" s="2990" t="s">
        <v>3343</v>
      </c>
      <c r="C404" t="s">
        <v>3289</v>
      </c>
      <c r="D404" s="2993">
        <v>302</v>
      </c>
      <c r="E404" s="2993">
        <v>152.05000000000001</v>
      </c>
      <c r="F404" s="2993">
        <v>152.05000000000001</v>
      </c>
      <c r="G404" s="2993">
        <v>0</v>
      </c>
      <c r="H404" s="2990" t="s">
        <v>3348</v>
      </c>
      <c r="I404" s="2990" t="s">
        <v>3346</v>
      </c>
    </row>
    <row r="405" spans="2:9" hidden="1">
      <c r="B405" s="2990" t="s">
        <v>3343</v>
      </c>
      <c r="C405" t="s">
        <v>3289</v>
      </c>
      <c r="D405" s="2993">
        <v>401</v>
      </c>
      <c r="E405" s="2993">
        <v>153.16999999999999</v>
      </c>
      <c r="F405" s="2993">
        <v>153.16999999999999</v>
      </c>
      <c r="G405" s="2993">
        <v>0</v>
      </c>
      <c r="H405" s="2990" t="s">
        <v>3348</v>
      </c>
      <c r="I405" s="2990" t="s">
        <v>3346</v>
      </c>
    </row>
    <row r="406" spans="2:9" hidden="1">
      <c r="B406" s="2990" t="s">
        <v>3343</v>
      </c>
      <c r="C406" t="s">
        <v>3289</v>
      </c>
      <c r="D406" s="2993">
        <v>402</v>
      </c>
      <c r="E406" s="2993">
        <v>152.05000000000001</v>
      </c>
      <c r="F406" s="2993">
        <v>152.05000000000001</v>
      </c>
      <c r="G406" s="2993">
        <v>0</v>
      </c>
      <c r="H406" s="2990" t="s">
        <v>3348</v>
      </c>
      <c r="I406" s="2990" t="s">
        <v>3346</v>
      </c>
    </row>
    <row r="407" spans="2:9" hidden="1">
      <c r="B407" s="2990" t="s">
        <v>3343</v>
      </c>
      <c r="C407" t="s">
        <v>3289</v>
      </c>
      <c r="D407" s="2993">
        <v>501</v>
      </c>
      <c r="E407" s="2993">
        <v>153.16999999999999</v>
      </c>
      <c r="F407" s="2993">
        <v>153.16999999999999</v>
      </c>
      <c r="G407" s="2993">
        <v>0</v>
      </c>
      <c r="H407" s="2990" t="s">
        <v>3348</v>
      </c>
      <c r="I407" s="2990" t="s">
        <v>3346</v>
      </c>
    </row>
    <row r="408" spans="2:9" hidden="1">
      <c r="B408" s="2990" t="s">
        <v>3343</v>
      </c>
      <c r="C408" t="s">
        <v>3289</v>
      </c>
      <c r="D408" s="2993">
        <v>502</v>
      </c>
      <c r="E408" s="2993">
        <v>152.05000000000001</v>
      </c>
      <c r="F408" s="2993">
        <v>152.05000000000001</v>
      </c>
      <c r="G408" s="2993">
        <v>0</v>
      </c>
      <c r="H408" s="2990" t="s">
        <v>3348</v>
      </c>
      <c r="I408" s="2990" t="s">
        <v>3346</v>
      </c>
    </row>
    <row r="409" spans="2:9" hidden="1">
      <c r="B409" s="2990" t="s">
        <v>3343</v>
      </c>
      <c r="C409" t="s">
        <v>3289</v>
      </c>
      <c r="D409" s="2993">
        <v>601</v>
      </c>
      <c r="E409" s="2993">
        <v>153.16999999999999</v>
      </c>
      <c r="F409" s="2993">
        <v>153.16999999999999</v>
      </c>
      <c r="G409" s="2993">
        <v>0</v>
      </c>
      <c r="H409" s="2990" t="s">
        <v>3348</v>
      </c>
      <c r="I409" s="2990" t="s">
        <v>3346</v>
      </c>
    </row>
    <row r="410" spans="2:9" hidden="1">
      <c r="B410" s="2990" t="s">
        <v>3343</v>
      </c>
      <c r="C410" t="s">
        <v>3289</v>
      </c>
      <c r="D410" s="2993">
        <v>602</v>
      </c>
      <c r="E410" s="2993">
        <v>152.05000000000001</v>
      </c>
      <c r="F410" s="2993">
        <v>152.05000000000001</v>
      </c>
      <c r="G410" s="2993">
        <v>0</v>
      </c>
      <c r="H410" s="2990" t="s">
        <v>3348</v>
      </c>
      <c r="I410" s="2990" t="s">
        <v>3346</v>
      </c>
    </row>
    <row r="411" spans="2:9" hidden="1">
      <c r="B411" s="2990" t="s">
        <v>3343</v>
      </c>
      <c r="C411" t="s">
        <v>3289</v>
      </c>
      <c r="D411" s="2993">
        <v>701</v>
      </c>
      <c r="E411" s="2993">
        <v>153.16999999999999</v>
      </c>
      <c r="F411" s="2993">
        <v>153.16999999999999</v>
      </c>
      <c r="G411" s="2993">
        <v>0</v>
      </c>
      <c r="H411" s="2990" t="s">
        <v>3348</v>
      </c>
      <c r="I411" s="2990" t="s">
        <v>3346</v>
      </c>
    </row>
    <row r="412" spans="2:9" hidden="1">
      <c r="B412" s="2990" t="s">
        <v>3343</v>
      </c>
      <c r="C412" t="s">
        <v>3289</v>
      </c>
      <c r="D412" s="2993">
        <v>702</v>
      </c>
      <c r="E412" s="2993">
        <v>152.05000000000001</v>
      </c>
      <c r="F412" s="2993">
        <v>152.05000000000001</v>
      </c>
      <c r="G412" s="2993">
        <v>0</v>
      </c>
      <c r="H412" s="2990" t="s">
        <v>3348</v>
      </c>
      <c r="I412" s="2990" t="s">
        <v>3346</v>
      </c>
    </row>
    <row r="413" spans="2:9" hidden="1">
      <c r="B413" s="2990" t="s">
        <v>3343</v>
      </c>
      <c r="C413" t="s">
        <v>3289</v>
      </c>
      <c r="D413" s="2993">
        <v>801</v>
      </c>
      <c r="E413" s="2993">
        <v>153.16999999999999</v>
      </c>
      <c r="F413" s="2993">
        <v>153.16999999999999</v>
      </c>
      <c r="G413" s="2993">
        <v>0</v>
      </c>
      <c r="H413" s="2990" t="s">
        <v>3348</v>
      </c>
      <c r="I413" s="2990" t="s">
        <v>3346</v>
      </c>
    </row>
    <row r="414" spans="2:9" hidden="1">
      <c r="B414" s="2990" t="s">
        <v>3343</v>
      </c>
      <c r="C414" t="s">
        <v>3289</v>
      </c>
      <c r="D414" s="2993">
        <v>802</v>
      </c>
      <c r="E414" s="2993">
        <v>152.05000000000001</v>
      </c>
      <c r="F414" s="2993">
        <v>152.05000000000001</v>
      </c>
      <c r="G414" s="2993">
        <v>0</v>
      </c>
      <c r="H414" s="2990" t="s">
        <v>3348</v>
      </c>
      <c r="I414" s="2990" t="s">
        <v>3346</v>
      </c>
    </row>
    <row r="415" spans="2:9" hidden="1">
      <c r="B415" s="2990" t="s">
        <v>3343</v>
      </c>
      <c r="C415" t="s">
        <v>3289</v>
      </c>
      <c r="D415" s="2993">
        <v>901</v>
      </c>
      <c r="E415" s="2993">
        <v>153.16999999999999</v>
      </c>
      <c r="F415" s="2993">
        <v>153.16999999999999</v>
      </c>
      <c r="G415" s="2993">
        <v>0</v>
      </c>
      <c r="H415" s="2990" t="s">
        <v>3348</v>
      </c>
      <c r="I415" s="2990" t="s">
        <v>3346</v>
      </c>
    </row>
    <row r="416" spans="2:9" hidden="1">
      <c r="B416" s="2990" t="s">
        <v>3343</v>
      </c>
      <c r="C416" t="s">
        <v>3289</v>
      </c>
      <c r="D416" s="2993">
        <v>902</v>
      </c>
      <c r="E416" s="2993">
        <v>152.05000000000001</v>
      </c>
      <c r="F416" s="2993">
        <v>152.05000000000001</v>
      </c>
      <c r="G416" s="2993">
        <v>0</v>
      </c>
      <c r="H416" s="2990" t="s">
        <v>3348</v>
      </c>
      <c r="I416" s="2990" t="s">
        <v>3346</v>
      </c>
    </row>
    <row r="417" spans="2:9" hidden="1">
      <c r="B417" s="2990" t="s">
        <v>3343</v>
      </c>
      <c r="C417" t="s">
        <v>3289</v>
      </c>
      <c r="D417" s="2993">
        <v>1001</v>
      </c>
      <c r="E417" s="2993">
        <v>153.16999999999999</v>
      </c>
      <c r="F417" s="2993">
        <v>153.16999999999999</v>
      </c>
      <c r="G417" s="2993">
        <v>0</v>
      </c>
      <c r="H417" s="2990" t="s">
        <v>3348</v>
      </c>
      <c r="I417" s="2990" t="s">
        <v>3346</v>
      </c>
    </row>
    <row r="418" spans="2:9" hidden="1">
      <c r="B418" s="2990" t="s">
        <v>3343</v>
      </c>
      <c r="C418" t="s">
        <v>3289</v>
      </c>
      <c r="D418" s="2993">
        <v>1002</v>
      </c>
      <c r="E418" s="2993">
        <v>152.05000000000001</v>
      </c>
      <c r="F418" s="2993">
        <v>152.05000000000001</v>
      </c>
      <c r="G418" s="2993">
        <v>0</v>
      </c>
      <c r="H418" s="2990" t="s">
        <v>3348</v>
      </c>
      <c r="I418" s="2990" t="s">
        <v>3346</v>
      </c>
    </row>
    <row r="419" spans="2:9" hidden="1">
      <c r="B419" s="2990" t="s">
        <v>3343</v>
      </c>
      <c r="C419" t="s">
        <v>3289</v>
      </c>
      <c r="D419" s="2993">
        <v>1101</v>
      </c>
      <c r="E419" s="2993">
        <v>153.16999999999999</v>
      </c>
      <c r="F419" s="2993">
        <v>153.16999999999999</v>
      </c>
      <c r="G419" s="2993">
        <v>0</v>
      </c>
      <c r="H419" s="2990" t="s">
        <v>3348</v>
      </c>
      <c r="I419" s="2990" t="s">
        <v>3346</v>
      </c>
    </row>
    <row r="420" spans="2:9" hidden="1">
      <c r="B420" s="2990" t="s">
        <v>3343</v>
      </c>
      <c r="C420" t="s">
        <v>3289</v>
      </c>
      <c r="D420" s="2993">
        <v>1102</v>
      </c>
      <c r="E420" s="2993">
        <v>152.05000000000001</v>
      </c>
      <c r="F420" s="2993">
        <v>152.05000000000001</v>
      </c>
      <c r="G420" s="2993">
        <v>0</v>
      </c>
      <c r="H420" s="2990" t="s">
        <v>3348</v>
      </c>
      <c r="I420" s="2990" t="s">
        <v>3346</v>
      </c>
    </row>
    <row r="421" spans="2:9" hidden="1">
      <c r="B421" s="2990" t="s">
        <v>3343</v>
      </c>
      <c r="C421" t="s">
        <v>3289</v>
      </c>
      <c r="D421" s="2993">
        <v>1201</v>
      </c>
      <c r="E421" s="2993">
        <v>153.16999999999999</v>
      </c>
      <c r="F421" s="2993">
        <v>153.16999999999999</v>
      </c>
      <c r="G421" s="2993">
        <v>0</v>
      </c>
      <c r="H421" s="2990" t="s">
        <v>3348</v>
      </c>
      <c r="I421" s="2990" t="s">
        <v>3346</v>
      </c>
    </row>
    <row r="422" spans="2:9" hidden="1">
      <c r="B422" s="2990" t="s">
        <v>3343</v>
      </c>
      <c r="C422" t="s">
        <v>3289</v>
      </c>
      <c r="D422" s="2993">
        <v>1202</v>
      </c>
      <c r="E422" s="2993">
        <v>152.05000000000001</v>
      </c>
      <c r="F422" s="2993">
        <v>152.05000000000001</v>
      </c>
      <c r="G422" s="2993">
        <v>0</v>
      </c>
      <c r="H422" s="2990" t="s">
        <v>3348</v>
      </c>
      <c r="I422" s="2990" t="s">
        <v>3346</v>
      </c>
    </row>
    <row r="423" spans="2:9" hidden="1">
      <c r="B423" s="2990" t="s">
        <v>3343</v>
      </c>
      <c r="C423" t="s">
        <v>3289</v>
      </c>
      <c r="D423" s="2993">
        <v>1301</v>
      </c>
      <c r="E423" s="2993">
        <v>153.16999999999999</v>
      </c>
      <c r="F423" s="2993">
        <v>153.16999999999999</v>
      </c>
      <c r="G423" s="2993">
        <v>0</v>
      </c>
      <c r="H423" s="2990" t="s">
        <v>3348</v>
      </c>
      <c r="I423" s="2990" t="s">
        <v>3346</v>
      </c>
    </row>
    <row r="424" spans="2:9" hidden="1">
      <c r="B424" s="2990" t="s">
        <v>3343</v>
      </c>
      <c r="C424" t="s">
        <v>3289</v>
      </c>
      <c r="D424" s="2993">
        <v>1302</v>
      </c>
      <c r="E424" s="2993">
        <v>152.05000000000001</v>
      </c>
      <c r="F424" s="2993">
        <v>152.05000000000001</v>
      </c>
      <c r="G424" s="2993">
        <v>0</v>
      </c>
      <c r="H424" s="2990" t="s">
        <v>3348</v>
      </c>
      <c r="I424" s="2990" t="s">
        <v>3346</v>
      </c>
    </row>
    <row r="425" spans="2:9" hidden="1">
      <c r="B425" s="2990" t="s">
        <v>3343</v>
      </c>
      <c r="C425" t="s">
        <v>3289</v>
      </c>
      <c r="D425" s="2993">
        <v>1401</v>
      </c>
      <c r="E425" s="2993">
        <v>153.16999999999999</v>
      </c>
      <c r="F425" s="2993">
        <v>153.16999999999999</v>
      </c>
      <c r="G425" s="2993">
        <v>0</v>
      </c>
      <c r="H425" s="2990" t="s">
        <v>3348</v>
      </c>
      <c r="I425" s="2990" t="s">
        <v>3346</v>
      </c>
    </row>
    <row r="426" spans="2:9" hidden="1">
      <c r="B426" s="2990" t="s">
        <v>3343</v>
      </c>
      <c r="C426" t="s">
        <v>3289</v>
      </c>
      <c r="D426" s="2993">
        <v>1402</v>
      </c>
      <c r="E426" s="2993">
        <v>152.05000000000001</v>
      </c>
      <c r="F426" s="2993">
        <v>152.05000000000001</v>
      </c>
      <c r="G426" s="2993">
        <v>0</v>
      </c>
      <c r="H426" s="2990" t="s">
        <v>3348</v>
      </c>
      <c r="I426" s="2990" t="s">
        <v>3346</v>
      </c>
    </row>
    <row r="427" spans="2:9" hidden="1">
      <c r="B427" s="2990" t="s">
        <v>3343</v>
      </c>
      <c r="C427" t="s">
        <v>3289</v>
      </c>
      <c r="D427" s="2993">
        <v>1501</v>
      </c>
      <c r="E427" s="2993">
        <v>153.16999999999999</v>
      </c>
      <c r="F427" s="2993">
        <v>153.16999999999999</v>
      </c>
      <c r="G427" s="2993">
        <v>0</v>
      </c>
      <c r="H427" s="2990" t="s">
        <v>3348</v>
      </c>
      <c r="I427" s="2990" t="s">
        <v>3346</v>
      </c>
    </row>
    <row r="428" spans="2:9" hidden="1">
      <c r="B428" s="2990" t="s">
        <v>3343</v>
      </c>
      <c r="C428" t="s">
        <v>3289</v>
      </c>
      <c r="D428" s="2993">
        <v>1502</v>
      </c>
      <c r="E428" s="2993">
        <v>152.05000000000001</v>
      </c>
      <c r="F428" s="2993">
        <v>152.05000000000001</v>
      </c>
      <c r="G428" s="2993">
        <v>0</v>
      </c>
      <c r="H428" s="2990" t="s">
        <v>3348</v>
      </c>
      <c r="I428" s="2990" t="s">
        <v>3346</v>
      </c>
    </row>
    <row r="429" spans="2:9" hidden="1">
      <c r="B429" s="2990" t="s">
        <v>3343</v>
      </c>
      <c r="C429" t="s">
        <v>3289</v>
      </c>
      <c r="D429" s="2993">
        <v>1601</v>
      </c>
      <c r="E429" s="2993">
        <v>153.16999999999999</v>
      </c>
      <c r="F429" s="2993">
        <v>153.16999999999999</v>
      </c>
      <c r="G429" s="2993">
        <v>0</v>
      </c>
      <c r="H429" s="2990" t="s">
        <v>3348</v>
      </c>
      <c r="I429" s="2990" t="s">
        <v>3346</v>
      </c>
    </row>
    <row r="430" spans="2:9" hidden="1">
      <c r="B430" s="2990" t="s">
        <v>3343</v>
      </c>
      <c r="C430" t="s">
        <v>3289</v>
      </c>
      <c r="D430" s="2993">
        <v>1602</v>
      </c>
      <c r="E430" s="2993">
        <v>152.05000000000001</v>
      </c>
      <c r="F430" s="2993">
        <v>152.05000000000001</v>
      </c>
      <c r="G430" s="2993">
        <v>0</v>
      </c>
      <c r="H430" s="2990" t="s">
        <v>3348</v>
      </c>
      <c r="I430" s="2990" t="s">
        <v>3346</v>
      </c>
    </row>
    <row r="431" spans="2:9" hidden="1">
      <c r="B431" s="2990" t="s">
        <v>3343</v>
      </c>
      <c r="C431" t="s">
        <v>3289</v>
      </c>
      <c r="D431" s="2993">
        <v>1701</v>
      </c>
      <c r="E431" s="2993">
        <v>153.16999999999999</v>
      </c>
      <c r="F431" s="2993">
        <v>153.16999999999999</v>
      </c>
      <c r="G431" s="2993">
        <v>0</v>
      </c>
      <c r="H431" s="2990" t="s">
        <v>3348</v>
      </c>
      <c r="I431" s="2990" t="s">
        <v>3346</v>
      </c>
    </row>
    <row r="432" spans="2:9" hidden="1">
      <c r="B432" s="2990" t="s">
        <v>3343</v>
      </c>
      <c r="C432" t="s">
        <v>3289</v>
      </c>
      <c r="D432" s="2993">
        <v>1702</v>
      </c>
      <c r="E432" s="2993">
        <v>152.05000000000001</v>
      </c>
      <c r="F432" s="2993">
        <v>152.05000000000001</v>
      </c>
      <c r="G432" s="2993">
        <v>0</v>
      </c>
      <c r="H432" s="2990" t="s">
        <v>3348</v>
      </c>
      <c r="I432" s="2990" t="s">
        <v>3346</v>
      </c>
    </row>
    <row r="433" spans="2:9" hidden="1">
      <c r="B433" s="2990" t="s">
        <v>3343</v>
      </c>
      <c r="C433" t="s">
        <v>3289</v>
      </c>
      <c r="D433" s="2993">
        <v>1801</v>
      </c>
      <c r="E433" s="2993">
        <v>153.16999999999999</v>
      </c>
      <c r="F433" s="2993">
        <v>153.16999999999999</v>
      </c>
      <c r="G433" s="2993">
        <v>0</v>
      </c>
      <c r="H433" s="2990" t="s">
        <v>3348</v>
      </c>
      <c r="I433" s="2990" t="s">
        <v>3346</v>
      </c>
    </row>
    <row r="434" spans="2:9" hidden="1">
      <c r="B434" s="2990" t="s">
        <v>3343</v>
      </c>
      <c r="C434" t="s">
        <v>3289</v>
      </c>
      <c r="D434" s="2993">
        <v>1802</v>
      </c>
      <c r="E434" s="2993">
        <v>152.05000000000001</v>
      </c>
      <c r="F434" s="2993">
        <v>152.05000000000001</v>
      </c>
      <c r="G434" s="2993">
        <v>0</v>
      </c>
      <c r="H434" s="2990" t="s">
        <v>3348</v>
      </c>
      <c r="I434" s="2990" t="s">
        <v>3346</v>
      </c>
    </row>
    <row r="435" spans="2:9" hidden="1">
      <c r="B435" s="2990" t="s">
        <v>3343</v>
      </c>
      <c r="C435" t="s">
        <v>3289</v>
      </c>
      <c r="D435" s="2993">
        <v>1901</v>
      </c>
      <c r="E435" s="2993">
        <v>153.16999999999999</v>
      </c>
      <c r="F435" s="2993">
        <v>153.16999999999999</v>
      </c>
      <c r="G435" s="2993">
        <v>0</v>
      </c>
      <c r="H435" s="2990" t="s">
        <v>3348</v>
      </c>
      <c r="I435" s="2990" t="s">
        <v>3346</v>
      </c>
    </row>
    <row r="436" spans="2:9" hidden="1">
      <c r="B436" s="2990" t="s">
        <v>3343</v>
      </c>
      <c r="C436" t="s">
        <v>3289</v>
      </c>
      <c r="D436" s="2993">
        <v>1902</v>
      </c>
      <c r="E436" s="2993">
        <v>152.05000000000001</v>
      </c>
      <c r="F436" s="2993">
        <v>152.05000000000001</v>
      </c>
      <c r="G436" s="2993">
        <v>0</v>
      </c>
      <c r="H436" s="2990" t="s">
        <v>3348</v>
      </c>
      <c r="I436" s="2990" t="s">
        <v>3346</v>
      </c>
    </row>
    <row r="437" spans="2:9">
      <c r="B437" s="2990" t="s">
        <v>3340</v>
      </c>
      <c r="C437" t="s">
        <v>3268</v>
      </c>
      <c r="D437" s="2993">
        <v>-301</v>
      </c>
      <c r="E437" s="2993">
        <v>111.16</v>
      </c>
      <c r="F437" s="2993">
        <v>0</v>
      </c>
      <c r="G437" s="2993">
        <v>111.16</v>
      </c>
      <c r="H437" s="2990" t="s">
        <v>3347</v>
      </c>
      <c r="I437" s="2990" t="s">
        <v>3346</v>
      </c>
    </row>
    <row r="438" spans="2:9">
      <c r="B438" s="2990" t="s">
        <v>3340</v>
      </c>
      <c r="C438" t="s">
        <v>3268</v>
      </c>
      <c r="D438" s="2993">
        <v>-302</v>
      </c>
      <c r="E438" s="2993">
        <v>113.23</v>
      </c>
      <c r="F438" s="2993">
        <v>0</v>
      </c>
      <c r="G438" s="2993">
        <v>113.23</v>
      </c>
      <c r="H438" s="2990" t="s">
        <v>3347</v>
      </c>
      <c r="I438" s="2990" t="s">
        <v>3346</v>
      </c>
    </row>
    <row r="439" spans="2:9">
      <c r="B439" s="2990" t="s">
        <v>3344</v>
      </c>
      <c r="C439" t="s">
        <v>3268</v>
      </c>
      <c r="D439" s="2993">
        <v>101</v>
      </c>
      <c r="E439" s="2993">
        <v>367.84</v>
      </c>
      <c r="F439">
        <v>203.68999999999997</v>
      </c>
      <c r="G439">
        <v>164.15</v>
      </c>
      <c r="H439" s="2990" t="s">
        <v>3347</v>
      </c>
      <c r="I439" s="2990" t="s">
        <v>3346</v>
      </c>
    </row>
    <row r="440" spans="2:9">
      <c r="B440" s="2990" t="s">
        <v>3344</v>
      </c>
      <c r="C440" t="s">
        <v>3268</v>
      </c>
      <c r="D440" s="2993">
        <v>102</v>
      </c>
      <c r="E440" s="2993">
        <v>367.07</v>
      </c>
      <c r="F440">
        <v>202.25000000000003</v>
      </c>
      <c r="G440">
        <v>164.82</v>
      </c>
      <c r="H440" s="2990" t="s">
        <v>3347</v>
      </c>
      <c r="I440" s="2990" t="s">
        <v>3346</v>
      </c>
    </row>
    <row r="441" spans="2:9">
      <c r="B441" s="2990" t="s">
        <v>3344</v>
      </c>
      <c r="C441" t="s">
        <v>3268</v>
      </c>
      <c r="D441" s="2993">
        <v>301</v>
      </c>
      <c r="E441" s="2993">
        <v>200.45</v>
      </c>
      <c r="F441" s="2993">
        <v>200.45</v>
      </c>
      <c r="G441" s="2993">
        <v>0</v>
      </c>
      <c r="H441" s="2990" t="s">
        <v>3347</v>
      </c>
      <c r="I441" s="2990" t="s">
        <v>3346</v>
      </c>
    </row>
    <row r="442" spans="2:9">
      <c r="B442" s="2990" t="s">
        <v>3344</v>
      </c>
      <c r="C442" t="s">
        <v>3268</v>
      </c>
      <c r="D442" s="2993">
        <v>302</v>
      </c>
      <c r="E442" s="2993">
        <v>198.74</v>
      </c>
      <c r="F442" s="2993">
        <v>198.74</v>
      </c>
      <c r="G442" s="2993">
        <v>0</v>
      </c>
      <c r="H442" s="2990" t="s">
        <v>3347</v>
      </c>
      <c r="I442" s="2990" t="s">
        <v>3346</v>
      </c>
    </row>
    <row r="443" spans="2:9">
      <c r="B443" s="2990" t="s">
        <v>3344</v>
      </c>
      <c r="C443" t="s">
        <v>3289</v>
      </c>
      <c r="D443" s="2993">
        <v>-301</v>
      </c>
      <c r="E443" s="2993">
        <v>112.05</v>
      </c>
      <c r="F443" s="2993">
        <v>0</v>
      </c>
      <c r="G443" s="2993">
        <v>112.05</v>
      </c>
      <c r="H443" s="2990" t="s">
        <v>3347</v>
      </c>
      <c r="I443" s="2990" t="s">
        <v>3346</v>
      </c>
    </row>
    <row r="444" spans="2:9">
      <c r="B444" s="2990" t="s">
        <v>3344</v>
      </c>
      <c r="C444" t="s">
        <v>3289</v>
      </c>
      <c r="D444" s="2993">
        <v>-302</v>
      </c>
      <c r="E444" s="2993">
        <v>113.23</v>
      </c>
      <c r="F444" s="2993">
        <v>0</v>
      </c>
      <c r="G444" s="2993">
        <v>113.23</v>
      </c>
      <c r="H444" s="2990" t="s">
        <v>3347</v>
      </c>
      <c r="I444" s="2990" t="s">
        <v>3346</v>
      </c>
    </row>
    <row r="445" spans="2:9">
      <c r="B445" s="2990" t="s">
        <v>3344</v>
      </c>
      <c r="C445" t="s">
        <v>3289</v>
      </c>
      <c r="D445" s="2993">
        <v>101</v>
      </c>
      <c r="E445" s="2993">
        <v>367.11</v>
      </c>
      <c r="F445">
        <v>202.25</v>
      </c>
      <c r="G445">
        <v>164.85999999999999</v>
      </c>
      <c r="H445" s="2990" t="s">
        <v>3347</v>
      </c>
      <c r="I445" s="2990" t="s">
        <v>3346</v>
      </c>
    </row>
    <row r="446" spans="2:9">
      <c r="B446" s="2990" t="s">
        <v>3344</v>
      </c>
      <c r="C446" t="s">
        <v>3289</v>
      </c>
      <c r="D446" s="2993">
        <v>102</v>
      </c>
      <c r="E446" s="2993">
        <v>367.07</v>
      </c>
      <c r="F446">
        <v>202.25000000000003</v>
      </c>
      <c r="G446">
        <v>164.82</v>
      </c>
      <c r="H446" s="2990" t="s">
        <v>3347</v>
      </c>
      <c r="I446" s="2990" t="s">
        <v>3346</v>
      </c>
    </row>
    <row r="447" spans="2:9">
      <c r="B447" s="2990" t="s">
        <v>3344</v>
      </c>
      <c r="C447" t="s">
        <v>3289</v>
      </c>
      <c r="D447" s="2993">
        <v>301</v>
      </c>
      <c r="E447" s="2993">
        <v>198.74</v>
      </c>
      <c r="F447" s="2993">
        <v>198.74</v>
      </c>
      <c r="G447" s="2993">
        <v>0</v>
      </c>
      <c r="H447" s="2990" t="s">
        <v>3347</v>
      </c>
      <c r="I447" s="2990" t="s">
        <v>3346</v>
      </c>
    </row>
    <row r="448" spans="2:9">
      <c r="B448" s="2990" t="s">
        <v>3344</v>
      </c>
      <c r="C448" t="s">
        <v>3289</v>
      </c>
      <c r="D448" s="2993">
        <v>302</v>
      </c>
      <c r="E448" s="2993">
        <v>198.74</v>
      </c>
      <c r="F448" s="2993">
        <v>198.74</v>
      </c>
      <c r="G448" s="2993">
        <v>0</v>
      </c>
      <c r="H448" s="2990" t="s">
        <v>3347</v>
      </c>
      <c r="I448" s="2990" t="s">
        <v>3346</v>
      </c>
    </row>
    <row r="449" spans="2:9">
      <c r="B449" s="2990" t="s">
        <v>3344</v>
      </c>
      <c r="C449" t="s">
        <v>3291</v>
      </c>
      <c r="D449" s="2993">
        <v>-301</v>
      </c>
      <c r="E449" s="2993">
        <v>112.05</v>
      </c>
      <c r="F449" s="2993">
        <v>0</v>
      </c>
      <c r="G449" s="2993">
        <v>112.05</v>
      </c>
      <c r="H449" s="2990" t="s">
        <v>3347</v>
      </c>
      <c r="I449" s="2990" t="s">
        <v>3346</v>
      </c>
    </row>
    <row r="450" spans="2:9">
      <c r="B450" s="2990" t="s">
        <v>3344</v>
      </c>
      <c r="C450" t="s">
        <v>3291</v>
      </c>
      <c r="D450" s="2993">
        <v>-302</v>
      </c>
      <c r="E450" s="2993">
        <v>115.9</v>
      </c>
      <c r="F450" s="2993">
        <v>0</v>
      </c>
      <c r="G450" s="2993">
        <v>115.9</v>
      </c>
      <c r="H450" s="2990" t="s">
        <v>3347</v>
      </c>
      <c r="I450" s="2990" t="s">
        <v>3346</v>
      </c>
    </row>
    <row r="451" spans="2:9">
      <c r="B451" s="2990" t="s">
        <v>3344</v>
      </c>
      <c r="C451" t="s">
        <v>3291</v>
      </c>
      <c r="D451" s="2993">
        <v>101</v>
      </c>
      <c r="E451" s="2993">
        <v>367.11</v>
      </c>
      <c r="F451">
        <v>202.25</v>
      </c>
      <c r="G451">
        <v>164.85999999999999</v>
      </c>
      <c r="H451" s="2990" t="s">
        <v>3347</v>
      </c>
      <c r="I451" s="2990" t="s">
        <v>3346</v>
      </c>
    </row>
    <row r="452" spans="2:9">
      <c r="B452" s="2990" t="s">
        <v>3344</v>
      </c>
      <c r="C452" t="s">
        <v>3291</v>
      </c>
      <c r="D452" s="2993">
        <v>102</v>
      </c>
      <c r="E452" s="2993">
        <v>370.02</v>
      </c>
      <c r="F452">
        <v>202.25000000000003</v>
      </c>
      <c r="G452">
        <v>167.76999999999998</v>
      </c>
      <c r="H452" s="2990" t="s">
        <v>3347</v>
      </c>
      <c r="I452" s="2990" t="s">
        <v>3346</v>
      </c>
    </row>
    <row r="453" spans="2:9">
      <c r="B453" s="2990" t="s">
        <v>3344</v>
      </c>
      <c r="C453" t="s">
        <v>3291</v>
      </c>
      <c r="D453" s="2993">
        <v>301</v>
      </c>
      <c r="E453" s="2993">
        <v>198.74</v>
      </c>
      <c r="F453" s="2993">
        <v>198.74</v>
      </c>
      <c r="G453" s="2993">
        <v>0</v>
      </c>
      <c r="H453" s="2990" t="s">
        <v>3347</v>
      </c>
      <c r="I453" s="2990" t="s">
        <v>3346</v>
      </c>
    </row>
    <row r="454" spans="2:9">
      <c r="B454" s="2990" t="s">
        <v>3344</v>
      </c>
      <c r="C454" t="s">
        <v>3291</v>
      </c>
      <c r="D454" s="2993">
        <v>302</v>
      </c>
      <c r="E454" s="2993">
        <v>198.74</v>
      </c>
      <c r="F454" s="2993">
        <v>198.74</v>
      </c>
      <c r="G454" s="2993">
        <v>0</v>
      </c>
      <c r="H454" s="2990" t="s">
        <v>3347</v>
      </c>
      <c r="I454" s="2990" t="s">
        <v>3346</v>
      </c>
    </row>
    <row r="455" spans="2:9">
      <c r="B455" s="2990" t="s">
        <v>3344</v>
      </c>
      <c r="C455" t="s">
        <v>3327</v>
      </c>
      <c r="D455" s="2993">
        <v>-301</v>
      </c>
      <c r="E455" s="2993">
        <v>114.72</v>
      </c>
      <c r="F455" s="2993">
        <v>0</v>
      </c>
      <c r="G455" s="2993">
        <v>114.72</v>
      </c>
      <c r="H455" s="2990" t="s">
        <v>3347</v>
      </c>
      <c r="I455" s="2990" t="s">
        <v>3346</v>
      </c>
    </row>
    <row r="456" spans="2:9">
      <c r="B456" s="2990" t="s">
        <v>3344</v>
      </c>
      <c r="C456" t="s">
        <v>3327</v>
      </c>
      <c r="D456" s="2993">
        <v>-302</v>
      </c>
      <c r="E456" s="2993">
        <v>113.23</v>
      </c>
      <c r="F456" s="2993">
        <v>0</v>
      </c>
      <c r="G456" s="2993">
        <v>113.23</v>
      </c>
      <c r="H456" s="2990" t="s">
        <v>3347</v>
      </c>
      <c r="I456" s="2990" t="s">
        <v>3346</v>
      </c>
    </row>
    <row r="457" spans="2:9">
      <c r="B457" s="2990" t="s">
        <v>3344</v>
      </c>
      <c r="C457" t="s">
        <v>3327</v>
      </c>
      <c r="D457" s="2993">
        <v>101</v>
      </c>
      <c r="E457" s="2993">
        <v>370.07</v>
      </c>
      <c r="F457">
        <v>202.25000000000003</v>
      </c>
      <c r="G457">
        <v>167.82</v>
      </c>
      <c r="H457" s="2990" t="s">
        <v>3347</v>
      </c>
      <c r="I457" s="2990" t="s">
        <v>3346</v>
      </c>
    </row>
    <row r="458" spans="2:9">
      <c r="B458" s="2990" t="s">
        <v>3344</v>
      </c>
      <c r="C458" t="s">
        <v>3327</v>
      </c>
      <c r="D458" s="2993">
        <v>102</v>
      </c>
      <c r="E458" s="2993">
        <v>367.08</v>
      </c>
      <c r="F458">
        <v>202.25000000000003</v>
      </c>
      <c r="G458">
        <v>164.82999999999998</v>
      </c>
      <c r="H458" s="2990" t="s">
        <v>3347</v>
      </c>
      <c r="I458" s="2990" t="s">
        <v>3346</v>
      </c>
    </row>
    <row r="459" spans="2:9">
      <c r="B459" s="2990" t="s">
        <v>3344</v>
      </c>
      <c r="C459" t="s">
        <v>3327</v>
      </c>
      <c r="D459" s="2993">
        <v>301</v>
      </c>
      <c r="E459" s="2993">
        <v>198.74</v>
      </c>
      <c r="F459" s="2993">
        <v>198.74</v>
      </c>
      <c r="G459" s="2993">
        <v>0</v>
      </c>
      <c r="H459" s="2990" t="s">
        <v>3347</v>
      </c>
      <c r="I459" s="2990" t="s">
        <v>3346</v>
      </c>
    </row>
    <row r="460" spans="2:9">
      <c r="B460" s="2990" t="s">
        <v>3344</v>
      </c>
      <c r="C460" t="s">
        <v>3327</v>
      </c>
      <c r="D460" s="2993">
        <v>302</v>
      </c>
      <c r="E460" s="2993">
        <v>198.74</v>
      </c>
      <c r="F460" s="2993">
        <v>198.74</v>
      </c>
      <c r="G460" s="2993">
        <v>0</v>
      </c>
      <c r="H460" s="2990" t="s">
        <v>3347</v>
      </c>
      <c r="I460" s="2990" t="s">
        <v>3346</v>
      </c>
    </row>
    <row r="461" spans="2:9">
      <c r="B461" s="2990" t="s">
        <v>3344</v>
      </c>
      <c r="C461" t="s">
        <v>3328</v>
      </c>
      <c r="D461" s="2993">
        <v>-301</v>
      </c>
      <c r="E461" s="2993">
        <v>112.05</v>
      </c>
      <c r="F461" s="2993">
        <v>0</v>
      </c>
      <c r="G461" s="2993">
        <v>112.05</v>
      </c>
      <c r="H461" s="2990" t="s">
        <v>3347</v>
      </c>
      <c r="I461" s="2990" t="s">
        <v>3346</v>
      </c>
    </row>
    <row r="462" spans="2:9">
      <c r="B462" s="2990" t="s">
        <v>3344</v>
      </c>
      <c r="C462" t="s">
        <v>3328</v>
      </c>
      <c r="D462" s="2993">
        <v>-302</v>
      </c>
      <c r="E462" s="2993">
        <v>112.33</v>
      </c>
      <c r="F462" s="2993">
        <v>0</v>
      </c>
      <c r="G462" s="2993">
        <v>112.33</v>
      </c>
      <c r="H462" s="2990" t="s">
        <v>3347</v>
      </c>
      <c r="I462" s="2990" t="s">
        <v>3346</v>
      </c>
    </row>
    <row r="463" spans="2:9">
      <c r="B463" s="2990" t="s">
        <v>3344</v>
      </c>
      <c r="C463" t="s">
        <v>3328</v>
      </c>
      <c r="D463" s="2993">
        <v>101</v>
      </c>
      <c r="E463" s="2993">
        <v>367.11</v>
      </c>
      <c r="F463">
        <v>202.25</v>
      </c>
      <c r="G463">
        <v>164.85999999999999</v>
      </c>
      <c r="H463" s="2990" t="s">
        <v>3347</v>
      </c>
      <c r="I463" s="2990" t="s">
        <v>3346</v>
      </c>
    </row>
    <row r="464" spans="2:9">
      <c r="B464" s="2990" t="s">
        <v>3344</v>
      </c>
      <c r="C464" t="s">
        <v>3328</v>
      </c>
      <c r="D464" s="2993">
        <v>102</v>
      </c>
      <c r="E464" s="2993">
        <v>367.79</v>
      </c>
      <c r="F464">
        <v>203.69</v>
      </c>
      <c r="G464">
        <v>164.10000000000002</v>
      </c>
      <c r="H464" s="2990" t="s">
        <v>3347</v>
      </c>
      <c r="I464" s="2990" t="s">
        <v>3346</v>
      </c>
    </row>
    <row r="465" spans="2:9">
      <c r="B465" s="2990" t="s">
        <v>3344</v>
      </c>
      <c r="C465" t="s">
        <v>3328</v>
      </c>
      <c r="D465" s="2993">
        <v>301</v>
      </c>
      <c r="E465" s="2993">
        <v>198.74</v>
      </c>
      <c r="F465" s="2993">
        <v>198.74</v>
      </c>
      <c r="G465" s="2993">
        <v>0</v>
      </c>
      <c r="H465" s="2990" t="s">
        <v>3347</v>
      </c>
      <c r="I465" s="2990" t="s">
        <v>3346</v>
      </c>
    </row>
    <row r="466" spans="2:9">
      <c r="B466" s="2990" t="s">
        <v>3344</v>
      </c>
      <c r="C466" t="s">
        <v>3328</v>
      </c>
      <c r="D466" s="2993">
        <v>302</v>
      </c>
      <c r="E466" s="2993">
        <v>200.45</v>
      </c>
      <c r="F466" s="2993">
        <v>200.45</v>
      </c>
      <c r="G466" s="2993">
        <v>0</v>
      </c>
      <c r="H466" s="2990" t="s">
        <v>3347</v>
      </c>
      <c r="I466" s="2990" t="s">
        <v>3346</v>
      </c>
    </row>
    <row r="467" spans="2:9">
      <c r="B467" s="2986" t="s">
        <v>3342</v>
      </c>
      <c r="C467" t="s">
        <v>3268</v>
      </c>
      <c r="D467" s="2993">
        <v>-101</v>
      </c>
      <c r="E467" s="2993">
        <v>98.16</v>
      </c>
      <c r="F467" s="2993">
        <v>0</v>
      </c>
      <c r="G467" s="2993">
        <v>98.16</v>
      </c>
      <c r="H467" s="2990" t="s">
        <v>3347</v>
      </c>
      <c r="I467" s="2990" t="s">
        <v>3346</v>
      </c>
    </row>
    <row r="468" spans="2:9">
      <c r="B468" s="2986" t="s">
        <v>3342</v>
      </c>
      <c r="C468" t="s">
        <v>3268</v>
      </c>
      <c r="D468" s="2993">
        <v>-102</v>
      </c>
      <c r="E468" s="2993">
        <v>99.18</v>
      </c>
      <c r="F468" s="2993">
        <v>0</v>
      </c>
      <c r="G468" s="2993">
        <v>99.18</v>
      </c>
      <c r="H468" s="2990" t="s">
        <v>3347</v>
      </c>
      <c r="I468" s="2990" t="s">
        <v>3346</v>
      </c>
    </row>
    <row r="469" spans="2:9">
      <c r="B469" s="2986" t="s">
        <v>3316</v>
      </c>
      <c r="C469" t="s">
        <v>3268</v>
      </c>
      <c r="D469" s="2993">
        <v>101</v>
      </c>
      <c r="E469" s="2993">
        <v>288.20999999999998</v>
      </c>
      <c r="F469">
        <v>184.54000000000002</v>
      </c>
      <c r="G469">
        <v>103.66999999999999</v>
      </c>
      <c r="H469" s="2990" t="s">
        <v>3347</v>
      </c>
      <c r="I469" s="2990" t="s">
        <v>3346</v>
      </c>
    </row>
    <row r="470" spans="2:9">
      <c r="B470" s="2986" t="s">
        <v>3316</v>
      </c>
      <c r="C470" t="s">
        <v>3268</v>
      </c>
      <c r="D470" s="2993">
        <v>102</v>
      </c>
      <c r="E470" s="2993">
        <v>286.77</v>
      </c>
      <c r="F470">
        <v>183.23000000000002</v>
      </c>
      <c r="G470">
        <v>103.53999999999999</v>
      </c>
      <c r="H470" s="2990" t="s">
        <v>3347</v>
      </c>
      <c r="I470" s="2990" t="s">
        <v>3346</v>
      </c>
    </row>
    <row r="471" spans="2:9">
      <c r="B471" s="2986" t="s">
        <v>3316</v>
      </c>
      <c r="C471" t="s">
        <v>3268</v>
      </c>
      <c r="D471" s="2993">
        <v>301</v>
      </c>
      <c r="E471" s="2993">
        <v>208.42</v>
      </c>
      <c r="F471" s="2993">
        <v>208.42</v>
      </c>
      <c r="G471" s="2993">
        <v>0</v>
      </c>
      <c r="H471" s="2990" t="s">
        <v>3347</v>
      </c>
      <c r="I471" s="2990" t="s">
        <v>3346</v>
      </c>
    </row>
    <row r="472" spans="2:9">
      <c r="B472" s="2986" t="s">
        <v>3316</v>
      </c>
      <c r="C472" t="s">
        <v>3268</v>
      </c>
      <c r="D472" s="2993">
        <v>302</v>
      </c>
      <c r="E472" s="2993">
        <v>206.64</v>
      </c>
      <c r="F472" s="2993">
        <v>206.64</v>
      </c>
      <c r="G472" s="2993">
        <v>0</v>
      </c>
      <c r="H472" s="2990" t="s">
        <v>3347</v>
      </c>
      <c r="I472" s="2990" t="s">
        <v>3346</v>
      </c>
    </row>
    <row r="473" spans="2:9">
      <c r="B473" s="2986" t="s">
        <v>3316</v>
      </c>
      <c r="C473" t="s">
        <v>3289</v>
      </c>
      <c r="D473" s="2993">
        <v>-101</v>
      </c>
      <c r="E473" s="2993">
        <v>98.16</v>
      </c>
      <c r="F473" s="2993">
        <v>0</v>
      </c>
      <c r="G473" s="2993">
        <v>98.16</v>
      </c>
      <c r="H473" s="2990" t="s">
        <v>3347</v>
      </c>
      <c r="I473" s="2990" t="s">
        <v>3346</v>
      </c>
    </row>
    <row r="474" spans="2:9">
      <c r="B474" s="2986" t="s">
        <v>3316</v>
      </c>
      <c r="C474" t="s">
        <v>3289</v>
      </c>
      <c r="D474" s="2993">
        <v>-102</v>
      </c>
      <c r="E474" s="2993">
        <v>99.18</v>
      </c>
      <c r="F474" s="2993">
        <v>0</v>
      </c>
      <c r="G474" s="2993">
        <v>99.18</v>
      </c>
      <c r="H474" s="2990" t="s">
        <v>3347</v>
      </c>
      <c r="I474" s="2990" t="s">
        <v>3346</v>
      </c>
    </row>
    <row r="475" spans="2:9">
      <c r="B475" s="2986" t="s">
        <v>3316</v>
      </c>
      <c r="C475" t="s">
        <v>3289</v>
      </c>
      <c r="D475" s="2993">
        <v>101</v>
      </c>
      <c r="E475" s="2993">
        <v>286.77</v>
      </c>
      <c r="F475">
        <v>183.23000000000002</v>
      </c>
      <c r="G475">
        <v>103.53999999999999</v>
      </c>
      <c r="H475" s="2990" t="s">
        <v>3347</v>
      </c>
      <c r="I475" s="2990" t="s">
        <v>3346</v>
      </c>
    </row>
    <row r="476" spans="2:9">
      <c r="B476" s="2986" t="s">
        <v>3316</v>
      </c>
      <c r="C476" t="s">
        <v>3289</v>
      </c>
      <c r="D476" s="2993">
        <v>102</v>
      </c>
      <c r="E476" s="2993">
        <v>286.77</v>
      </c>
      <c r="F476">
        <v>183.23000000000002</v>
      </c>
      <c r="G476">
        <v>103.53999999999999</v>
      </c>
      <c r="H476" s="2990" t="s">
        <v>3347</v>
      </c>
      <c r="I476" s="2990" t="s">
        <v>3346</v>
      </c>
    </row>
    <row r="477" spans="2:9">
      <c r="B477" s="2986" t="s">
        <v>3316</v>
      </c>
      <c r="C477" t="s">
        <v>3289</v>
      </c>
      <c r="D477" s="2993">
        <v>301</v>
      </c>
      <c r="E477" s="2993">
        <v>206.62</v>
      </c>
      <c r="F477" s="2993">
        <v>206.62</v>
      </c>
      <c r="G477" s="2993">
        <v>0</v>
      </c>
      <c r="H477" s="2990" t="s">
        <v>3347</v>
      </c>
      <c r="I477" s="2990" t="s">
        <v>3346</v>
      </c>
    </row>
    <row r="478" spans="2:9">
      <c r="B478" s="2986" t="s">
        <v>3316</v>
      </c>
      <c r="C478" t="s">
        <v>3289</v>
      </c>
      <c r="D478" s="2993">
        <v>302</v>
      </c>
      <c r="E478" s="2993">
        <v>206.62</v>
      </c>
      <c r="F478" s="2993">
        <v>206.62</v>
      </c>
      <c r="G478" s="2993">
        <v>0</v>
      </c>
      <c r="H478" s="2990" t="s">
        <v>3347</v>
      </c>
      <c r="I478" s="2990" t="s">
        <v>3346</v>
      </c>
    </row>
    <row r="479" spans="2:9">
      <c r="B479" s="2986" t="s">
        <v>3316</v>
      </c>
      <c r="C479" t="s">
        <v>3291</v>
      </c>
      <c r="D479" s="2993">
        <v>-101</v>
      </c>
      <c r="E479" s="2993">
        <v>98.16</v>
      </c>
      <c r="F479" s="2993">
        <v>0</v>
      </c>
      <c r="G479" s="2993">
        <v>98.16</v>
      </c>
      <c r="H479" s="2990" t="s">
        <v>3347</v>
      </c>
      <c r="I479" s="2990" t="s">
        <v>3346</v>
      </c>
    </row>
    <row r="480" spans="2:9">
      <c r="B480" s="2986" t="s">
        <v>3316</v>
      </c>
      <c r="C480" t="s">
        <v>3291</v>
      </c>
      <c r="D480" s="2993">
        <v>-102</v>
      </c>
      <c r="E480" s="2993">
        <v>101.12</v>
      </c>
      <c r="F480" s="2993">
        <v>0</v>
      </c>
      <c r="G480" s="2993">
        <v>101.12</v>
      </c>
      <c r="H480" s="2990" t="s">
        <v>3347</v>
      </c>
      <c r="I480" s="2990" t="s">
        <v>3346</v>
      </c>
    </row>
    <row r="481" spans="2:9">
      <c r="B481" s="2986" t="s">
        <v>3316</v>
      </c>
      <c r="C481" t="s">
        <v>3291</v>
      </c>
      <c r="D481" s="2993">
        <v>101</v>
      </c>
      <c r="E481" s="2993">
        <v>286.77</v>
      </c>
      <c r="F481">
        <v>183.23000000000002</v>
      </c>
      <c r="G481">
        <v>103.53999999999999</v>
      </c>
      <c r="H481" s="2990" t="s">
        <v>3347</v>
      </c>
      <c r="I481" s="2990" t="s">
        <v>3346</v>
      </c>
    </row>
    <row r="482" spans="2:9">
      <c r="B482" s="2986" t="s">
        <v>3316</v>
      </c>
      <c r="C482" t="s">
        <v>3291</v>
      </c>
      <c r="D482" s="2993">
        <v>102</v>
      </c>
      <c r="E482" s="2993">
        <v>289.60000000000002</v>
      </c>
      <c r="F482">
        <v>183.22999999999996</v>
      </c>
      <c r="G482">
        <v>106.36999999999999</v>
      </c>
      <c r="H482" s="2990" t="s">
        <v>3347</v>
      </c>
      <c r="I482" s="2990" t="s">
        <v>3346</v>
      </c>
    </row>
    <row r="483" spans="2:9">
      <c r="B483" s="2986" t="s">
        <v>3316</v>
      </c>
      <c r="C483" t="s">
        <v>3291</v>
      </c>
      <c r="D483" s="2993">
        <v>301</v>
      </c>
      <c r="E483" s="2993">
        <v>206.62</v>
      </c>
      <c r="F483" s="2993">
        <v>206.62</v>
      </c>
      <c r="G483" s="2993">
        <v>0</v>
      </c>
      <c r="H483" s="2990" t="s">
        <v>3347</v>
      </c>
      <c r="I483" s="2990" t="s">
        <v>3346</v>
      </c>
    </row>
    <row r="484" spans="2:9">
      <c r="B484" s="2986" t="s">
        <v>3316</v>
      </c>
      <c r="C484" t="s">
        <v>3291</v>
      </c>
      <c r="D484" s="2993">
        <v>302</v>
      </c>
      <c r="E484" s="2993">
        <v>206.62</v>
      </c>
      <c r="F484" s="2993">
        <v>206.62</v>
      </c>
      <c r="G484" s="2993">
        <v>0</v>
      </c>
      <c r="H484" s="2990" t="s">
        <v>3347</v>
      </c>
      <c r="I484" s="2990" t="s">
        <v>3346</v>
      </c>
    </row>
    <row r="485" spans="2:9">
      <c r="B485" s="2986" t="s">
        <v>3316</v>
      </c>
      <c r="C485" t="s">
        <v>3327</v>
      </c>
      <c r="D485" s="2993">
        <v>-101</v>
      </c>
      <c r="E485" s="2993">
        <v>100.11</v>
      </c>
      <c r="F485" s="2993">
        <v>0</v>
      </c>
      <c r="G485" s="2993">
        <v>100.11</v>
      </c>
      <c r="H485" s="2990" t="s">
        <v>3347</v>
      </c>
      <c r="I485" s="2990" t="s">
        <v>3346</v>
      </c>
    </row>
    <row r="486" spans="2:9">
      <c r="B486" s="2986" t="s">
        <v>3316</v>
      </c>
      <c r="C486" t="s">
        <v>3327</v>
      </c>
      <c r="D486" s="2993">
        <v>-102</v>
      </c>
      <c r="E486" s="2993">
        <v>99.18</v>
      </c>
      <c r="F486" s="2993">
        <v>0</v>
      </c>
      <c r="G486" s="2993">
        <v>99.18</v>
      </c>
      <c r="H486" s="2990" t="s">
        <v>3347</v>
      </c>
      <c r="I486" s="2990" t="s">
        <v>3346</v>
      </c>
    </row>
    <row r="487" spans="2:9">
      <c r="B487" s="2986" t="s">
        <v>3316</v>
      </c>
      <c r="C487" t="s">
        <v>3327</v>
      </c>
      <c r="D487" s="2993">
        <v>101</v>
      </c>
      <c r="E487" s="2993">
        <v>289.60000000000002</v>
      </c>
      <c r="F487">
        <v>183.22999999999996</v>
      </c>
      <c r="G487">
        <v>106.36999999999999</v>
      </c>
      <c r="H487" s="2990" t="s">
        <v>3347</v>
      </c>
      <c r="I487" s="2990" t="s">
        <v>3346</v>
      </c>
    </row>
    <row r="488" spans="2:9">
      <c r="B488" s="2986" t="s">
        <v>3316</v>
      </c>
      <c r="C488" t="s">
        <v>3327</v>
      </c>
      <c r="D488" s="2993">
        <v>102</v>
      </c>
      <c r="E488" s="2993">
        <v>286.77</v>
      </c>
      <c r="F488">
        <v>183.23000000000002</v>
      </c>
      <c r="G488">
        <v>103.53999999999999</v>
      </c>
      <c r="H488" s="2990" t="s">
        <v>3347</v>
      </c>
      <c r="I488" s="2990" t="s">
        <v>3346</v>
      </c>
    </row>
    <row r="489" spans="2:9">
      <c r="B489" s="2986" t="s">
        <v>3316</v>
      </c>
      <c r="C489" t="s">
        <v>3327</v>
      </c>
      <c r="D489" s="2993">
        <v>301</v>
      </c>
      <c r="E489" s="2993">
        <v>206.62</v>
      </c>
      <c r="F489" s="2993">
        <v>206.62</v>
      </c>
      <c r="G489" s="2993">
        <v>0</v>
      </c>
      <c r="H489" s="2990" t="s">
        <v>3347</v>
      </c>
      <c r="I489" s="2990" t="s">
        <v>3346</v>
      </c>
    </row>
    <row r="490" spans="2:9">
      <c r="B490" s="2986" t="s">
        <v>3316</v>
      </c>
      <c r="C490" t="s">
        <v>3327</v>
      </c>
      <c r="D490" s="2993">
        <v>302</v>
      </c>
      <c r="E490" s="2993">
        <v>206.62</v>
      </c>
      <c r="F490" s="2993">
        <v>206.62</v>
      </c>
      <c r="G490" s="2993">
        <v>0</v>
      </c>
      <c r="H490" s="2990" t="s">
        <v>3347</v>
      </c>
      <c r="I490" s="2990" t="s">
        <v>3346</v>
      </c>
    </row>
    <row r="491" spans="2:9">
      <c r="B491" s="2986" t="s">
        <v>3316</v>
      </c>
      <c r="C491" t="s">
        <v>3328</v>
      </c>
      <c r="D491" s="2993">
        <v>-101</v>
      </c>
      <c r="E491" s="2993">
        <v>98.16</v>
      </c>
      <c r="F491" s="2993">
        <v>0</v>
      </c>
      <c r="G491" s="2993">
        <v>98.16</v>
      </c>
      <c r="H491" s="2990" t="s">
        <v>3347</v>
      </c>
      <c r="I491" s="2990" t="s">
        <v>3346</v>
      </c>
    </row>
    <row r="492" spans="2:9">
      <c r="B492" s="2986" t="s">
        <v>3316</v>
      </c>
      <c r="C492" t="s">
        <v>3328</v>
      </c>
      <c r="D492" s="2993">
        <v>-102</v>
      </c>
      <c r="E492" s="2993">
        <v>153.72</v>
      </c>
      <c r="F492" s="2993">
        <v>0</v>
      </c>
      <c r="G492" s="2993">
        <v>153.72</v>
      </c>
      <c r="H492" s="2990" t="s">
        <v>3347</v>
      </c>
      <c r="I492" s="2990" t="s">
        <v>3346</v>
      </c>
    </row>
    <row r="493" spans="2:9">
      <c r="B493" s="2986" t="s">
        <v>3316</v>
      </c>
      <c r="C493" t="s">
        <v>3328</v>
      </c>
      <c r="D493" s="2993">
        <v>101</v>
      </c>
      <c r="E493" s="2993">
        <v>286.77</v>
      </c>
      <c r="F493">
        <v>183.23000000000002</v>
      </c>
      <c r="G493">
        <v>103.53999999999999</v>
      </c>
      <c r="H493" s="2990" t="s">
        <v>3347</v>
      </c>
      <c r="I493" s="2990" t="s">
        <v>3346</v>
      </c>
    </row>
    <row r="494" spans="2:9">
      <c r="B494" s="2986" t="s">
        <v>3316</v>
      </c>
      <c r="C494" t="s">
        <v>3328</v>
      </c>
      <c r="D494" s="2993">
        <v>102</v>
      </c>
      <c r="E494" s="2993">
        <v>387.06</v>
      </c>
      <c r="F494">
        <v>259.18999999999994</v>
      </c>
      <c r="G494">
        <v>127.87</v>
      </c>
      <c r="H494" s="2990" t="s">
        <v>3347</v>
      </c>
      <c r="I494" s="2990" t="s">
        <v>3346</v>
      </c>
    </row>
    <row r="495" spans="2:9">
      <c r="B495" s="2986" t="s">
        <v>3316</v>
      </c>
      <c r="C495" t="s">
        <v>3328</v>
      </c>
      <c r="D495" s="2993">
        <v>301</v>
      </c>
      <c r="E495" s="2993">
        <v>206.62</v>
      </c>
      <c r="F495" s="2993">
        <v>206.62</v>
      </c>
      <c r="G495" s="2993">
        <v>0</v>
      </c>
      <c r="H495" s="2990" t="s">
        <v>3347</v>
      </c>
      <c r="I495" s="2990" t="s">
        <v>3346</v>
      </c>
    </row>
    <row r="496" spans="2:9">
      <c r="B496" s="2986" t="s">
        <v>3316</v>
      </c>
      <c r="C496" t="s">
        <v>3328</v>
      </c>
      <c r="D496" s="2993">
        <v>302</v>
      </c>
      <c r="E496" s="2993">
        <v>288.04000000000002</v>
      </c>
      <c r="F496" s="2993">
        <v>288.04000000000002</v>
      </c>
      <c r="G496" s="2993">
        <v>0</v>
      </c>
      <c r="H496" s="2990" t="s">
        <v>3347</v>
      </c>
      <c r="I496" s="2990" t="s">
        <v>3346</v>
      </c>
    </row>
    <row r="497" spans="2:9" hidden="1">
      <c r="B497" s="2986" t="s">
        <v>3339</v>
      </c>
      <c r="C497" s="2990" t="s">
        <v>3325</v>
      </c>
      <c r="D497" s="2993">
        <v>101</v>
      </c>
      <c r="E497" s="2993">
        <v>290.86</v>
      </c>
      <c r="F497">
        <v>133.46</v>
      </c>
      <c r="G497">
        <v>157.4</v>
      </c>
      <c r="H497" s="2990" t="s">
        <v>3348</v>
      </c>
      <c r="I497" s="2990" t="s">
        <v>3346</v>
      </c>
    </row>
    <row r="498" spans="2:9" hidden="1">
      <c r="B498" s="2986" t="s">
        <v>3339</v>
      </c>
      <c r="C498" s="2990" t="s">
        <v>3325</v>
      </c>
      <c r="D498" s="2993">
        <v>102</v>
      </c>
      <c r="E498" s="2993">
        <v>271.95999999999998</v>
      </c>
      <c r="F498">
        <v>123.7</v>
      </c>
      <c r="G498">
        <v>148.26</v>
      </c>
      <c r="H498" s="2990" t="s">
        <v>3348</v>
      </c>
      <c r="I498" s="2990" t="s">
        <v>3346</v>
      </c>
    </row>
    <row r="499" spans="2:9" hidden="1">
      <c r="B499" s="2986" t="s">
        <v>3315</v>
      </c>
      <c r="C499" s="2990" t="s">
        <v>3325</v>
      </c>
      <c r="D499" s="2993">
        <v>201</v>
      </c>
      <c r="E499" s="2993">
        <v>154.1</v>
      </c>
      <c r="F499" s="2993">
        <v>154.1</v>
      </c>
      <c r="G499" s="2993">
        <v>0</v>
      </c>
      <c r="H499" s="2990" t="s">
        <v>3348</v>
      </c>
      <c r="I499" s="2990" t="s">
        <v>3346</v>
      </c>
    </row>
    <row r="500" spans="2:9" hidden="1">
      <c r="B500" s="2995" t="s">
        <v>3315</v>
      </c>
      <c r="C500" s="2996" t="s">
        <v>3325</v>
      </c>
      <c r="D500" s="2997">
        <v>301</v>
      </c>
      <c r="E500" s="2997">
        <v>154.32</v>
      </c>
      <c r="F500" s="2997">
        <v>154.32</v>
      </c>
      <c r="G500" s="2997">
        <v>0</v>
      </c>
      <c r="H500" s="2996" t="s">
        <v>3348</v>
      </c>
      <c r="I500" s="2996" t="s">
        <v>3359</v>
      </c>
    </row>
    <row r="501" spans="2:9" hidden="1">
      <c r="B501" s="2986" t="s">
        <v>3315</v>
      </c>
      <c r="C501" s="2990" t="s">
        <v>3325</v>
      </c>
      <c r="D501" s="2993">
        <v>401</v>
      </c>
      <c r="E501" s="2993">
        <v>154.32</v>
      </c>
      <c r="F501" s="2993">
        <v>154.32</v>
      </c>
      <c r="G501" s="2993">
        <v>0</v>
      </c>
      <c r="H501" s="2990" t="s">
        <v>3348</v>
      </c>
      <c r="I501" s="2990" t="s">
        <v>3346</v>
      </c>
    </row>
    <row r="502" spans="2:9" hidden="1">
      <c r="B502" s="2986" t="s">
        <v>3315</v>
      </c>
      <c r="C502" s="2990" t="s">
        <v>3325</v>
      </c>
      <c r="D502" s="2993">
        <v>402</v>
      </c>
      <c r="E502" s="2993">
        <v>152.69</v>
      </c>
      <c r="F502" s="2993">
        <v>152.69</v>
      </c>
      <c r="G502" s="2993">
        <v>0</v>
      </c>
      <c r="H502" s="2990" t="s">
        <v>3348</v>
      </c>
      <c r="I502" s="2990" t="s">
        <v>3346</v>
      </c>
    </row>
    <row r="503" spans="2:9" hidden="1">
      <c r="B503" s="2986" t="s">
        <v>3315</v>
      </c>
      <c r="C503" s="2990" t="s">
        <v>3325</v>
      </c>
      <c r="D503" s="2993">
        <v>601</v>
      </c>
      <c r="E503" s="2993">
        <v>154.32</v>
      </c>
      <c r="F503" s="2993">
        <v>154.32</v>
      </c>
      <c r="G503" s="2993">
        <v>0</v>
      </c>
      <c r="H503" s="2990" t="s">
        <v>3348</v>
      </c>
      <c r="I503" s="2990" t="s">
        <v>3346</v>
      </c>
    </row>
    <row r="504" spans="2:9" hidden="1">
      <c r="B504" s="2986" t="s">
        <v>3315</v>
      </c>
      <c r="C504" s="2990" t="s">
        <v>3325</v>
      </c>
      <c r="D504" s="2993">
        <v>602</v>
      </c>
      <c r="E504" s="2993">
        <v>152.69</v>
      </c>
      <c r="F504" s="2993">
        <v>152.69</v>
      </c>
      <c r="G504" s="2993">
        <v>0</v>
      </c>
      <c r="H504" s="2990" t="s">
        <v>3348</v>
      </c>
      <c r="I504" s="2990" t="s">
        <v>3346</v>
      </c>
    </row>
    <row r="505" spans="2:9" hidden="1">
      <c r="B505" s="2986" t="s">
        <v>3315</v>
      </c>
      <c r="C505" s="2990" t="s">
        <v>3325</v>
      </c>
      <c r="D505" s="2993">
        <v>701</v>
      </c>
      <c r="E505" s="2993">
        <v>154.32</v>
      </c>
      <c r="F505" s="2993">
        <v>154.32</v>
      </c>
      <c r="G505" s="2993">
        <v>0</v>
      </c>
      <c r="H505" s="2990" t="s">
        <v>3348</v>
      </c>
      <c r="I505" s="2990" t="s">
        <v>3346</v>
      </c>
    </row>
    <row r="506" spans="2:9" hidden="1">
      <c r="B506" s="2986" t="s">
        <v>3315</v>
      </c>
      <c r="C506" s="2990" t="s">
        <v>3325</v>
      </c>
      <c r="D506" s="2993">
        <v>702</v>
      </c>
      <c r="E506" s="2993">
        <v>152.69</v>
      </c>
      <c r="F506" s="2993">
        <v>152.69</v>
      </c>
      <c r="G506" s="2993">
        <v>0</v>
      </c>
      <c r="H506" s="2990" t="s">
        <v>3348</v>
      </c>
      <c r="I506" s="2990" t="s">
        <v>3346</v>
      </c>
    </row>
    <row r="507" spans="2:9" hidden="1">
      <c r="B507" s="2986" t="s">
        <v>3315</v>
      </c>
      <c r="C507" s="2990" t="s">
        <v>3325</v>
      </c>
      <c r="D507" s="2993">
        <v>801</v>
      </c>
      <c r="E507" s="2993">
        <v>154.32</v>
      </c>
      <c r="F507" s="2993">
        <v>154.32</v>
      </c>
      <c r="G507" s="2993">
        <v>0</v>
      </c>
      <c r="H507" s="2990" t="s">
        <v>3348</v>
      </c>
      <c r="I507" s="2990" t="s">
        <v>3346</v>
      </c>
    </row>
    <row r="508" spans="2:9" hidden="1">
      <c r="B508" s="2986" t="s">
        <v>3315</v>
      </c>
      <c r="C508" s="2990" t="s">
        <v>3325</v>
      </c>
      <c r="D508" s="2993">
        <v>902</v>
      </c>
      <c r="E508" s="2993">
        <v>152.69</v>
      </c>
      <c r="F508" s="2993">
        <v>152.69</v>
      </c>
      <c r="G508" s="2993">
        <v>0</v>
      </c>
      <c r="H508" s="2990" t="s">
        <v>3348</v>
      </c>
      <c r="I508" s="2990" t="s">
        <v>3346</v>
      </c>
    </row>
    <row r="509" spans="2:9" hidden="1">
      <c r="B509" s="2986" t="s">
        <v>3315</v>
      </c>
      <c r="C509" s="2990" t="s">
        <v>3325</v>
      </c>
      <c r="D509" s="2993">
        <v>1002</v>
      </c>
      <c r="E509" s="2993">
        <v>152.69</v>
      </c>
      <c r="F509" s="2993">
        <v>152.69</v>
      </c>
      <c r="G509" s="2993">
        <v>0</v>
      </c>
      <c r="H509" s="2990" t="s">
        <v>3348</v>
      </c>
      <c r="I509" s="2990" t="s">
        <v>3346</v>
      </c>
    </row>
    <row r="510" spans="2:9" hidden="1">
      <c r="B510" s="2995" t="s">
        <v>3315</v>
      </c>
      <c r="C510" s="2996" t="s">
        <v>3325</v>
      </c>
      <c r="D510" s="2997">
        <v>1102</v>
      </c>
      <c r="E510" s="2997">
        <v>152.69</v>
      </c>
      <c r="F510" s="2997">
        <v>152.69</v>
      </c>
      <c r="G510" s="2997">
        <v>0</v>
      </c>
      <c r="H510" s="2996" t="s">
        <v>3348</v>
      </c>
      <c r="I510" s="2996" t="s">
        <v>3359</v>
      </c>
    </row>
    <row r="511" spans="2:9" hidden="1">
      <c r="B511" s="2986" t="s">
        <v>3315</v>
      </c>
      <c r="C511" s="2990" t="s">
        <v>3325</v>
      </c>
      <c r="D511" s="2993">
        <v>1201</v>
      </c>
      <c r="E511" s="2993">
        <v>154.32</v>
      </c>
      <c r="F511" s="2993">
        <v>154.32</v>
      </c>
      <c r="G511" s="2993">
        <v>0</v>
      </c>
      <c r="H511" s="2990" t="s">
        <v>3348</v>
      </c>
      <c r="I511" s="2990" t="s">
        <v>3346</v>
      </c>
    </row>
    <row r="512" spans="2:9" hidden="1">
      <c r="B512" s="2986" t="s">
        <v>3315</v>
      </c>
      <c r="C512" s="2990" t="s">
        <v>3325</v>
      </c>
      <c r="D512" s="2993">
        <v>1301</v>
      </c>
      <c r="E512" s="2993">
        <v>154.32</v>
      </c>
      <c r="F512" s="2993">
        <v>154.32</v>
      </c>
      <c r="G512" s="2993">
        <v>0</v>
      </c>
      <c r="H512" s="2990" t="s">
        <v>3348</v>
      </c>
      <c r="I512" s="2990" t="s">
        <v>3346</v>
      </c>
    </row>
    <row r="513" spans="2:9" hidden="1">
      <c r="B513" s="2986" t="s">
        <v>3315</v>
      </c>
      <c r="C513" s="2990" t="s">
        <v>3325</v>
      </c>
      <c r="D513" s="2993">
        <v>1401</v>
      </c>
      <c r="E513" s="2993">
        <v>154.32</v>
      </c>
      <c r="F513" s="2993">
        <v>154.32</v>
      </c>
      <c r="G513" s="2993">
        <v>0</v>
      </c>
      <c r="H513" s="2990" t="s">
        <v>3348</v>
      </c>
      <c r="I513" s="2990" t="s">
        <v>3346</v>
      </c>
    </row>
    <row r="514" spans="2:9" hidden="1">
      <c r="B514" s="2986" t="s">
        <v>3315</v>
      </c>
      <c r="C514" s="2990" t="s">
        <v>3325</v>
      </c>
      <c r="D514" s="2993">
        <v>1402</v>
      </c>
      <c r="E514" s="2993">
        <v>152.69</v>
      </c>
      <c r="F514" s="2993">
        <v>152.69</v>
      </c>
      <c r="G514" s="2993">
        <v>0</v>
      </c>
      <c r="H514" s="2990" t="s">
        <v>3348</v>
      </c>
      <c r="I514" s="2990" t="s">
        <v>3346</v>
      </c>
    </row>
    <row r="515" spans="2:9" hidden="1">
      <c r="B515" s="2986" t="s">
        <v>3315</v>
      </c>
      <c r="C515" s="2990" t="s">
        <v>3325</v>
      </c>
      <c r="D515" s="2993">
        <v>1801</v>
      </c>
      <c r="E515" s="2993">
        <v>154.32</v>
      </c>
      <c r="F515" s="2993">
        <v>154.32</v>
      </c>
      <c r="G515" s="2993">
        <v>0</v>
      </c>
      <c r="H515" s="2990" t="s">
        <v>3348</v>
      </c>
      <c r="I515" s="2990" t="s">
        <v>3346</v>
      </c>
    </row>
    <row r="516" spans="2:9" hidden="1">
      <c r="B516" s="2986" t="s">
        <v>3338</v>
      </c>
      <c r="C516" s="2990" t="s">
        <v>3325</v>
      </c>
      <c r="D516" s="2993">
        <v>101</v>
      </c>
      <c r="E516" s="2993">
        <v>290.64</v>
      </c>
      <c r="F516">
        <v>133.35</v>
      </c>
      <c r="G516">
        <v>157.29</v>
      </c>
      <c r="H516" s="2990" t="s">
        <v>3348</v>
      </c>
      <c r="I516" s="2990" t="s">
        <v>3346</v>
      </c>
    </row>
    <row r="517" spans="2:9" hidden="1">
      <c r="B517" s="2986" t="s">
        <v>3338</v>
      </c>
      <c r="C517" s="2990" t="s">
        <v>3325</v>
      </c>
      <c r="D517" s="2993">
        <v>102</v>
      </c>
      <c r="E517" s="2993">
        <v>271.82</v>
      </c>
      <c r="F517">
        <v>123.6</v>
      </c>
      <c r="G517">
        <v>148.22</v>
      </c>
      <c r="H517" s="2990" t="s">
        <v>3348</v>
      </c>
      <c r="I517" s="2990" t="s">
        <v>3346</v>
      </c>
    </row>
    <row r="518" spans="2:9" hidden="1">
      <c r="B518" s="2986" t="s">
        <v>3321</v>
      </c>
      <c r="C518" s="2991" t="s">
        <v>3322</v>
      </c>
      <c r="D518" s="2988">
        <v>101</v>
      </c>
      <c r="E518" s="2988">
        <v>257.8</v>
      </c>
      <c r="F518" s="2988">
        <v>127.03</v>
      </c>
      <c r="G518" s="2988">
        <v>130.77000000000001</v>
      </c>
      <c r="H518" s="2990" t="s">
        <v>3348</v>
      </c>
      <c r="I518" s="2990" t="s">
        <v>3351</v>
      </c>
    </row>
    <row r="519" spans="2:9" hidden="1">
      <c r="B519" s="2986" t="s">
        <v>3303</v>
      </c>
      <c r="C519" s="2991" t="s">
        <v>3268</v>
      </c>
      <c r="D519" s="2988">
        <v>301</v>
      </c>
      <c r="E519" s="2988">
        <v>120.36</v>
      </c>
      <c r="F519" s="2988">
        <v>120.36</v>
      </c>
      <c r="G519" s="2988">
        <v>0</v>
      </c>
      <c r="H519" s="2990" t="s">
        <v>3348</v>
      </c>
      <c r="I519" s="2990" t="s">
        <v>3351</v>
      </c>
    </row>
    <row r="520" spans="2:9" hidden="1">
      <c r="B520" s="2986" t="s">
        <v>3303</v>
      </c>
      <c r="C520" s="2991" t="s">
        <v>3268</v>
      </c>
      <c r="D520" s="2988">
        <v>302</v>
      </c>
      <c r="E520" s="2988">
        <v>134.09</v>
      </c>
      <c r="F520" s="2988">
        <v>134.09</v>
      </c>
      <c r="G520" s="2988">
        <v>0</v>
      </c>
      <c r="H520" s="2990" t="s">
        <v>3348</v>
      </c>
      <c r="I520" s="2990" t="s">
        <v>3351</v>
      </c>
    </row>
    <row r="521" spans="2:9" hidden="1">
      <c r="B521" s="2986" t="s">
        <v>3303</v>
      </c>
      <c r="C521" s="2991" t="s">
        <v>3268</v>
      </c>
      <c r="D521" s="2988">
        <v>402</v>
      </c>
      <c r="E521" s="2988">
        <v>134.09</v>
      </c>
      <c r="F521" s="2988">
        <v>134.09</v>
      </c>
      <c r="G521" s="2988">
        <v>0</v>
      </c>
      <c r="H521" s="2990" t="s">
        <v>3348</v>
      </c>
      <c r="I521" s="2990" t="s">
        <v>3351</v>
      </c>
    </row>
    <row r="522" spans="2:9" hidden="1">
      <c r="B522" s="2986" t="s">
        <v>3303</v>
      </c>
      <c r="C522" s="2991" t="s">
        <v>3268</v>
      </c>
      <c r="D522" s="2988">
        <v>501</v>
      </c>
      <c r="E522" s="2988">
        <v>120.36</v>
      </c>
      <c r="F522" s="2988">
        <v>120.36</v>
      </c>
      <c r="G522" s="2988">
        <v>0</v>
      </c>
      <c r="H522" s="2990" t="s">
        <v>3348</v>
      </c>
      <c r="I522" s="2990" t="s">
        <v>3351</v>
      </c>
    </row>
    <row r="523" spans="2:9" hidden="1">
      <c r="B523" s="2986" t="s">
        <v>3303</v>
      </c>
      <c r="C523" s="2991" t="s">
        <v>3268</v>
      </c>
      <c r="D523" s="2988">
        <v>502</v>
      </c>
      <c r="E523" s="2988">
        <v>134.09</v>
      </c>
      <c r="F523" s="2988">
        <v>134.09</v>
      </c>
      <c r="G523" s="2988">
        <v>0</v>
      </c>
      <c r="H523" s="2990" t="s">
        <v>3348</v>
      </c>
      <c r="I523" s="2990" t="s">
        <v>3351</v>
      </c>
    </row>
    <row r="524" spans="2:9" hidden="1">
      <c r="B524" s="2986" t="s">
        <v>3303</v>
      </c>
      <c r="C524" s="2991" t="s">
        <v>3268</v>
      </c>
      <c r="D524" s="2988">
        <v>601</v>
      </c>
      <c r="E524" s="2988">
        <v>120.36</v>
      </c>
      <c r="F524" s="2988">
        <v>120.36</v>
      </c>
      <c r="G524" s="2988">
        <v>0</v>
      </c>
      <c r="H524" s="2990" t="s">
        <v>3348</v>
      </c>
      <c r="I524" s="2990" t="s">
        <v>3351</v>
      </c>
    </row>
    <row r="525" spans="2:9" hidden="1">
      <c r="B525" s="2986" t="s">
        <v>3303</v>
      </c>
      <c r="C525" s="2991" t="s">
        <v>3268</v>
      </c>
      <c r="D525" s="2988">
        <v>602</v>
      </c>
      <c r="E525" s="2988">
        <v>134.09</v>
      </c>
      <c r="F525" s="2988">
        <v>134.09</v>
      </c>
      <c r="G525" s="2988">
        <v>0</v>
      </c>
      <c r="H525" s="2990" t="s">
        <v>3348</v>
      </c>
      <c r="I525" s="2990" t="s">
        <v>3351</v>
      </c>
    </row>
    <row r="526" spans="2:9" hidden="1">
      <c r="B526" s="2986" t="s">
        <v>3303</v>
      </c>
      <c r="C526" s="2991" t="s">
        <v>3268</v>
      </c>
      <c r="D526" s="2988">
        <v>702</v>
      </c>
      <c r="E526" s="2988">
        <v>134.09</v>
      </c>
      <c r="F526" s="2988">
        <v>134.09</v>
      </c>
      <c r="G526" s="2988">
        <v>0</v>
      </c>
      <c r="H526" s="2990" t="s">
        <v>3348</v>
      </c>
      <c r="I526" s="2990" t="s">
        <v>3351</v>
      </c>
    </row>
    <row r="527" spans="2:9" hidden="1">
      <c r="B527" s="2986" t="s">
        <v>3303</v>
      </c>
      <c r="C527" s="2991" t="s">
        <v>3268</v>
      </c>
      <c r="D527" s="2988">
        <v>801</v>
      </c>
      <c r="E527" s="2988">
        <v>120.36</v>
      </c>
      <c r="F527" s="2988">
        <v>120.36</v>
      </c>
      <c r="G527" s="2988">
        <v>0</v>
      </c>
      <c r="H527" s="2990" t="s">
        <v>3348</v>
      </c>
      <c r="I527" s="2990" t="s">
        <v>3351</v>
      </c>
    </row>
    <row r="528" spans="2:9" hidden="1">
      <c r="B528" s="2986" t="s">
        <v>3303</v>
      </c>
      <c r="C528" s="2991" t="s">
        <v>3268</v>
      </c>
      <c r="D528" s="2988">
        <v>802</v>
      </c>
      <c r="E528" s="2988">
        <v>134.09</v>
      </c>
      <c r="F528" s="2988">
        <v>134.09</v>
      </c>
      <c r="G528" s="2988">
        <v>0</v>
      </c>
      <c r="H528" s="2990" t="s">
        <v>3348</v>
      </c>
      <c r="I528" s="2990" t="s">
        <v>3351</v>
      </c>
    </row>
    <row r="529" spans="2:9" hidden="1">
      <c r="B529" s="2986" t="s">
        <v>3303</v>
      </c>
      <c r="C529" s="2991" t="s">
        <v>3268</v>
      </c>
      <c r="D529" s="2988">
        <v>901</v>
      </c>
      <c r="E529" s="2988">
        <v>120.36</v>
      </c>
      <c r="F529" s="2988">
        <v>120.36</v>
      </c>
      <c r="G529" s="2988">
        <v>0</v>
      </c>
      <c r="H529" s="2990" t="s">
        <v>3348</v>
      </c>
      <c r="I529" s="2990" t="s">
        <v>3351</v>
      </c>
    </row>
    <row r="530" spans="2:9" hidden="1">
      <c r="B530" s="2986" t="s">
        <v>3303</v>
      </c>
      <c r="C530" s="2991" t="s">
        <v>3268</v>
      </c>
      <c r="D530" s="2988">
        <v>902</v>
      </c>
      <c r="E530" s="2988">
        <v>134.09</v>
      </c>
      <c r="F530" s="2988">
        <v>134.09</v>
      </c>
      <c r="G530" s="2988">
        <v>0</v>
      </c>
      <c r="H530" s="2990" t="s">
        <v>3348</v>
      </c>
      <c r="I530" s="2990" t="s">
        <v>3351</v>
      </c>
    </row>
    <row r="531" spans="2:9" hidden="1">
      <c r="B531" s="2986" t="s">
        <v>3303</v>
      </c>
      <c r="C531" s="2991" t="s">
        <v>3268</v>
      </c>
      <c r="D531" s="2988">
        <v>1001</v>
      </c>
      <c r="E531" s="2988">
        <v>120.36</v>
      </c>
      <c r="F531" s="2988">
        <v>120.36</v>
      </c>
      <c r="G531" s="2988">
        <v>0</v>
      </c>
      <c r="H531" s="2990" t="s">
        <v>3348</v>
      </c>
      <c r="I531" s="2990" t="s">
        <v>3351</v>
      </c>
    </row>
    <row r="532" spans="2:9" hidden="1">
      <c r="B532" s="2986" t="s">
        <v>3303</v>
      </c>
      <c r="C532" s="2991" t="s">
        <v>3268</v>
      </c>
      <c r="D532" s="2988">
        <v>1002</v>
      </c>
      <c r="E532" s="2988">
        <v>134.09</v>
      </c>
      <c r="F532" s="2988">
        <v>134.09</v>
      </c>
      <c r="G532" s="2988">
        <v>0</v>
      </c>
      <c r="H532" s="2990" t="s">
        <v>3348</v>
      </c>
      <c r="I532" s="2990" t="s">
        <v>3351</v>
      </c>
    </row>
    <row r="533" spans="2:9" hidden="1">
      <c r="B533" s="2986" t="s">
        <v>3303</v>
      </c>
      <c r="C533" s="2991" t="s">
        <v>3268</v>
      </c>
      <c r="D533" s="2988">
        <v>1101</v>
      </c>
      <c r="E533" s="2988">
        <v>120.36</v>
      </c>
      <c r="F533" s="2988">
        <v>120.36</v>
      </c>
      <c r="G533" s="2988">
        <v>0</v>
      </c>
      <c r="H533" s="2990" t="s">
        <v>3348</v>
      </c>
      <c r="I533" s="2990" t="s">
        <v>3351</v>
      </c>
    </row>
    <row r="534" spans="2:9" hidden="1">
      <c r="B534" s="2986" t="s">
        <v>3303</v>
      </c>
      <c r="C534" s="2991" t="s">
        <v>3268</v>
      </c>
      <c r="D534" s="2988">
        <v>1102</v>
      </c>
      <c r="E534" s="2988">
        <v>134.09</v>
      </c>
      <c r="F534" s="2988">
        <v>134.09</v>
      </c>
      <c r="G534" s="2988">
        <v>0</v>
      </c>
      <c r="H534" s="2990" t="s">
        <v>3348</v>
      </c>
      <c r="I534" s="2990" t="s">
        <v>3351</v>
      </c>
    </row>
    <row r="535" spans="2:9" hidden="1">
      <c r="B535" s="2986" t="s">
        <v>3303</v>
      </c>
      <c r="C535" s="2991" t="s">
        <v>3268</v>
      </c>
      <c r="D535" s="2988">
        <v>1201</v>
      </c>
      <c r="E535" s="2988">
        <v>120.36</v>
      </c>
      <c r="F535" s="2988">
        <v>120.36</v>
      </c>
      <c r="G535" s="2988">
        <v>0</v>
      </c>
      <c r="H535" s="2990" t="s">
        <v>3348</v>
      </c>
      <c r="I535" s="2990" t="s">
        <v>3351</v>
      </c>
    </row>
    <row r="536" spans="2:9" hidden="1">
      <c r="B536" s="2986" t="s">
        <v>3303</v>
      </c>
      <c r="C536" s="2991" t="s">
        <v>3268</v>
      </c>
      <c r="D536" s="2988">
        <v>1202</v>
      </c>
      <c r="E536" s="2988">
        <v>134.09</v>
      </c>
      <c r="F536" s="2988">
        <v>134.09</v>
      </c>
      <c r="G536" s="2988">
        <v>0</v>
      </c>
      <c r="H536" s="2990" t="s">
        <v>3348</v>
      </c>
      <c r="I536" s="2990" t="s">
        <v>3351</v>
      </c>
    </row>
    <row r="537" spans="2:9" hidden="1">
      <c r="B537" s="2986" t="s">
        <v>3303</v>
      </c>
      <c r="C537" s="2991" t="s">
        <v>3268</v>
      </c>
      <c r="D537" s="2988">
        <v>1301</v>
      </c>
      <c r="E537" s="2988">
        <v>120.36</v>
      </c>
      <c r="F537" s="2988">
        <v>120.36</v>
      </c>
      <c r="G537" s="2988">
        <v>0</v>
      </c>
      <c r="H537" s="2990" t="s">
        <v>3348</v>
      </c>
      <c r="I537" s="2990" t="s">
        <v>3351</v>
      </c>
    </row>
    <row r="538" spans="2:9" hidden="1">
      <c r="B538" s="2986" t="s">
        <v>3303</v>
      </c>
      <c r="C538" s="2991" t="s">
        <v>3268</v>
      </c>
      <c r="D538" s="2988">
        <v>1401</v>
      </c>
      <c r="E538" s="2988">
        <v>120.36</v>
      </c>
      <c r="F538" s="2988">
        <v>120.36</v>
      </c>
      <c r="G538" s="2988">
        <v>0</v>
      </c>
      <c r="H538" s="2990" t="s">
        <v>3348</v>
      </c>
      <c r="I538" s="2990" t="s">
        <v>3351</v>
      </c>
    </row>
    <row r="539" spans="2:9" hidden="1">
      <c r="B539" s="2986" t="s">
        <v>3303</v>
      </c>
      <c r="C539" s="2991" t="s">
        <v>3268</v>
      </c>
      <c r="D539" s="2988">
        <v>1501</v>
      </c>
      <c r="E539" s="2988">
        <v>120.36</v>
      </c>
      <c r="F539" s="2988">
        <v>120.36</v>
      </c>
      <c r="G539" s="2988">
        <v>0</v>
      </c>
      <c r="H539" s="2990" t="s">
        <v>3348</v>
      </c>
      <c r="I539" s="2990" t="s">
        <v>3351</v>
      </c>
    </row>
    <row r="540" spans="2:9" hidden="1">
      <c r="B540" s="2986" t="s">
        <v>3303</v>
      </c>
      <c r="C540" s="2991" t="s">
        <v>3268</v>
      </c>
      <c r="D540" s="2988">
        <v>1602</v>
      </c>
      <c r="E540" s="2988">
        <v>134.09</v>
      </c>
      <c r="F540" s="2988">
        <v>134.09</v>
      </c>
      <c r="G540" s="2988">
        <v>0</v>
      </c>
      <c r="H540" s="2990" t="s">
        <v>3348</v>
      </c>
      <c r="I540" s="2990" t="s">
        <v>3351</v>
      </c>
    </row>
    <row r="541" spans="2:9" hidden="1">
      <c r="B541" s="2986" t="s">
        <v>3303</v>
      </c>
      <c r="C541" s="2991" t="s">
        <v>3289</v>
      </c>
      <c r="D541" s="2988">
        <v>201</v>
      </c>
      <c r="E541" s="2988">
        <v>134.09</v>
      </c>
      <c r="F541" s="2988">
        <v>134.09</v>
      </c>
      <c r="G541" s="2988">
        <v>0</v>
      </c>
      <c r="H541" s="2990" t="s">
        <v>3348</v>
      </c>
      <c r="I541" s="2990" t="s">
        <v>3351</v>
      </c>
    </row>
    <row r="542" spans="2:9" hidden="1">
      <c r="B542" s="2986" t="s">
        <v>3303</v>
      </c>
      <c r="C542" s="2991" t="s">
        <v>3289</v>
      </c>
      <c r="D542" s="2988">
        <v>301</v>
      </c>
      <c r="E542" s="2988">
        <v>134.09</v>
      </c>
      <c r="F542" s="2988">
        <v>134.09</v>
      </c>
      <c r="G542" s="2988">
        <v>0</v>
      </c>
      <c r="H542" s="2990" t="s">
        <v>3348</v>
      </c>
      <c r="I542" s="2990" t="s">
        <v>3351</v>
      </c>
    </row>
    <row r="543" spans="2:9" hidden="1">
      <c r="B543" s="2986" t="s">
        <v>3303</v>
      </c>
      <c r="C543" s="2991" t="s">
        <v>3289</v>
      </c>
      <c r="D543" s="2988">
        <v>302</v>
      </c>
      <c r="E543" s="2988">
        <v>134.58000000000001</v>
      </c>
      <c r="F543" s="2988">
        <v>134.58000000000001</v>
      </c>
      <c r="G543" s="2988">
        <v>0</v>
      </c>
      <c r="H543" s="2990" t="s">
        <v>3348</v>
      </c>
      <c r="I543" s="2990" t="s">
        <v>3351</v>
      </c>
    </row>
    <row r="544" spans="2:9" hidden="1">
      <c r="B544" s="2986" t="s">
        <v>3303</v>
      </c>
      <c r="C544" s="2991" t="s">
        <v>3289</v>
      </c>
      <c r="D544" s="2988">
        <v>401</v>
      </c>
      <c r="E544" s="2988">
        <v>134.09</v>
      </c>
      <c r="F544" s="2988">
        <v>134.09</v>
      </c>
      <c r="G544" s="2988">
        <v>0</v>
      </c>
      <c r="H544" s="2990" t="s">
        <v>3348</v>
      </c>
      <c r="I544" s="2990" t="s">
        <v>3351</v>
      </c>
    </row>
    <row r="545" spans="2:9" hidden="1">
      <c r="B545" s="2986" t="s">
        <v>3303</v>
      </c>
      <c r="C545" s="2991" t="s">
        <v>3289</v>
      </c>
      <c r="D545" s="2988">
        <v>402</v>
      </c>
      <c r="E545" s="2988">
        <v>134.58000000000001</v>
      </c>
      <c r="F545" s="2988">
        <v>134.58000000000001</v>
      </c>
      <c r="G545" s="2988">
        <v>0</v>
      </c>
      <c r="H545" s="2990" t="s">
        <v>3348</v>
      </c>
      <c r="I545" s="2990" t="s">
        <v>3351</v>
      </c>
    </row>
    <row r="546" spans="2:9" hidden="1">
      <c r="B546" s="2986" t="s">
        <v>3303</v>
      </c>
      <c r="C546" s="2991" t="s">
        <v>3289</v>
      </c>
      <c r="D546" s="2988">
        <v>501</v>
      </c>
      <c r="E546" s="2988">
        <v>134.09</v>
      </c>
      <c r="F546" s="2988">
        <v>134.09</v>
      </c>
      <c r="G546" s="2988">
        <v>0</v>
      </c>
      <c r="H546" s="2990" t="s">
        <v>3348</v>
      </c>
      <c r="I546" s="2990" t="s">
        <v>3351</v>
      </c>
    </row>
    <row r="547" spans="2:9" hidden="1">
      <c r="B547" s="2986" t="s">
        <v>3303</v>
      </c>
      <c r="C547" s="2991" t="s">
        <v>3289</v>
      </c>
      <c r="D547" s="2988">
        <v>601</v>
      </c>
      <c r="E547" s="2988">
        <v>134.09</v>
      </c>
      <c r="F547" s="2988">
        <v>134.09</v>
      </c>
      <c r="G547" s="2988">
        <v>0</v>
      </c>
      <c r="H547" s="2990" t="s">
        <v>3348</v>
      </c>
      <c r="I547" s="2990" t="s">
        <v>3351</v>
      </c>
    </row>
    <row r="548" spans="2:9" hidden="1">
      <c r="B548" s="2986" t="s">
        <v>3303</v>
      </c>
      <c r="C548" s="2991" t="s">
        <v>3289</v>
      </c>
      <c r="D548" s="2988">
        <v>602</v>
      </c>
      <c r="E548" s="2988">
        <v>134.58000000000001</v>
      </c>
      <c r="F548" s="2988">
        <v>134.58000000000001</v>
      </c>
      <c r="G548" s="2988">
        <v>0</v>
      </c>
      <c r="H548" s="2990" t="s">
        <v>3348</v>
      </c>
      <c r="I548" s="2990" t="s">
        <v>3351</v>
      </c>
    </row>
    <row r="549" spans="2:9" hidden="1">
      <c r="B549" s="2986" t="s">
        <v>3303</v>
      </c>
      <c r="C549" s="2991" t="s">
        <v>3289</v>
      </c>
      <c r="D549" s="2988">
        <v>701</v>
      </c>
      <c r="E549" s="2988">
        <v>134.09</v>
      </c>
      <c r="F549" s="2988">
        <v>134.09</v>
      </c>
      <c r="G549" s="2988">
        <v>0</v>
      </c>
      <c r="H549" s="2990" t="s">
        <v>3348</v>
      </c>
      <c r="I549" s="2990" t="s">
        <v>3351</v>
      </c>
    </row>
    <row r="550" spans="2:9" hidden="1">
      <c r="B550" s="2986" t="s">
        <v>3303</v>
      </c>
      <c r="C550" s="2991" t="s">
        <v>3289</v>
      </c>
      <c r="D550" s="2988">
        <v>702</v>
      </c>
      <c r="E550" s="2988">
        <v>134.58000000000001</v>
      </c>
      <c r="F550" s="2988">
        <v>134.58000000000001</v>
      </c>
      <c r="G550" s="2988">
        <v>0</v>
      </c>
      <c r="H550" s="2990" t="s">
        <v>3348</v>
      </c>
      <c r="I550" s="2990" t="s">
        <v>3351</v>
      </c>
    </row>
    <row r="551" spans="2:9" hidden="1">
      <c r="B551" s="2986" t="s">
        <v>3303</v>
      </c>
      <c r="C551" s="2991" t="s">
        <v>3289</v>
      </c>
      <c r="D551" s="2988">
        <v>801</v>
      </c>
      <c r="E551" s="2988">
        <v>134.09</v>
      </c>
      <c r="F551" s="2988">
        <v>134.09</v>
      </c>
      <c r="G551" s="2988">
        <v>0</v>
      </c>
      <c r="H551" s="2990" t="s">
        <v>3348</v>
      </c>
      <c r="I551" s="2990" t="s">
        <v>3351</v>
      </c>
    </row>
    <row r="552" spans="2:9" hidden="1">
      <c r="B552" s="2986" t="s">
        <v>3303</v>
      </c>
      <c r="C552" s="2991" t="s">
        <v>3289</v>
      </c>
      <c r="D552" s="2988">
        <v>802</v>
      </c>
      <c r="E552" s="2988">
        <v>134.58000000000001</v>
      </c>
      <c r="F552" s="2988">
        <v>134.58000000000001</v>
      </c>
      <c r="G552" s="2988">
        <v>0</v>
      </c>
      <c r="H552" s="2990" t="s">
        <v>3348</v>
      </c>
      <c r="I552" s="2990" t="s">
        <v>3351</v>
      </c>
    </row>
    <row r="553" spans="2:9" hidden="1">
      <c r="B553" s="2986" t="s">
        <v>3303</v>
      </c>
      <c r="C553" s="2991" t="s">
        <v>3289</v>
      </c>
      <c r="D553" s="2988">
        <v>901</v>
      </c>
      <c r="E553" s="2988">
        <v>134.09</v>
      </c>
      <c r="F553" s="2988">
        <v>134.09</v>
      </c>
      <c r="G553" s="2988">
        <v>0</v>
      </c>
      <c r="H553" s="2990" t="s">
        <v>3348</v>
      </c>
      <c r="I553" s="2990" t="s">
        <v>3351</v>
      </c>
    </row>
    <row r="554" spans="2:9" hidden="1">
      <c r="B554" s="2986" t="s">
        <v>3303</v>
      </c>
      <c r="C554" s="2991" t="s">
        <v>3289</v>
      </c>
      <c r="D554" s="2988">
        <v>1002</v>
      </c>
      <c r="E554" s="2988">
        <v>134.58000000000001</v>
      </c>
      <c r="F554" s="2988">
        <v>134.58000000000001</v>
      </c>
      <c r="G554" s="2988">
        <v>0</v>
      </c>
      <c r="H554" s="2990" t="s">
        <v>3348</v>
      </c>
      <c r="I554" s="2990" t="s">
        <v>3351</v>
      </c>
    </row>
    <row r="555" spans="2:9" hidden="1">
      <c r="B555" s="2986" t="s">
        <v>3303</v>
      </c>
      <c r="C555" s="2991" t="s">
        <v>3289</v>
      </c>
      <c r="D555" s="2988">
        <v>1102</v>
      </c>
      <c r="E555" s="2988">
        <v>134.58000000000001</v>
      </c>
      <c r="F555" s="2988">
        <v>134.58000000000001</v>
      </c>
      <c r="G555" s="2988">
        <v>0</v>
      </c>
      <c r="H555" s="2990" t="s">
        <v>3348</v>
      </c>
      <c r="I555" s="2990" t="s">
        <v>3351</v>
      </c>
    </row>
    <row r="556" spans="2:9" hidden="1">
      <c r="B556" s="2986" t="s">
        <v>3303</v>
      </c>
      <c r="C556" s="2991" t="s">
        <v>3289</v>
      </c>
      <c r="D556" s="2988">
        <v>1202</v>
      </c>
      <c r="E556" s="2988">
        <v>134.58000000000001</v>
      </c>
      <c r="F556" s="2988">
        <v>134.58000000000001</v>
      </c>
      <c r="G556" s="2988">
        <v>0</v>
      </c>
      <c r="H556" s="2990" t="s">
        <v>3348</v>
      </c>
      <c r="I556" s="2990" t="s">
        <v>3351</v>
      </c>
    </row>
    <row r="557" spans="2:9" hidden="1">
      <c r="B557" s="2986" t="s">
        <v>3303</v>
      </c>
      <c r="C557" s="2991" t="s">
        <v>3289</v>
      </c>
      <c r="D557" s="2988">
        <v>1301</v>
      </c>
      <c r="E557" s="2988">
        <v>134.09</v>
      </c>
      <c r="F557" s="2988">
        <v>134.09</v>
      </c>
      <c r="G557" s="2988">
        <v>0</v>
      </c>
      <c r="H557" s="2990" t="s">
        <v>3348</v>
      </c>
      <c r="I557" s="2990" t="s">
        <v>3351</v>
      </c>
    </row>
    <row r="558" spans="2:9" hidden="1">
      <c r="B558" s="2986" t="s">
        <v>3303</v>
      </c>
      <c r="C558" s="2991" t="s">
        <v>3289</v>
      </c>
      <c r="D558" s="2988">
        <v>1401</v>
      </c>
      <c r="E558" s="2988">
        <v>134.09</v>
      </c>
      <c r="F558" s="2988">
        <v>134.09</v>
      </c>
      <c r="G558" s="2988">
        <v>0</v>
      </c>
      <c r="H558" s="2990" t="s">
        <v>3348</v>
      </c>
      <c r="I558" s="2990" t="s">
        <v>3351</v>
      </c>
    </row>
    <row r="559" spans="2:9" hidden="1">
      <c r="B559" s="2986" t="s">
        <v>3303</v>
      </c>
      <c r="C559" s="2991" t="s">
        <v>3289</v>
      </c>
      <c r="D559" s="2988">
        <v>1402</v>
      </c>
      <c r="E559" s="2988">
        <v>134.58000000000001</v>
      </c>
      <c r="F559" s="2988">
        <v>134.58000000000001</v>
      </c>
      <c r="G559" s="2988">
        <v>0</v>
      </c>
      <c r="H559" s="2990" t="s">
        <v>3348</v>
      </c>
      <c r="I559" s="2990" t="s">
        <v>3351</v>
      </c>
    </row>
    <row r="560" spans="2:9" hidden="1">
      <c r="B560" s="2986" t="s">
        <v>3303</v>
      </c>
      <c r="C560" s="2991" t="s">
        <v>3289</v>
      </c>
      <c r="D560" s="2988">
        <v>1501</v>
      </c>
      <c r="E560" s="2988">
        <v>134.09</v>
      </c>
      <c r="F560" s="2988">
        <v>134.09</v>
      </c>
      <c r="G560" s="2988">
        <v>0</v>
      </c>
      <c r="H560" s="2990" t="s">
        <v>3348</v>
      </c>
      <c r="I560" s="2990" t="s">
        <v>3351</v>
      </c>
    </row>
    <row r="561" spans="2:9" hidden="1">
      <c r="B561" s="2986" t="s">
        <v>3303</v>
      </c>
      <c r="C561" s="2991" t="s">
        <v>3289</v>
      </c>
      <c r="D561" s="2988">
        <v>1502</v>
      </c>
      <c r="E561" s="2988">
        <v>134.58000000000001</v>
      </c>
      <c r="F561" s="2988">
        <v>134.58000000000001</v>
      </c>
      <c r="G561" s="2988">
        <v>0</v>
      </c>
      <c r="H561" s="2990" t="s">
        <v>3348</v>
      </c>
      <c r="I561" s="2990" t="s">
        <v>3351</v>
      </c>
    </row>
    <row r="562" spans="2:9" hidden="1">
      <c r="B562" s="2986" t="s">
        <v>3303</v>
      </c>
      <c r="C562" s="2991" t="s">
        <v>3289</v>
      </c>
      <c r="D562" s="2988">
        <v>1601</v>
      </c>
      <c r="E562" s="2988">
        <v>134.09</v>
      </c>
      <c r="F562" s="2988">
        <v>134.09</v>
      </c>
      <c r="G562" s="2988">
        <v>0</v>
      </c>
      <c r="H562" s="2990" t="s">
        <v>3348</v>
      </c>
      <c r="I562" s="2990" t="s">
        <v>3351</v>
      </c>
    </row>
    <row r="563" spans="2:9" hidden="1">
      <c r="B563" s="2986" t="s">
        <v>3338</v>
      </c>
      <c r="C563" s="2990" t="s">
        <v>3325</v>
      </c>
      <c r="D563" s="2993">
        <v>201</v>
      </c>
      <c r="E563" s="2993">
        <v>153.97999999999999</v>
      </c>
      <c r="F563" s="2993">
        <v>153.97999999999999</v>
      </c>
      <c r="G563" s="2993">
        <v>0</v>
      </c>
      <c r="H563" s="2990" t="s">
        <v>3348</v>
      </c>
      <c r="I563" s="2990" t="s">
        <v>3346</v>
      </c>
    </row>
    <row r="564" spans="2:9" hidden="1">
      <c r="B564" s="2986" t="s">
        <v>3338</v>
      </c>
      <c r="C564" s="2990" t="s">
        <v>3325</v>
      </c>
      <c r="D564" s="2993">
        <v>202</v>
      </c>
      <c r="E564" s="2993">
        <v>152.36000000000001</v>
      </c>
      <c r="F564" s="2993">
        <v>152.36000000000001</v>
      </c>
      <c r="G564" s="2993">
        <v>0</v>
      </c>
      <c r="H564" s="2990" t="s">
        <v>3348</v>
      </c>
      <c r="I564" s="2990" t="s">
        <v>3346</v>
      </c>
    </row>
    <row r="565" spans="2:9" hidden="1">
      <c r="B565" s="2986" t="s">
        <v>3314</v>
      </c>
      <c r="C565" s="2990" t="s">
        <v>3325</v>
      </c>
      <c r="D565" s="2993">
        <v>301</v>
      </c>
      <c r="E565" s="2993">
        <v>154.19999999999999</v>
      </c>
      <c r="F565" s="2993">
        <v>154.19999999999999</v>
      </c>
      <c r="G565" s="2993">
        <v>0</v>
      </c>
      <c r="H565" s="2990" t="s">
        <v>3348</v>
      </c>
      <c r="I565" s="2990" t="s">
        <v>3346</v>
      </c>
    </row>
    <row r="566" spans="2:9" hidden="1">
      <c r="B566" s="2986" t="s">
        <v>3314</v>
      </c>
      <c r="C566" s="2990" t="s">
        <v>3325</v>
      </c>
      <c r="D566" s="2993">
        <v>302</v>
      </c>
      <c r="E566" s="2993">
        <v>152.58000000000001</v>
      </c>
      <c r="F566" s="2993">
        <v>152.58000000000001</v>
      </c>
      <c r="G566" s="2993">
        <v>0</v>
      </c>
      <c r="H566" s="2990" t="s">
        <v>3348</v>
      </c>
      <c r="I566" s="2990" t="s">
        <v>3346</v>
      </c>
    </row>
    <row r="567" spans="2:9" hidden="1">
      <c r="B567" s="2986" t="s">
        <v>3314</v>
      </c>
      <c r="C567" s="2990" t="s">
        <v>3325</v>
      </c>
      <c r="D567" s="2993">
        <v>401</v>
      </c>
      <c r="E567" s="2993">
        <v>154.19999999999999</v>
      </c>
      <c r="F567" s="2993">
        <v>154.19999999999999</v>
      </c>
      <c r="G567" s="2993">
        <v>0</v>
      </c>
      <c r="H567" s="2990" t="s">
        <v>3348</v>
      </c>
      <c r="I567" s="2990" t="s">
        <v>3346</v>
      </c>
    </row>
    <row r="568" spans="2:9" hidden="1">
      <c r="B568" s="2986" t="s">
        <v>3314</v>
      </c>
      <c r="C568" s="2990" t="s">
        <v>3325</v>
      </c>
      <c r="D568" s="2993">
        <v>402</v>
      </c>
      <c r="E568" s="2993">
        <v>152.58000000000001</v>
      </c>
      <c r="F568" s="2993">
        <v>152.58000000000001</v>
      </c>
      <c r="G568" s="2993">
        <v>0</v>
      </c>
      <c r="H568" s="2990" t="s">
        <v>3348</v>
      </c>
      <c r="I568" s="2990" t="s">
        <v>3346</v>
      </c>
    </row>
    <row r="569" spans="2:9" hidden="1">
      <c r="B569" s="2986" t="s">
        <v>3314</v>
      </c>
      <c r="C569" s="2990" t="s">
        <v>3325</v>
      </c>
      <c r="D569" s="2993">
        <v>501</v>
      </c>
      <c r="E569" s="2993">
        <v>154.19999999999999</v>
      </c>
      <c r="F569" s="2993">
        <v>154.19999999999999</v>
      </c>
      <c r="G569" s="2993">
        <v>0</v>
      </c>
      <c r="H569" s="2990" t="s">
        <v>3348</v>
      </c>
      <c r="I569" s="2990" t="s">
        <v>3346</v>
      </c>
    </row>
    <row r="570" spans="2:9" hidden="1">
      <c r="B570" s="2986" t="s">
        <v>3314</v>
      </c>
      <c r="C570" s="2990" t="s">
        <v>3325</v>
      </c>
      <c r="D570" s="2993">
        <v>502</v>
      </c>
      <c r="E570" s="2993">
        <v>152.58000000000001</v>
      </c>
      <c r="F570" s="2993">
        <v>152.58000000000001</v>
      </c>
      <c r="G570" s="2993">
        <v>0</v>
      </c>
      <c r="H570" s="2990" t="s">
        <v>3348</v>
      </c>
      <c r="I570" s="2990" t="s">
        <v>3346</v>
      </c>
    </row>
    <row r="571" spans="2:9" hidden="1">
      <c r="B571" s="2986" t="s">
        <v>3314</v>
      </c>
      <c r="C571" s="2990" t="s">
        <v>3325</v>
      </c>
      <c r="D571" s="2993">
        <v>601</v>
      </c>
      <c r="E571" s="2993">
        <v>154.19999999999999</v>
      </c>
      <c r="F571" s="2993">
        <v>154.19999999999999</v>
      </c>
      <c r="G571" s="2993">
        <v>0</v>
      </c>
      <c r="H571" s="2990" t="s">
        <v>3348</v>
      </c>
      <c r="I571" s="2990" t="s">
        <v>3346</v>
      </c>
    </row>
    <row r="572" spans="2:9" hidden="1">
      <c r="B572" s="2986" t="s">
        <v>3314</v>
      </c>
      <c r="C572" s="2990" t="s">
        <v>3325</v>
      </c>
      <c r="D572" s="2993">
        <v>602</v>
      </c>
      <c r="E572" s="2993">
        <v>152.58000000000001</v>
      </c>
      <c r="F572" s="2993">
        <v>152.58000000000001</v>
      </c>
      <c r="G572" s="2993">
        <v>0</v>
      </c>
      <c r="H572" s="2990" t="s">
        <v>3348</v>
      </c>
      <c r="I572" s="2990" t="s">
        <v>3346</v>
      </c>
    </row>
    <row r="573" spans="2:9" hidden="1">
      <c r="B573" s="2986" t="s">
        <v>3314</v>
      </c>
      <c r="C573" s="2990" t="s">
        <v>3325</v>
      </c>
      <c r="D573" s="2993">
        <v>702</v>
      </c>
      <c r="E573" s="2993">
        <v>152.58000000000001</v>
      </c>
      <c r="F573" s="2993">
        <v>152.58000000000001</v>
      </c>
      <c r="G573" s="2993">
        <v>0</v>
      </c>
      <c r="H573" s="2990" t="s">
        <v>3348</v>
      </c>
      <c r="I573" s="2990" t="s">
        <v>3346</v>
      </c>
    </row>
    <row r="574" spans="2:9" hidden="1">
      <c r="B574" s="2986" t="s">
        <v>3314</v>
      </c>
      <c r="C574" s="2990" t="s">
        <v>3325</v>
      </c>
      <c r="D574" s="2993">
        <v>801</v>
      </c>
      <c r="E574" s="2993">
        <v>154.19999999999999</v>
      </c>
      <c r="F574" s="2993">
        <v>154.19999999999999</v>
      </c>
      <c r="G574" s="2993">
        <v>0</v>
      </c>
      <c r="H574" s="2990" t="s">
        <v>3348</v>
      </c>
      <c r="I574" s="2990" t="s">
        <v>3346</v>
      </c>
    </row>
    <row r="575" spans="2:9" hidden="1">
      <c r="B575" s="2986" t="s">
        <v>3314</v>
      </c>
      <c r="C575" s="2990" t="s">
        <v>3325</v>
      </c>
      <c r="D575" s="2993">
        <v>802</v>
      </c>
      <c r="E575" s="2993">
        <v>152.58000000000001</v>
      </c>
      <c r="F575" s="2993">
        <v>152.58000000000001</v>
      </c>
      <c r="G575" s="2993">
        <v>0</v>
      </c>
      <c r="H575" s="2990" t="s">
        <v>3348</v>
      </c>
      <c r="I575" s="2990" t="s">
        <v>3346</v>
      </c>
    </row>
    <row r="576" spans="2:9" hidden="1">
      <c r="B576" s="2986" t="s">
        <v>3314</v>
      </c>
      <c r="C576" s="2990" t="s">
        <v>3325</v>
      </c>
      <c r="D576" s="2993">
        <v>901</v>
      </c>
      <c r="E576" s="2993">
        <v>154.19999999999999</v>
      </c>
      <c r="F576" s="2993">
        <v>154.19999999999999</v>
      </c>
      <c r="G576" s="2993">
        <v>0</v>
      </c>
      <c r="H576" s="2990" t="s">
        <v>3348</v>
      </c>
      <c r="I576" s="2990" t="s">
        <v>3346</v>
      </c>
    </row>
    <row r="577" spans="2:9" hidden="1">
      <c r="B577" s="2986" t="s">
        <v>3314</v>
      </c>
      <c r="C577" s="2990" t="s">
        <v>3325</v>
      </c>
      <c r="D577" s="2993">
        <v>1101</v>
      </c>
      <c r="E577" s="2993">
        <v>154.19999999999999</v>
      </c>
      <c r="F577" s="2993">
        <v>154.19999999999999</v>
      </c>
      <c r="G577" s="2993">
        <v>0</v>
      </c>
      <c r="H577" s="2990" t="s">
        <v>3348</v>
      </c>
      <c r="I577" s="2990" t="s">
        <v>3346</v>
      </c>
    </row>
    <row r="578" spans="2:9" hidden="1">
      <c r="B578" s="2986" t="s">
        <v>3314</v>
      </c>
      <c r="C578" s="2990" t="s">
        <v>3325</v>
      </c>
      <c r="D578" s="2993">
        <v>1102</v>
      </c>
      <c r="E578" s="2993">
        <v>152.58000000000001</v>
      </c>
      <c r="F578" s="2993">
        <v>152.58000000000001</v>
      </c>
      <c r="G578" s="2993">
        <v>0</v>
      </c>
      <c r="H578" s="2990" t="s">
        <v>3348</v>
      </c>
      <c r="I578" s="2990" t="s">
        <v>3346</v>
      </c>
    </row>
    <row r="579" spans="2:9" hidden="1">
      <c r="B579" s="2986" t="s">
        <v>3314</v>
      </c>
      <c r="C579" s="2990" t="s">
        <v>3325</v>
      </c>
      <c r="D579" s="2993">
        <v>1201</v>
      </c>
      <c r="E579" s="2993">
        <v>154.19999999999999</v>
      </c>
      <c r="F579" s="2993">
        <v>154.19999999999999</v>
      </c>
      <c r="G579" s="2993">
        <v>0</v>
      </c>
      <c r="H579" s="2990" t="s">
        <v>3348</v>
      </c>
      <c r="I579" s="2990" t="s">
        <v>3346</v>
      </c>
    </row>
    <row r="580" spans="2:9" hidden="1">
      <c r="B580" s="2986" t="s">
        <v>3314</v>
      </c>
      <c r="C580" s="2990" t="s">
        <v>3325</v>
      </c>
      <c r="D580" s="2993">
        <v>1202</v>
      </c>
      <c r="E580" s="2993">
        <v>152.58000000000001</v>
      </c>
      <c r="F580" s="2993">
        <v>152.58000000000001</v>
      </c>
      <c r="G580" s="2993">
        <v>0</v>
      </c>
      <c r="H580" s="2990" t="s">
        <v>3348</v>
      </c>
      <c r="I580" s="2990" t="s">
        <v>3346</v>
      </c>
    </row>
    <row r="581" spans="2:9" hidden="1">
      <c r="B581" s="2986" t="s">
        <v>3314</v>
      </c>
      <c r="C581" s="2990" t="s">
        <v>3325</v>
      </c>
      <c r="D581" s="2993">
        <v>1302</v>
      </c>
      <c r="E581" s="2993">
        <v>152.58000000000001</v>
      </c>
      <c r="F581" s="2993">
        <v>152.58000000000001</v>
      </c>
      <c r="G581" s="2993">
        <v>0</v>
      </c>
      <c r="H581" s="2990" t="s">
        <v>3348</v>
      </c>
      <c r="I581" s="2990" t="s">
        <v>3346</v>
      </c>
    </row>
    <row r="582" spans="2:9" hidden="1">
      <c r="B582" s="2986" t="s">
        <v>3324</v>
      </c>
      <c r="C582" s="2992" t="s">
        <v>3325</v>
      </c>
      <c r="D582" s="2988">
        <v>101</v>
      </c>
      <c r="E582" s="2988">
        <v>284.69</v>
      </c>
      <c r="F582" s="2988">
        <v>139.61000000000001</v>
      </c>
      <c r="G582" s="2988">
        <v>145.08000000000001</v>
      </c>
      <c r="H582" s="2990" t="s">
        <v>3348</v>
      </c>
      <c r="I582" s="2990" t="s">
        <v>3351</v>
      </c>
    </row>
    <row r="583" spans="2:9" hidden="1">
      <c r="B583" s="2986" t="s">
        <v>3305</v>
      </c>
      <c r="C583" s="2992" t="s">
        <v>3325</v>
      </c>
      <c r="D583" s="2988">
        <v>201</v>
      </c>
      <c r="E583" s="2988">
        <v>139.61000000000001</v>
      </c>
      <c r="F583" s="2988">
        <v>139.61000000000001</v>
      </c>
      <c r="G583" s="2988">
        <v>0</v>
      </c>
      <c r="H583" s="2990" t="s">
        <v>3348</v>
      </c>
      <c r="I583" s="2990" t="s">
        <v>3351</v>
      </c>
    </row>
    <row r="584" spans="2:9" hidden="1">
      <c r="B584" s="2986" t="s">
        <v>3305</v>
      </c>
      <c r="C584" s="2992" t="s">
        <v>3325</v>
      </c>
      <c r="D584" s="2988">
        <v>301</v>
      </c>
      <c r="E584" s="2988">
        <v>139.75</v>
      </c>
      <c r="F584" s="2988">
        <v>139.75</v>
      </c>
      <c r="G584" s="2988">
        <v>0</v>
      </c>
      <c r="H584" s="2990" t="s">
        <v>3348</v>
      </c>
      <c r="I584" s="2990" t="s">
        <v>3351</v>
      </c>
    </row>
    <row r="585" spans="2:9" hidden="1">
      <c r="B585" s="2986" t="s">
        <v>3305</v>
      </c>
      <c r="C585" s="2992" t="s">
        <v>3325</v>
      </c>
      <c r="D585" s="2988">
        <v>401</v>
      </c>
      <c r="E585" s="2988">
        <v>139.75</v>
      </c>
      <c r="F585" s="2988">
        <v>139.75</v>
      </c>
      <c r="G585" s="2988">
        <v>0</v>
      </c>
      <c r="H585" s="2990" t="s">
        <v>3348</v>
      </c>
      <c r="I585" s="2990" t="s">
        <v>3351</v>
      </c>
    </row>
    <row r="586" spans="2:9" hidden="1">
      <c r="B586" s="2986" t="s">
        <v>3305</v>
      </c>
      <c r="C586" s="2992" t="s">
        <v>3325</v>
      </c>
      <c r="D586" s="2988">
        <v>501</v>
      </c>
      <c r="E586" s="2988">
        <v>139.75</v>
      </c>
      <c r="F586" s="2988">
        <v>139.75</v>
      </c>
      <c r="G586" s="2988">
        <v>0</v>
      </c>
      <c r="H586" s="2990" t="s">
        <v>3348</v>
      </c>
      <c r="I586" s="2990" t="s">
        <v>3351</v>
      </c>
    </row>
    <row r="587" spans="2:9" hidden="1">
      <c r="B587" s="2986" t="s">
        <v>3305</v>
      </c>
      <c r="C587" s="2992" t="s">
        <v>3325</v>
      </c>
      <c r="D587" s="2988">
        <v>502</v>
      </c>
      <c r="E587" s="2988">
        <v>125.09</v>
      </c>
      <c r="F587" s="2988">
        <v>125.09</v>
      </c>
      <c r="G587" s="2988">
        <v>0</v>
      </c>
      <c r="H587" s="2990" t="s">
        <v>3348</v>
      </c>
      <c r="I587" s="2990" t="s">
        <v>3351</v>
      </c>
    </row>
    <row r="588" spans="2:9" hidden="1">
      <c r="B588" s="2986" t="s">
        <v>3305</v>
      </c>
      <c r="C588" s="2992" t="s">
        <v>3325</v>
      </c>
      <c r="D588" s="2988">
        <v>601</v>
      </c>
      <c r="E588" s="2988">
        <v>139.75</v>
      </c>
      <c r="F588" s="2988">
        <v>139.75</v>
      </c>
      <c r="G588" s="2988">
        <v>0</v>
      </c>
      <c r="H588" s="2990" t="s">
        <v>3348</v>
      </c>
      <c r="I588" s="2990" t="s">
        <v>3351</v>
      </c>
    </row>
    <row r="589" spans="2:9" hidden="1">
      <c r="B589" s="2986" t="s">
        <v>3305</v>
      </c>
      <c r="C589" s="2992" t="s">
        <v>3325</v>
      </c>
      <c r="D589" s="2988">
        <v>602</v>
      </c>
      <c r="E589" s="2988">
        <v>125.09</v>
      </c>
      <c r="F589" s="2988">
        <v>125.09</v>
      </c>
      <c r="G589" s="2988">
        <v>0</v>
      </c>
      <c r="H589" s="2990" t="s">
        <v>3348</v>
      </c>
      <c r="I589" s="2990" t="s">
        <v>3351</v>
      </c>
    </row>
    <row r="590" spans="2:9" hidden="1">
      <c r="B590" s="2986" t="s">
        <v>3305</v>
      </c>
      <c r="C590" s="2992" t="s">
        <v>3325</v>
      </c>
      <c r="D590" s="2988">
        <v>701</v>
      </c>
      <c r="E590" s="2988">
        <v>139.75</v>
      </c>
      <c r="F590" s="2988">
        <v>139.75</v>
      </c>
      <c r="G590" s="2988">
        <v>0</v>
      </c>
      <c r="H590" s="2990" t="s">
        <v>3348</v>
      </c>
      <c r="I590" s="2990" t="s">
        <v>3351</v>
      </c>
    </row>
    <row r="591" spans="2:9" hidden="1">
      <c r="B591" s="2986" t="s">
        <v>3305</v>
      </c>
      <c r="C591" s="2992" t="s">
        <v>3325</v>
      </c>
      <c r="D591" s="2988">
        <v>702</v>
      </c>
      <c r="E591" s="2988">
        <v>125.09</v>
      </c>
      <c r="F591" s="2988">
        <v>125.09</v>
      </c>
      <c r="G591" s="2988">
        <v>0</v>
      </c>
      <c r="H591" s="2990" t="s">
        <v>3348</v>
      </c>
      <c r="I591" s="2990" t="s">
        <v>3351</v>
      </c>
    </row>
    <row r="592" spans="2:9" hidden="1">
      <c r="B592" s="2986" t="s">
        <v>3305</v>
      </c>
      <c r="C592" s="2992" t="s">
        <v>3325</v>
      </c>
      <c r="D592" s="2988">
        <v>801</v>
      </c>
      <c r="E592" s="2988">
        <v>139.75</v>
      </c>
      <c r="F592" s="2988">
        <v>139.75</v>
      </c>
      <c r="G592" s="2988">
        <v>0</v>
      </c>
      <c r="H592" s="2990" t="s">
        <v>3348</v>
      </c>
      <c r="I592" s="2990" t="s">
        <v>3351</v>
      </c>
    </row>
    <row r="593" spans="2:9" hidden="1">
      <c r="B593" s="2986" t="s">
        <v>3305</v>
      </c>
      <c r="C593" s="2992" t="s">
        <v>3325</v>
      </c>
      <c r="D593" s="2988">
        <v>901</v>
      </c>
      <c r="E593" s="2988">
        <v>139.75</v>
      </c>
      <c r="F593" s="2988">
        <v>139.75</v>
      </c>
      <c r="G593" s="2988">
        <v>0</v>
      </c>
      <c r="H593" s="2990" t="s">
        <v>3348</v>
      </c>
      <c r="I593" s="2990" t="s">
        <v>3351</v>
      </c>
    </row>
    <row r="594" spans="2:9" hidden="1">
      <c r="B594" s="2986" t="s">
        <v>3305</v>
      </c>
      <c r="C594" s="2992" t="s">
        <v>3325</v>
      </c>
      <c r="D594" s="2988">
        <v>902</v>
      </c>
      <c r="E594" s="2988">
        <v>125.09</v>
      </c>
      <c r="F594" s="2988">
        <v>125.09</v>
      </c>
      <c r="G594" s="2988">
        <v>0</v>
      </c>
      <c r="H594" s="2990" t="s">
        <v>3348</v>
      </c>
      <c r="I594" s="2990" t="s">
        <v>3351</v>
      </c>
    </row>
    <row r="595" spans="2:9" hidden="1">
      <c r="B595" s="2986" t="s">
        <v>3305</v>
      </c>
      <c r="C595" s="2992" t="s">
        <v>3325</v>
      </c>
      <c r="D595" s="2988">
        <v>1001</v>
      </c>
      <c r="E595" s="2988">
        <v>139.75</v>
      </c>
      <c r="F595" s="2988">
        <v>139.75</v>
      </c>
      <c r="G595" s="2988">
        <v>0</v>
      </c>
      <c r="H595" s="2990" t="s">
        <v>3348</v>
      </c>
      <c r="I595" s="2990" t="s">
        <v>3351</v>
      </c>
    </row>
    <row r="596" spans="2:9" hidden="1">
      <c r="B596" s="2986" t="s">
        <v>3305</v>
      </c>
      <c r="C596" s="2992" t="s">
        <v>3325</v>
      </c>
      <c r="D596" s="2988">
        <v>1002</v>
      </c>
      <c r="E596" s="2988">
        <v>125.09</v>
      </c>
      <c r="F596" s="2988">
        <v>125.09</v>
      </c>
      <c r="G596" s="2988">
        <v>0</v>
      </c>
      <c r="H596" s="2990" t="s">
        <v>3348</v>
      </c>
      <c r="I596" s="2990" t="s">
        <v>3351</v>
      </c>
    </row>
    <row r="597" spans="2:9" hidden="1">
      <c r="B597" s="2986" t="s">
        <v>3305</v>
      </c>
      <c r="C597" s="2992" t="s">
        <v>3325</v>
      </c>
      <c r="D597" s="2988">
        <v>1101</v>
      </c>
      <c r="E597" s="2988">
        <v>139.75</v>
      </c>
      <c r="F597" s="2988">
        <v>139.75</v>
      </c>
      <c r="G597" s="2988">
        <v>0</v>
      </c>
      <c r="H597" s="2990" t="s">
        <v>3348</v>
      </c>
      <c r="I597" s="2990" t="s">
        <v>3351</v>
      </c>
    </row>
    <row r="598" spans="2:9" hidden="1">
      <c r="B598" s="2986" t="s">
        <v>3305</v>
      </c>
      <c r="C598" s="2992" t="s">
        <v>3325</v>
      </c>
      <c r="D598" s="2988">
        <v>1102</v>
      </c>
      <c r="E598" s="2988">
        <v>125.09</v>
      </c>
      <c r="F598" s="2988">
        <v>125.09</v>
      </c>
      <c r="G598" s="2988">
        <v>0</v>
      </c>
      <c r="H598" s="2990" t="s">
        <v>3348</v>
      </c>
      <c r="I598" s="2990" t="s">
        <v>3351</v>
      </c>
    </row>
    <row r="599" spans="2:9" hidden="1">
      <c r="B599" s="2986" t="s">
        <v>3305</v>
      </c>
      <c r="C599" s="2992" t="s">
        <v>3325</v>
      </c>
      <c r="D599" s="2988">
        <v>1201</v>
      </c>
      <c r="E599" s="2988">
        <v>139.75</v>
      </c>
      <c r="F599" s="2988">
        <v>139.75</v>
      </c>
      <c r="G599" s="2988">
        <v>0</v>
      </c>
      <c r="H599" s="2990" t="s">
        <v>3348</v>
      </c>
      <c r="I599" s="2990" t="s">
        <v>3351</v>
      </c>
    </row>
    <row r="600" spans="2:9" hidden="1">
      <c r="B600" s="2986" t="s">
        <v>3305</v>
      </c>
      <c r="C600" s="2992" t="s">
        <v>3325</v>
      </c>
      <c r="D600" s="2988">
        <v>1202</v>
      </c>
      <c r="E600" s="2988">
        <v>125.09</v>
      </c>
      <c r="F600" s="2988">
        <v>125.09</v>
      </c>
      <c r="G600" s="2988">
        <v>0</v>
      </c>
      <c r="H600" s="2990" t="s">
        <v>3348</v>
      </c>
      <c r="I600" s="2990" t="s">
        <v>3351</v>
      </c>
    </row>
    <row r="601" spans="2:9" hidden="1">
      <c r="B601" s="2986" t="s">
        <v>3305</v>
      </c>
      <c r="C601" s="2992" t="s">
        <v>3325</v>
      </c>
      <c r="D601" s="2988">
        <v>1301</v>
      </c>
      <c r="E601" s="2988">
        <v>139.75</v>
      </c>
      <c r="F601" s="2988">
        <v>139.75</v>
      </c>
      <c r="G601" s="2988">
        <v>0</v>
      </c>
      <c r="H601" s="2990" t="s">
        <v>3348</v>
      </c>
      <c r="I601" s="2990" t="s">
        <v>3351</v>
      </c>
    </row>
    <row r="602" spans="2:9" hidden="1">
      <c r="B602" s="2986" t="s">
        <v>3305</v>
      </c>
      <c r="C602" s="2992" t="s">
        <v>3325</v>
      </c>
      <c r="D602" s="2988">
        <v>1302</v>
      </c>
      <c r="E602" s="2988">
        <v>125.09</v>
      </c>
      <c r="F602" s="2988">
        <v>125.09</v>
      </c>
      <c r="G602" s="2988">
        <v>0</v>
      </c>
      <c r="H602" s="2990" t="s">
        <v>3348</v>
      </c>
      <c r="I602" s="2990" t="s">
        <v>3351</v>
      </c>
    </row>
    <row r="603" spans="2:9" hidden="1">
      <c r="B603" s="2986" t="s">
        <v>3305</v>
      </c>
      <c r="C603" s="2992" t="s">
        <v>3325</v>
      </c>
      <c r="D603" s="2988">
        <v>1401</v>
      </c>
      <c r="E603" s="2988">
        <v>139.75</v>
      </c>
      <c r="F603" s="2988">
        <v>139.75</v>
      </c>
      <c r="G603" s="2988">
        <v>0</v>
      </c>
      <c r="H603" s="2990" t="s">
        <v>3348</v>
      </c>
      <c r="I603" s="2990" t="s">
        <v>3351</v>
      </c>
    </row>
    <row r="604" spans="2:9" hidden="1">
      <c r="B604" s="2986" t="s">
        <v>3305</v>
      </c>
      <c r="C604" s="2992" t="s">
        <v>3325</v>
      </c>
      <c r="D604" s="2988">
        <v>1501</v>
      </c>
      <c r="E604" s="2988">
        <v>139.75</v>
      </c>
      <c r="F604" s="2988">
        <v>139.75</v>
      </c>
      <c r="G604" s="2988">
        <v>0</v>
      </c>
      <c r="H604" s="2990" t="s">
        <v>3348</v>
      </c>
      <c r="I604" s="2990" t="s">
        <v>3351</v>
      </c>
    </row>
    <row r="605" spans="2:9" hidden="1">
      <c r="B605" s="2986" t="s">
        <v>3305</v>
      </c>
      <c r="C605" s="2992" t="s">
        <v>3325</v>
      </c>
      <c r="D605" s="2988">
        <v>1601</v>
      </c>
      <c r="E605" s="2988">
        <v>139.75</v>
      </c>
      <c r="F605" s="2988">
        <v>139.75</v>
      </c>
      <c r="G605" s="2988">
        <v>0</v>
      </c>
      <c r="H605" s="2990" t="s">
        <v>3348</v>
      </c>
      <c r="I605" s="2990" t="s">
        <v>3351</v>
      </c>
    </row>
    <row r="606" spans="2:9" hidden="1">
      <c r="B606" s="2986" t="s">
        <v>3305</v>
      </c>
      <c r="C606" s="2992" t="s">
        <v>3325</v>
      </c>
      <c r="D606" s="2988">
        <v>1602</v>
      </c>
      <c r="E606" s="2988">
        <v>125.09</v>
      </c>
      <c r="F606" s="2988">
        <v>125.09</v>
      </c>
      <c r="G606" s="2988">
        <v>0</v>
      </c>
      <c r="H606" s="2990" t="s">
        <v>3348</v>
      </c>
      <c r="I606" s="2990" t="s">
        <v>3351</v>
      </c>
    </row>
    <row r="607" spans="2:9" hidden="1">
      <c r="B607" s="2986" t="s">
        <v>3305</v>
      </c>
      <c r="C607" s="2992" t="s">
        <v>3325</v>
      </c>
      <c r="D607" s="2988">
        <v>1701</v>
      </c>
      <c r="E607" s="2988">
        <v>139.75</v>
      </c>
      <c r="F607" s="2988">
        <v>139.75</v>
      </c>
      <c r="G607" s="2988">
        <v>0</v>
      </c>
      <c r="H607" s="2990" t="s">
        <v>3348</v>
      </c>
      <c r="I607" s="2990" t="s">
        <v>3351</v>
      </c>
    </row>
    <row r="608" spans="2:9" hidden="1">
      <c r="B608" s="2986" t="s">
        <v>3305</v>
      </c>
      <c r="C608" s="2992" t="s">
        <v>3325</v>
      </c>
      <c r="D608" s="2988">
        <v>1801</v>
      </c>
      <c r="E608" s="2988">
        <v>139.75</v>
      </c>
      <c r="F608" s="2988">
        <v>139.75</v>
      </c>
      <c r="G608" s="2988">
        <v>0</v>
      </c>
      <c r="H608" s="2990" t="s">
        <v>3348</v>
      </c>
      <c r="I608" s="2990" t="s">
        <v>3351</v>
      </c>
    </row>
    <row r="609" spans="2:9" hidden="1">
      <c r="B609" s="2986" t="s">
        <v>3314</v>
      </c>
      <c r="C609" s="2990" t="s">
        <v>3325</v>
      </c>
      <c r="D609" s="2993">
        <v>1401</v>
      </c>
      <c r="E609" s="2993">
        <v>154.19999999999999</v>
      </c>
      <c r="F609" s="2993">
        <v>154.19999999999999</v>
      </c>
      <c r="G609" s="2993">
        <v>0</v>
      </c>
      <c r="H609" s="2990" t="s">
        <v>3348</v>
      </c>
      <c r="I609" s="2990" t="s">
        <v>3346</v>
      </c>
    </row>
    <row r="610" spans="2:9" hidden="1">
      <c r="B610" s="2986" t="s">
        <v>3314</v>
      </c>
      <c r="C610" s="2990" t="s">
        <v>3325</v>
      </c>
      <c r="D610" s="2993">
        <v>1402</v>
      </c>
      <c r="E610" s="2993">
        <v>152.58000000000001</v>
      </c>
      <c r="F610" s="2993">
        <v>152.58000000000001</v>
      </c>
      <c r="G610" s="2993">
        <v>0</v>
      </c>
      <c r="H610" s="2990" t="s">
        <v>3348</v>
      </c>
      <c r="I610" s="2990" t="s">
        <v>3346</v>
      </c>
    </row>
    <row r="611" spans="2:9" hidden="1">
      <c r="B611" s="2986" t="s">
        <v>3314</v>
      </c>
      <c r="C611" s="2990" t="s">
        <v>3325</v>
      </c>
      <c r="D611" s="2993">
        <v>1502</v>
      </c>
      <c r="E611" s="2993">
        <v>152.58000000000001</v>
      </c>
      <c r="F611" s="2993">
        <v>152.58000000000001</v>
      </c>
      <c r="G611" s="2993">
        <v>0</v>
      </c>
      <c r="H611" s="2990" t="s">
        <v>3348</v>
      </c>
      <c r="I611" s="2990" t="s">
        <v>3346</v>
      </c>
    </row>
    <row r="612" spans="2:9" hidden="1">
      <c r="B612" s="2986" t="s">
        <v>3314</v>
      </c>
      <c r="C612" s="2990" t="s">
        <v>3325</v>
      </c>
      <c r="D612" s="2993">
        <v>1602</v>
      </c>
      <c r="E612" s="2993">
        <v>152.58000000000001</v>
      </c>
      <c r="F612" s="2993">
        <v>152.58000000000001</v>
      </c>
      <c r="G612" s="2993">
        <v>0</v>
      </c>
      <c r="H612" s="2990" t="s">
        <v>3348</v>
      </c>
      <c r="I612" s="2990" t="s">
        <v>3346</v>
      </c>
    </row>
    <row r="613" spans="2:9" hidden="1">
      <c r="B613" s="2986" t="s">
        <v>3314</v>
      </c>
      <c r="C613" s="2990" t="s">
        <v>3325</v>
      </c>
      <c r="D613" s="2993">
        <v>1701</v>
      </c>
      <c r="E613" s="2993">
        <v>154.19999999999999</v>
      </c>
      <c r="F613" s="2993">
        <v>154.19999999999999</v>
      </c>
      <c r="G613" s="2993">
        <v>0</v>
      </c>
      <c r="H613" s="2990" t="s">
        <v>3348</v>
      </c>
      <c r="I613" s="2990" t="s">
        <v>3346</v>
      </c>
    </row>
    <row r="614" spans="2:9" hidden="1">
      <c r="B614" s="2986" t="s">
        <v>3314</v>
      </c>
      <c r="C614" s="2990" t="s">
        <v>3325</v>
      </c>
      <c r="D614" s="2993">
        <v>1702</v>
      </c>
      <c r="E614" s="2993">
        <v>152.58000000000001</v>
      </c>
      <c r="F614" s="2993">
        <v>152.58000000000001</v>
      </c>
      <c r="G614" s="2993">
        <v>0</v>
      </c>
      <c r="H614" s="2990" t="s">
        <v>3348</v>
      </c>
      <c r="I614" s="2990" t="s">
        <v>3346</v>
      </c>
    </row>
    <row r="615" spans="2:9" hidden="1">
      <c r="B615" s="2986" t="s">
        <v>3314</v>
      </c>
      <c r="C615" s="2990" t="s">
        <v>3325</v>
      </c>
      <c r="D615" s="2993">
        <v>1901</v>
      </c>
      <c r="E615" s="2993">
        <v>154.19999999999999</v>
      </c>
      <c r="F615" s="2993">
        <v>154.19999999999999</v>
      </c>
      <c r="G615" s="2993">
        <v>0</v>
      </c>
      <c r="H615" s="2990" t="s">
        <v>3348</v>
      </c>
      <c r="I615" s="2990" t="s">
        <v>3346</v>
      </c>
    </row>
    <row r="616" spans="2:9" hidden="1">
      <c r="B616" s="2986" t="s">
        <v>3314</v>
      </c>
      <c r="C616" s="2990" t="s">
        <v>3325</v>
      </c>
      <c r="D616" s="2993">
        <v>1902</v>
      </c>
      <c r="E616" s="2993">
        <v>152.58000000000001</v>
      </c>
      <c r="F616" s="2993">
        <v>152.58000000000001</v>
      </c>
      <c r="G616" s="2993">
        <v>0</v>
      </c>
      <c r="H616" s="2990" t="s">
        <v>3348</v>
      </c>
      <c r="I616" s="2990" t="s">
        <v>3346</v>
      </c>
    </row>
    <row r="617" spans="2:9">
      <c r="B617" s="2986" t="s">
        <v>3337</v>
      </c>
      <c r="C617" t="s">
        <v>3268</v>
      </c>
      <c r="D617" s="2993">
        <v>-101</v>
      </c>
      <c r="E617" s="2993">
        <v>98.16</v>
      </c>
      <c r="F617" s="2993">
        <v>0</v>
      </c>
      <c r="G617" s="2993">
        <v>98.16</v>
      </c>
      <c r="H617" s="2990" t="s">
        <v>3347</v>
      </c>
      <c r="I617" s="2990" t="s">
        <v>3346</v>
      </c>
    </row>
    <row r="618" spans="2:9">
      <c r="B618" s="2986" t="s">
        <v>3313</v>
      </c>
      <c r="C618" t="s">
        <v>3268</v>
      </c>
      <c r="D618" s="2993">
        <v>-102</v>
      </c>
      <c r="E618" s="2993">
        <v>99.18</v>
      </c>
      <c r="F618" s="2993">
        <v>0</v>
      </c>
      <c r="G618" s="2993">
        <v>99.18</v>
      </c>
      <c r="H618" s="2990" t="s">
        <v>3347</v>
      </c>
      <c r="I618" s="2990" t="s">
        <v>3346</v>
      </c>
    </row>
    <row r="619" spans="2:9">
      <c r="B619" s="2986" t="s">
        <v>3313</v>
      </c>
      <c r="C619" t="s">
        <v>3268</v>
      </c>
      <c r="D619" s="2993">
        <v>101</v>
      </c>
      <c r="E619" s="2993">
        <v>288.20999999999998</v>
      </c>
      <c r="F619">
        <v>184.54000000000002</v>
      </c>
      <c r="G619">
        <v>103.66999999999999</v>
      </c>
      <c r="H619" s="2990" t="s">
        <v>3347</v>
      </c>
      <c r="I619" s="2990" t="s">
        <v>3346</v>
      </c>
    </row>
    <row r="620" spans="2:9">
      <c r="B620" s="2986" t="s">
        <v>3313</v>
      </c>
      <c r="C620" t="s">
        <v>3268</v>
      </c>
      <c r="D620" s="2993">
        <v>102</v>
      </c>
      <c r="E620" s="2993">
        <v>286.77</v>
      </c>
      <c r="F620">
        <v>183.23000000000002</v>
      </c>
      <c r="G620">
        <v>103.53999999999999</v>
      </c>
      <c r="H620" s="2990" t="s">
        <v>3347</v>
      </c>
      <c r="I620" s="2990" t="s">
        <v>3346</v>
      </c>
    </row>
    <row r="621" spans="2:9">
      <c r="B621" s="2986" t="s">
        <v>3313</v>
      </c>
      <c r="C621" t="s">
        <v>3268</v>
      </c>
      <c r="D621" s="2993">
        <v>301</v>
      </c>
      <c r="E621" s="2993">
        <v>208.42</v>
      </c>
      <c r="F621" s="2993">
        <v>208.42</v>
      </c>
      <c r="G621">
        <v>0</v>
      </c>
      <c r="H621" s="2990" t="s">
        <v>3347</v>
      </c>
      <c r="I621" s="2990" t="s">
        <v>3346</v>
      </c>
    </row>
    <row r="622" spans="2:9">
      <c r="B622" s="2986" t="s">
        <v>3313</v>
      </c>
      <c r="C622" t="s">
        <v>3268</v>
      </c>
      <c r="D622" s="2993">
        <v>302</v>
      </c>
      <c r="E622" s="2993">
        <v>206.64</v>
      </c>
      <c r="F622" s="2993">
        <v>206.64</v>
      </c>
      <c r="G622">
        <v>0</v>
      </c>
      <c r="H622" s="2990" t="s">
        <v>3347</v>
      </c>
      <c r="I622" s="2990" t="s">
        <v>3346</v>
      </c>
    </row>
    <row r="623" spans="2:9">
      <c r="B623" s="2986" t="s">
        <v>3313</v>
      </c>
      <c r="C623" t="s">
        <v>3289</v>
      </c>
      <c r="D623" s="2993">
        <v>-101</v>
      </c>
      <c r="E623" s="2993">
        <v>98.16</v>
      </c>
      <c r="F623" s="2993">
        <v>0</v>
      </c>
      <c r="G623" s="2993">
        <v>98.16</v>
      </c>
      <c r="H623" s="2990" t="s">
        <v>3347</v>
      </c>
      <c r="I623" s="2990" t="s">
        <v>3346</v>
      </c>
    </row>
    <row r="624" spans="2:9">
      <c r="B624" s="2986" t="s">
        <v>3313</v>
      </c>
      <c r="C624" t="s">
        <v>3289</v>
      </c>
      <c r="D624" s="2993">
        <v>-102</v>
      </c>
      <c r="E624" s="2993">
        <v>99.18</v>
      </c>
      <c r="F624" s="2993">
        <v>0</v>
      </c>
      <c r="G624" s="2993">
        <v>99.18</v>
      </c>
      <c r="H624" s="2990" t="s">
        <v>3347</v>
      </c>
      <c r="I624" s="2990" t="s">
        <v>3346</v>
      </c>
    </row>
    <row r="625" spans="2:9">
      <c r="B625" s="2986" t="s">
        <v>3313</v>
      </c>
      <c r="C625" t="s">
        <v>3289</v>
      </c>
      <c r="D625" s="2993">
        <v>101</v>
      </c>
      <c r="E625" s="2993">
        <v>286.77</v>
      </c>
      <c r="F625">
        <v>183.23000000000002</v>
      </c>
      <c r="G625">
        <v>103.53999999999999</v>
      </c>
      <c r="H625" s="2990" t="s">
        <v>3347</v>
      </c>
      <c r="I625" s="2990" t="s">
        <v>3346</v>
      </c>
    </row>
    <row r="626" spans="2:9">
      <c r="B626" s="2986" t="s">
        <v>3313</v>
      </c>
      <c r="C626" t="s">
        <v>3289</v>
      </c>
      <c r="D626" s="2993">
        <v>102</v>
      </c>
      <c r="E626" s="2993">
        <v>286.77</v>
      </c>
      <c r="F626">
        <v>183.23000000000002</v>
      </c>
      <c r="G626">
        <v>103.53999999999999</v>
      </c>
      <c r="H626" s="2990" t="s">
        <v>3347</v>
      </c>
      <c r="I626" s="2990" t="s">
        <v>3346</v>
      </c>
    </row>
    <row r="627" spans="2:9">
      <c r="B627" s="2986" t="s">
        <v>3313</v>
      </c>
      <c r="C627" t="s">
        <v>3289</v>
      </c>
      <c r="D627" s="2993">
        <v>301</v>
      </c>
      <c r="E627" s="2993">
        <v>206.62</v>
      </c>
      <c r="F627" s="2993">
        <v>206.62</v>
      </c>
      <c r="G627">
        <v>0</v>
      </c>
      <c r="H627" s="2990" t="s">
        <v>3347</v>
      </c>
      <c r="I627" s="2990" t="s">
        <v>3346</v>
      </c>
    </row>
    <row r="628" spans="2:9">
      <c r="B628" s="2986" t="s">
        <v>3313</v>
      </c>
      <c r="C628" t="s">
        <v>3289</v>
      </c>
      <c r="D628" s="2993">
        <v>302</v>
      </c>
      <c r="E628" s="2993">
        <v>206.62</v>
      </c>
      <c r="F628" s="2993">
        <v>206.62</v>
      </c>
      <c r="G628">
        <v>0</v>
      </c>
      <c r="H628" s="2990" t="s">
        <v>3347</v>
      </c>
      <c r="I628" s="2990" t="s">
        <v>3346</v>
      </c>
    </row>
    <row r="629" spans="2:9">
      <c r="B629" s="2986" t="s">
        <v>3313</v>
      </c>
      <c r="C629" t="s">
        <v>3291</v>
      </c>
      <c r="D629" s="2993">
        <v>-101</v>
      </c>
      <c r="E629" s="2993">
        <v>98.16</v>
      </c>
      <c r="F629" s="2993">
        <v>0</v>
      </c>
      <c r="G629" s="2993">
        <v>98.16</v>
      </c>
      <c r="H629" s="2990" t="s">
        <v>3347</v>
      </c>
      <c r="I629" s="2990" t="s">
        <v>3346</v>
      </c>
    </row>
    <row r="630" spans="2:9">
      <c r="B630" s="2986" t="s">
        <v>3313</v>
      </c>
      <c r="C630" t="s">
        <v>3291</v>
      </c>
      <c r="D630" s="2993">
        <v>-102</v>
      </c>
      <c r="E630" s="2993">
        <v>101.12</v>
      </c>
      <c r="F630" s="2993">
        <v>0</v>
      </c>
      <c r="G630" s="2993">
        <v>101.12</v>
      </c>
      <c r="H630" s="2990" t="s">
        <v>3347</v>
      </c>
      <c r="I630" s="2990" t="s">
        <v>3346</v>
      </c>
    </row>
    <row r="631" spans="2:9">
      <c r="B631" s="2986" t="s">
        <v>3313</v>
      </c>
      <c r="C631" t="s">
        <v>3291</v>
      </c>
      <c r="D631" s="2993">
        <v>101</v>
      </c>
      <c r="E631" s="2993">
        <v>286.77</v>
      </c>
      <c r="F631">
        <v>183.23000000000002</v>
      </c>
      <c r="G631">
        <v>103.53999999999999</v>
      </c>
      <c r="H631" s="2990" t="s">
        <v>3347</v>
      </c>
      <c r="I631" s="2990" t="s">
        <v>3346</v>
      </c>
    </row>
    <row r="632" spans="2:9">
      <c r="B632" s="2986" t="s">
        <v>3313</v>
      </c>
      <c r="C632" t="s">
        <v>3291</v>
      </c>
      <c r="D632" s="2993">
        <v>102</v>
      </c>
      <c r="E632" s="2993">
        <v>289.60000000000002</v>
      </c>
      <c r="F632">
        <v>183.22999999999996</v>
      </c>
      <c r="G632">
        <v>106.36999999999999</v>
      </c>
      <c r="H632" s="2990" t="s">
        <v>3347</v>
      </c>
      <c r="I632" s="2990" t="s">
        <v>3346</v>
      </c>
    </row>
    <row r="633" spans="2:9">
      <c r="B633" s="2986" t="s">
        <v>3313</v>
      </c>
      <c r="C633" t="s">
        <v>3291</v>
      </c>
      <c r="D633" s="2993">
        <v>301</v>
      </c>
      <c r="E633" s="2993">
        <v>206.62</v>
      </c>
      <c r="F633" s="2993">
        <v>206.62</v>
      </c>
      <c r="G633">
        <v>0</v>
      </c>
      <c r="H633" s="2990" t="s">
        <v>3347</v>
      </c>
      <c r="I633" s="2990" t="s">
        <v>3346</v>
      </c>
    </row>
    <row r="634" spans="2:9">
      <c r="B634" s="2986" t="s">
        <v>3313</v>
      </c>
      <c r="C634" t="s">
        <v>3291</v>
      </c>
      <c r="D634" s="2993">
        <v>302</v>
      </c>
      <c r="E634" s="2993">
        <v>206.62</v>
      </c>
      <c r="F634" s="2993">
        <v>206.62</v>
      </c>
      <c r="G634">
        <v>0</v>
      </c>
      <c r="H634" s="2990" t="s">
        <v>3347</v>
      </c>
      <c r="I634" s="2990" t="s">
        <v>3346</v>
      </c>
    </row>
    <row r="635" spans="2:9">
      <c r="B635" s="2986" t="s">
        <v>3313</v>
      </c>
      <c r="C635" t="s">
        <v>3327</v>
      </c>
      <c r="D635" s="2993">
        <v>-101</v>
      </c>
      <c r="E635" s="2993">
        <v>100.11</v>
      </c>
      <c r="F635" s="2993">
        <v>0</v>
      </c>
      <c r="G635" s="2993">
        <v>100.11</v>
      </c>
      <c r="H635" s="2990" t="s">
        <v>3347</v>
      </c>
      <c r="I635" s="2990" t="s">
        <v>3346</v>
      </c>
    </row>
    <row r="636" spans="2:9">
      <c r="B636" s="2986" t="s">
        <v>3313</v>
      </c>
      <c r="C636" t="s">
        <v>3327</v>
      </c>
      <c r="D636" s="2993">
        <v>-102</v>
      </c>
      <c r="E636" s="2993">
        <v>99.18</v>
      </c>
      <c r="F636" s="2993">
        <v>0</v>
      </c>
      <c r="G636" s="2993">
        <v>99.18</v>
      </c>
      <c r="H636" s="2990" t="s">
        <v>3347</v>
      </c>
      <c r="I636" s="2990" t="s">
        <v>3346</v>
      </c>
    </row>
    <row r="637" spans="2:9">
      <c r="B637" s="2986" t="s">
        <v>3313</v>
      </c>
      <c r="C637" t="s">
        <v>3327</v>
      </c>
      <c r="D637" s="2993">
        <v>101</v>
      </c>
      <c r="E637" s="2993">
        <v>289.60000000000002</v>
      </c>
      <c r="F637">
        <v>183.22999999999996</v>
      </c>
      <c r="G637">
        <v>106.36999999999999</v>
      </c>
      <c r="H637" s="2990" t="s">
        <v>3347</v>
      </c>
      <c r="I637" s="2990" t="s">
        <v>3346</v>
      </c>
    </row>
    <row r="638" spans="2:9">
      <c r="B638" s="2986" t="s">
        <v>3313</v>
      </c>
      <c r="C638" t="s">
        <v>3327</v>
      </c>
      <c r="D638" s="2993">
        <v>102</v>
      </c>
      <c r="E638" s="2993">
        <v>286.77</v>
      </c>
      <c r="F638">
        <v>183.23000000000002</v>
      </c>
      <c r="G638">
        <v>103.53999999999999</v>
      </c>
      <c r="H638" s="2990" t="s">
        <v>3347</v>
      </c>
      <c r="I638" s="2990" t="s">
        <v>3346</v>
      </c>
    </row>
    <row r="639" spans="2:9">
      <c r="B639" s="2986" t="s">
        <v>3313</v>
      </c>
      <c r="C639" t="s">
        <v>3327</v>
      </c>
      <c r="D639" s="2993">
        <v>301</v>
      </c>
      <c r="E639" s="2993">
        <v>206.62</v>
      </c>
      <c r="F639" s="2993">
        <v>206.62</v>
      </c>
      <c r="G639">
        <v>0</v>
      </c>
      <c r="H639" s="2990" t="s">
        <v>3347</v>
      </c>
      <c r="I639" s="2990" t="s">
        <v>3346</v>
      </c>
    </row>
    <row r="640" spans="2:9">
      <c r="B640" s="2986" t="s">
        <v>3313</v>
      </c>
      <c r="C640" t="s">
        <v>3327</v>
      </c>
      <c r="D640" s="2993">
        <v>302</v>
      </c>
      <c r="E640" s="2993">
        <v>206.62</v>
      </c>
      <c r="F640" s="2993">
        <v>206.62</v>
      </c>
      <c r="G640">
        <v>0</v>
      </c>
      <c r="H640" s="2990" t="s">
        <v>3347</v>
      </c>
      <c r="I640" s="2990" t="s">
        <v>3346</v>
      </c>
    </row>
    <row r="641" spans="2:9">
      <c r="B641" s="2986" t="s">
        <v>3313</v>
      </c>
      <c r="C641" t="s">
        <v>3328</v>
      </c>
      <c r="D641" s="2993">
        <v>-101</v>
      </c>
      <c r="E641" s="2993">
        <v>98.16</v>
      </c>
      <c r="F641" s="2993">
        <v>0</v>
      </c>
      <c r="G641" s="2993">
        <v>98.16</v>
      </c>
      <c r="H641" s="2990" t="s">
        <v>3347</v>
      </c>
      <c r="I641" s="2990" t="s">
        <v>3346</v>
      </c>
    </row>
    <row r="642" spans="2:9">
      <c r="B642" s="2986" t="s">
        <v>3313</v>
      </c>
      <c r="C642" t="s">
        <v>3328</v>
      </c>
      <c r="D642" s="2993">
        <v>-102</v>
      </c>
      <c r="E642" s="2993">
        <v>153.72</v>
      </c>
      <c r="F642" s="2993">
        <v>0</v>
      </c>
      <c r="G642" s="2993">
        <v>153.72</v>
      </c>
      <c r="H642" s="2990" t="s">
        <v>3347</v>
      </c>
      <c r="I642" s="2990" t="s">
        <v>3346</v>
      </c>
    </row>
    <row r="643" spans="2:9">
      <c r="B643" s="2986" t="s">
        <v>3313</v>
      </c>
      <c r="C643" t="s">
        <v>3328</v>
      </c>
      <c r="D643" s="2993">
        <v>101</v>
      </c>
      <c r="E643" s="2993">
        <v>286.77</v>
      </c>
      <c r="F643">
        <v>183.23000000000002</v>
      </c>
      <c r="G643">
        <v>103.53999999999999</v>
      </c>
      <c r="H643" s="2990" t="s">
        <v>3347</v>
      </c>
      <c r="I643" s="2990" t="s">
        <v>3346</v>
      </c>
    </row>
    <row r="644" spans="2:9">
      <c r="B644" s="2986" t="s">
        <v>3313</v>
      </c>
      <c r="C644" t="s">
        <v>3328</v>
      </c>
      <c r="D644" s="2993">
        <v>102</v>
      </c>
      <c r="E644" s="2993">
        <v>387.06</v>
      </c>
      <c r="F644">
        <v>259.18999999999994</v>
      </c>
      <c r="G644">
        <v>127.87</v>
      </c>
      <c r="H644" s="2990" t="s">
        <v>3347</v>
      </c>
      <c r="I644" s="2990" t="s">
        <v>3346</v>
      </c>
    </row>
    <row r="645" spans="2:9">
      <c r="B645" s="2986" t="s">
        <v>3313</v>
      </c>
      <c r="C645" t="s">
        <v>3328</v>
      </c>
      <c r="D645" s="2993">
        <v>301</v>
      </c>
      <c r="E645" s="2993">
        <v>206.62</v>
      </c>
      <c r="F645" s="2993">
        <v>206.62</v>
      </c>
      <c r="G645">
        <v>0</v>
      </c>
      <c r="H645" s="2990" t="s">
        <v>3347</v>
      </c>
      <c r="I645" s="2990" t="s">
        <v>3346</v>
      </c>
    </row>
    <row r="646" spans="2:9">
      <c r="B646" s="2986" t="s">
        <v>3313</v>
      </c>
      <c r="C646" t="s">
        <v>3328</v>
      </c>
      <c r="D646" s="2993">
        <v>302</v>
      </c>
      <c r="E646" s="2993">
        <v>288.04000000000002</v>
      </c>
      <c r="F646" s="2993">
        <v>288.04000000000002</v>
      </c>
      <c r="G646">
        <v>0</v>
      </c>
      <c r="H646" s="2990" t="s">
        <v>3347</v>
      </c>
      <c r="I646" s="2990" t="s">
        <v>3346</v>
      </c>
    </row>
    <row r="647" spans="2:9">
      <c r="B647" s="2986" t="s">
        <v>3336</v>
      </c>
      <c r="C647" t="s">
        <v>3268</v>
      </c>
      <c r="D647" s="2993">
        <v>-101</v>
      </c>
      <c r="E647" s="2993">
        <v>98.16</v>
      </c>
      <c r="F647" s="2993">
        <v>0</v>
      </c>
      <c r="G647" s="2993">
        <v>98.16</v>
      </c>
      <c r="H647" s="2990" t="s">
        <v>3347</v>
      </c>
      <c r="I647" s="2990" t="s">
        <v>3346</v>
      </c>
    </row>
    <row r="648" spans="2:9">
      <c r="B648" s="2986" t="s">
        <v>3312</v>
      </c>
      <c r="C648" t="s">
        <v>3268</v>
      </c>
      <c r="D648" s="2993">
        <v>-102</v>
      </c>
      <c r="E648" s="2993">
        <v>99.18</v>
      </c>
      <c r="F648" s="2993">
        <v>0</v>
      </c>
      <c r="G648" s="2993">
        <v>99.18</v>
      </c>
      <c r="H648" s="2990" t="s">
        <v>3347</v>
      </c>
      <c r="I648" s="2990" t="s">
        <v>3346</v>
      </c>
    </row>
    <row r="649" spans="2:9">
      <c r="B649" s="2986" t="s">
        <v>3312</v>
      </c>
      <c r="C649" t="s">
        <v>3268</v>
      </c>
      <c r="D649" s="2993">
        <v>101</v>
      </c>
      <c r="E649" s="2993">
        <v>288.20999999999998</v>
      </c>
      <c r="F649">
        <v>184.54000000000002</v>
      </c>
      <c r="G649">
        <v>103.66999999999999</v>
      </c>
      <c r="H649" s="2990" t="s">
        <v>3347</v>
      </c>
      <c r="I649" s="2990" t="s">
        <v>3346</v>
      </c>
    </row>
    <row r="650" spans="2:9">
      <c r="B650" s="2986" t="s">
        <v>3312</v>
      </c>
      <c r="C650" t="s">
        <v>3268</v>
      </c>
      <c r="D650" s="2993">
        <v>102</v>
      </c>
      <c r="E650" s="2993">
        <v>286.77</v>
      </c>
      <c r="F650">
        <v>183.23000000000002</v>
      </c>
      <c r="G650">
        <v>103.53999999999999</v>
      </c>
      <c r="H650" s="2990" t="s">
        <v>3347</v>
      </c>
      <c r="I650" s="2990" t="s">
        <v>3346</v>
      </c>
    </row>
    <row r="651" spans="2:9">
      <c r="B651" s="2986" t="s">
        <v>3312</v>
      </c>
      <c r="C651" t="s">
        <v>3268</v>
      </c>
      <c r="D651" s="2993">
        <v>301</v>
      </c>
      <c r="E651" s="2993">
        <v>208.42</v>
      </c>
      <c r="F651" s="2993">
        <v>208.42</v>
      </c>
      <c r="G651" s="2993">
        <v>0</v>
      </c>
      <c r="H651" s="2990" t="s">
        <v>3347</v>
      </c>
      <c r="I651" s="2990" t="s">
        <v>3346</v>
      </c>
    </row>
    <row r="652" spans="2:9">
      <c r="B652" s="2986" t="s">
        <v>3312</v>
      </c>
      <c r="C652" t="s">
        <v>3268</v>
      </c>
      <c r="D652" s="2993">
        <v>302</v>
      </c>
      <c r="E652" s="2993">
        <v>206.64</v>
      </c>
      <c r="F652" s="2993">
        <v>206.64</v>
      </c>
      <c r="G652" s="2993">
        <v>0</v>
      </c>
      <c r="H652" s="2990" t="s">
        <v>3347</v>
      </c>
      <c r="I652" s="2990" t="s">
        <v>3346</v>
      </c>
    </row>
    <row r="653" spans="2:9">
      <c r="B653" s="2986" t="s">
        <v>3312</v>
      </c>
      <c r="C653" t="s">
        <v>3289</v>
      </c>
      <c r="D653" s="2993">
        <v>-101</v>
      </c>
      <c r="E653" s="2993">
        <v>98.16</v>
      </c>
      <c r="F653" s="2993">
        <v>0</v>
      </c>
      <c r="G653" s="2993">
        <v>98.16</v>
      </c>
      <c r="H653" s="2990" t="s">
        <v>3347</v>
      </c>
      <c r="I653" s="2990" t="s">
        <v>3346</v>
      </c>
    </row>
    <row r="654" spans="2:9">
      <c r="B654" s="2986" t="s">
        <v>3312</v>
      </c>
      <c r="C654" t="s">
        <v>3289</v>
      </c>
      <c r="D654" s="2993">
        <v>-102</v>
      </c>
      <c r="E654" s="2993">
        <v>99.18</v>
      </c>
      <c r="F654" s="2993">
        <v>0</v>
      </c>
      <c r="G654" s="2993">
        <v>99.18</v>
      </c>
      <c r="H654" s="2990" t="s">
        <v>3347</v>
      </c>
      <c r="I654" s="2990" t="s">
        <v>3346</v>
      </c>
    </row>
    <row r="655" spans="2:9">
      <c r="B655" s="2986" t="s">
        <v>3312</v>
      </c>
      <c r="C655" t="s">
        <v>3289</v>
      </c>
      <c r="D655" s="2993">
        <v>101</v>
      </c>
      <c r="E655" s="2993">
        <v>286.77</v>
      </c>
      <c r="F655">
        <v>183.23000000000002</v>
      </c>
      <c r="G655">
        <v>103.53999999999999</v>
      </c>
      <c r="H655" s="2990" t="s">
        <v>3347</v>
      </c>
      <c r="I655" s="2990" t="s">
        <v>3346</v>
      </c>
    </row>
    <row r="656" spans="2:9">
      <c r="B656" s="2986" t="s">
        <v>3312</v>
      </c>
      <c r="C656" t="s">
        <v>3289</v>
      </c>
      <c r="D656" s="2993">
        <v>102</v>
      </c>
      <c r="E656" s="2993">
        <v>286.77</v>
      </c>
      <c r="F656">
        <v>183.23000000000002</v>
      </c>
      <c r="G656">
        <v>103.53999999999999</v>
      </c>
      <c r="H656" s="2990" t="s">
        <v>3347</v>
      </c>
      <c r="I656" s="2990" t="s">
        <v>3346</v>
      </c>
    </row>
    <row r="657" spans="2:9">
      <c r="B657" s="2986" t="s">
        <v>3312</v>
      </c>
      <c r="C657" t="s">
        <v>3289</v>
      </c>
      <c r="D657" s="2993">
        <v>301</v>
      </c>
      <c r="E657" s="2993">
        <v>206.62</v>
      </c>
      <c r="F657" s="2993">
        <v>206.62</v>
      </c>
      <c r="G657" s="2993">
        <v>0</v>
      </c>
      <c r="H657" s="2990" t="s">
        <v>3347</v>
      </c>
      <c r="I657" s="2990" t="s">
        <v>3346</v>
      </c>
    </row>
    <row r="658" spans="2:9">
      <c r="B658" s="2986" t="s">
        <v>3312</v>
      </c>
      <c r="C658" t="s">
        <v>3289</v>
      </c>
      <c r="D658" s="2993">
        <v>302</v>
      </c>
      <c r="E658" s="2993">
        <v>206.62</v>
      </c>
      <c r="F658" s="2993">
        <v>206.62</v>
      </c>
      <c r="G658" s="2993">
        <v>0</v>
      </c>
      <c r="H658" s="2990" t="s">
        <v>3347</v>
      </c>
      <c r="I658" s="2990" t="s">
        <v>3346</v>
      </c>
    </row>
    <row r="659" spans="2:9">
      <c r="B659" s="2986" t="s">
        <v>3312</v>
      </c>
      <c r="C659" t="s">
        <v>3291</v>
      </c>
      <c r="D659" s="2993">
        <v>-101</v>
      </c>
      <c r="E659" s="2993">
        <v>98.16</v>
      </c>
      <c r="F659" s="2993">
        <v>0</v>
      </c>
      <c r="G659" s="2993">
        <v>98.16</v>
      </c>
      <c r="H659" s="2990" t="s">
        <v>3347</v>
      </c>
      <c r="I659" s="2990" t="s">
        <v>3346</v>
      </c>
    </row>
    <row r="660" spans="2:9">
      <c r="B660" s="2986" t="s">
        <v>3312</v>
      </c>
      <c r="C660" t="s">
        <v>3291</v>
      </c>
      <c r="D660" s="2993">
        <v>-102</v>
      </c>
      <c r="E660" s="2993">
        <v>101.12</v>
      </c>
      <c r="F660" s="2993">
        <v>0</v>
      </c>
      <c r="G660" s="2993">
        <v>101.12</v>
      </c>
      <c r="H660" s="2990" t="s">
        <v>3347</v>
      </c>
      <c r="I660" s="2990" t="s">
        <v>3346</v>
      </c>
    </row>
    <row r="661" spans="2:9">
      <c r="B661" s="2986" t="s">
        <v>3312</v>
      </c>
      <c r="C661" t="s">
        <v>3291</v>
      </c>
      <c r="D661" s="2993">
        <v>101</v>
      </c>
      <c r="E661" s="2993">
        <v>286.77</v>
      </c>
      <c r="F661">
        <v>183.23000000000002</v>
      </c>
      <c r="G661">
        <v>103.53999999999999</v>
      </c>
      <c r="H661" s="2990" t="s">
        <v>3347</v>
      </c>
      <c r="I661" s="2990" t="s">
        <v>3346</v>
      </c>
    </row>
    <row r="662" spans="2:9">
      <c r="B662" s="2986" t="s">
        <v>3312</v>
      </c>
      <c r="C662" t="s">
        <v>3291</v>
      </c>
      <c r="D662" s="2993">
        <v>102</v>
      </c>
      <c r="E662" s="2993">
        <v>289.60000000000002</v>
      </c>
      <c r="F662">
        <v>183.22999999999996</v>
      </c>
      <c r="G662">
        <v>106.36999999999999</v>
      </c>
      <c r="H662" s="2990" t="s">
        <v>3347</v>
      </c>
      <c r="I662" s="2990" t="s">
        <v>3346</v>
      </c>
    </row>
    <row r="663" spans="2:9">
      <c r="B663" s="2986" t="s">
        <v>3312</v>
      </c>
      <c r="C663" t="s">
        <v>3291</v>
      </c>
      <c r="D663" s="2993">
        <v>301</v>
      </c>
      <c r="E663" s="2993">
        <v>206.62</v>
      </c>
      <c r="F663" s="2993">
        <v>206.62</v>
      </c>
      <c r="G663" s="2993">
        <v>0</v>
      </c>
      <c r="H663" s="2990" t="s">
        <v>3347</v>
      </c>
      <c r="I663" s="2990" t="s">
        <v>3346</v>
      </c>
    </row>
    <row r="664" spans="2:9">
      <c r="B664" s="2986" t="s">
        <v>3312</v>
      </c>
      <c r="C664" t="s">
        <v>3291</v>
      </c>
      <c r="D664" s="2993">
        <v>302</v>
      </c>
      <c r="E664" s="2993">
        <v>206.62</v>
      </c>
      <c r="F664" s="2993">
        <v>206.62</v>
      </c>
      <c r="G664" s="2993">
        <v>0</v>
      </c>
      <c r="H664" s="2990" t="s">
        <v>3347</v>
      </c>
      <c r="I664" s="2990" t="s">
        <v>3346</v>
      </c>
    </row>
    <row r="665" spans="2:9">
      <c r="B665" s="2986" t="s">
        <v>3312</v>
      </c>
      <c r="C665" t="s">
        <v>3327</v>
      </c>
      <c r="D665" s="2993">
        <v>-101</v>
      </c>
      <c r="E665" s="2993">
        <v>100.11</v>
      </c>
      <c r="F665" s="2993">
        <v>0</v>
      </c>
      <c r="G665" s="2993">
        <v>100.11</v>
      </c>
      <c r="H665" s="2990" t="s">
        <v>3347</v>
      </c>
      <c r="I665" s="2990" t="s">
        <v>3346</v>
      </c>
    </row>
    <row r="666" spans="2:9">
      <c r="B666" s="2986" t="s">
        <v>3312</v>
      </c>
      <c r="C666" t="s">
        <v>3327</v>
      </c>
      <c r="D666" s="2993">
        <v>-102</v>
      </c>
      <c r="E666" s="2993">
        <v>99.18</v>
      </c>
      <c r="F666" s="2993">
        <v>0</v>
      </c>
      <c r="G666" s="2993">
        <v>99.18</v>
      </c>
      <c r="H666" s="2990" t="s">
        <v>3347</v>
      </c>
      <c r="I666" s="2990" t="s">
        <v>3346</v>
      </c>
    </row>
    <row r="667" spans="2:9">
      <c r="B667" s="2986" t="s">
        <v>3312</v>
      </c>
      <c r="C667" t="s">
        <v>3327</v>
      </c>
      <c r="D667" s="2993">
        <v>101</v>
      </c>
      <c r="E667" s="2993">
        <v>289.60000000000002</v>
      </c>
      <c r="F667">
        <v>183.22999999999996</v>
      </c>
      <c r="G667">
        <v>106.36999999999999</v>
      </c>
      <c r="H667" s="2990" t="s">
        <v>3347</v>
      </c>
      <c r="I667" s="2990" t="s">
        <v>3346</v>
      </c>
    </row>
    <row r="668" spans="2:9">
      <c r="B668" s="2986" t="s">
        <v>3312</v>
      </c>
      <c r="C668" t="s">
        <v>3327</v>
      </c>
      <c r="D668" s="2993">
        <v>102</v>
      </c>
      <c r="E668" s="2993">
        <v>286.77</v>
      </c>
      <c r="F668">
        <v>183.23000000000002</v>
      </c>
      <c r="G668">
        <v>103.53999999999999</v>
      </c>
      <c r="H668" s="2990" t="s">
        <v>3347</v>
      </c>
      <c r="I668" s="2990" t="s">
        <v>3346</v>
      </c>
    </row>
    <row r="669" spans="2:9">
      <c r="B669" s="2986" t="s">
        <v>3312</v>
      </c>
      <c r="C669" t="s">
        <v>3327</v>
      </c>
      <c r="D669" s="2993">
        <v>301</v>
      </c>
      <c r="E669" s="2993">
        <v>206.62</v>
      </c>
      <c r="F669" s="2993">
        <v>206.62</v>
      </c>
      <c r="G669" s="2993">
        <v>0</v>
      </c>
      <c r="H669" s="2990" t="s">
        <v>3347</v>
      </c>
      <c r="I669" s="2990" t="s">
        <v>3346</v>
      </c>
    </row>
    <row r="670" spans="2:9">
      <c r="B670" s="2986" t="s">
        <v>3312</v>
      </c>
      <c r="C670" t="s">
        <v>3327</v>
      </c>
      <c r="D670" s="2993">
        <v>302</v>
      </c>
      <c r="E670" s="2993">
        <v>206.62</v>
      </c>
      <c r="F670" s="2993">
        <v>206.62</v>
      </c>
      <c r="G670" s="2993">
        <v>0</v>
      </c>
      <c r="H670" s="2990" t="s">
        <v>3347</v>
      </c>
      <c r="I670" s="2990" t="s">
        <v>3346</v>
      </c>
    </row>
    <row r="671" spans="2:9">
      <c r="B671" s="2986" t="s">
        <v>3312</v>
      </c>
      <c r="C671" t="s">
        <v>3328</v>
      </c>
      <c r="D671" s="2993">
        <v>-101</v>
      </c>
      <c r="E671" s="2993">
        <v>98.16</v>
      </c>
      <c r="F671" s="2993">
        <v>0</v>
      </c>
      <c r="G671" s="2993">
        <v>98.16</v>
      </c>
      <c r="H671" s="2990" t="s">
        <v>3347</v>
      </c>
      <c r="I671" s="2990" t="s">
        <v>3346</v>
      </c>
    </row>
    <row r="672" spans="2:9">
      <c r="B672" s="2986" t="s">
        <v>3312</v>
      </c>
      <c r="C672" t="s">
        <v>3328</v>
      </c>
      <c r="D672" s="2993">
        <v>-102</v>
      </c>
      <c r="E672" s="2993">
        <v>153.72</v>
      </c>
      <c r="F672" s="2993">
        <v>0</v>
      </c>
      <c r="G672" s="2993">
        <v>153.72</v>
      </c>
      <c r="H672" s="2990" t="s">
        <v>3347</v>
      </c>
      <c r="I672" s="2990" t="s">
        <v>3346</v>
      </c>
    </row>
    <row r="673" spans="2:9">
      <c r="B673" s="2986" t="s">
        <v>3312</v>
      </c>
      <c r="C673" t="s">
        <v>3328</v>
      </c>
      <c r="D673" s="2993">
        <v>101</v>
      </c>
      <c r="E673" s="2993">
        <v>286.77</v>
      </c>
      <c r="F673">
        <v>183.23000000000002</v>
      </c>
      <c r="G673">
        <v>103.53999999999999</v>
      </c>
      <c r="H673" s="2990" t="s">
        <v>3347</v>
      </c>
      <c r="I673" s="2990" t="s">
        <v>3346</v>
      </c>
    </row>
    <row r="674" spans="2:9">
      <c r="B674" s="2986" t="s">
        <v>3312</v>
      </c>
      <c r="C674" t="s">
        <v>3328</v>
      </c>
      <c r="D674" s="2993">
        <v>102</v>
      </c>
      <c r="E674" s="2993">
        <v>387.06</v>
      </c>
      <c r="F674">
        <v>259.18999999999994</v>
      </c>
      <c r="G674">
        <v>127.87</v>
      </c>
      <c r="H674" s="2990" t="s">
        <v>3347</v>
      </c>
      <c r="I674" s="2990" t="s">
        <v>3346</v>
      </c>
    </row>
    <row r="675" spans="2:9">
      <c r="B675" s="2986" t="s">
        <v>3312</v>
      </c>
      <c r="C675" t="s">
        <v>3328</v>
      </c>
      <c r="D675" s="2993">
        <v>301</v>
      </c>
      <c r="E675" s="2993">
        <v>206.62</v>
      </c>
      <c r="F675" s="2993">
        <v>206.62</v>
      </c>
      <c r="G675" s="2993">
        <v>0</v>
      </c>
      <c r="H675" s="2990" t="s">
        <v>3347</v>
      </c>
      <c r="I675" s="2990" t="s">
        <v>3346</v>
      </c>
    </row>
    <row r="676" spans="2:9">
      <c r="B676" s="2986" t="s">
        <v>3312</v>
      </c>
      <c r="C676" t="s">
        <v>3328</v>
      </c>
      <c r="D676" s="2993">
        <v>302</v>
      </c>
      <c r="E676" s="2993">
        <v>288.04000000000002</v>
      </c>
      <c r="F676" s="2993">
        <v>288.04000000000002</v>
      </c>
      <c r="G676" s="2993">
        <v>0</v>
      </c>
      <c r="H676" s="2990" t="s">
        <v>3347</v>
      </c>
      <c r="I676" s="2990" t="s">
        <v>3346</v>
      </c>
    </row>
    <row r="677" spans="2:9" hidden="1">
      <c r="B677" s="2986" t="s">
        <v>3335</v>
      </c>
      <c r="C677" s="2990" t="s">
        <v>3322</v>
      </c>
      <c r="D677" s="2993">
        <v>101</v>
      </c>
      <c r="E677" s="2993">
        <v>341.54</v>
      </c>
      <c r="F677">
        <v>155.28</v>
      </c>
      <c r="G677">
        <v>186.26</v>
      </c>
      <c r="H677" s="2990" t="s">
        <v>3348</v>
      </c>
      <c r="I677" s="2990" t="s">
        <v>3346</v>
      </c>
    </row>
    <row r="678" spans="2:9" hidden="1">
      <c r="B678" s="2986" t="s">
        <v>3335</v>
      </c>
      <c r="C678" s="2990" t="s">
        <v>3322</v>
      </c>
      <c r="D678" s="2993">
        <v>102</v>
      </c>
      <c r="E678" s="2993">
        <v>294.39</v>
      </c>
      <c r="F678">
        <v>133.53</v>
      </c>
      <c r="G678">
        <v>160.86000000000001</v>
      </c>
      <c r="H678" s="2990" t="s">
        <v>3348</v>
      </c>
      <c r="I678" s="2990" t="s">
        <v>3346</v>
      </c>
    </row>
    <row r="679" spans="2:9" hidden="1">
      <c r="B679" s="2986" t="s">
        <v>3311</v>
      </c>
      <c r="C679" s="2990" t="s">
        <v>3268</v>
      </c>
      <c r="D679" s="2993">
        <v>201</v>
      </c>
      <c r="E679" s="2993">
        <v>183.86</v>
      </c>
      <c r="F679" s="2993">
        <v>183.86</v>
      </c>
      <c r="G679" s="2993">
        <v>0</v>
      </c>
      <c r="H679" s="2990" t="s">
        <v>3348</v>
      </c>
      <c r="I679" s="2990" t="s">
        <v>3346</v>
      </c>
    </row>
    <row r="680" spans="2:9" hidden="1">
      <c r="B680" s="2986" t="s">
        <v>3311</v>
      </c>
      <c r="C680" s="2990" t="s">
        <v>3268</v>
      </c>
      <c r="D680" s="2993">
        <v>202</v>
      </c>
      <c r="E680" s="2993">
        <v>153.55000000000001</v>
      </c>
      <c r="F680" s="2993">
        <v>153.55000000000001</v>
      </c>
      <c r="G680" s="2993">
        <v>0</v>
      </c>
      <c r="H680" s="2990" t="s">
        <v>3348</v>
      </c>
      <c r="I680" s="2990" t="s">
        <v>3346</v>
      </c>
    </row>
    <row r="681" spans="2:9" hidden="1">
      <c r="B681" s="2986" t="s">
        <v>3311</v>
      </c>
      <c r="C681" s="2990" t="s">
        <v>3268</v>
      </c>
      <c r="D681" s="2993">
        <v>301</v>
      </c>
      <c r="E681" s="2993">
        <v>184.17</v>
      </c>
      <c r="F681" s="2993">
        <v>184.17</v>
      </c>
      <c r="G681" s="2993">
        <v>0</v>
      </c>
      <c r="H681" s="2990" t="s">
        <v>3348</v>
      </c>
      <c r="I681" s="2990" t="s">
        <v>3346</v>
      </c>
    </row>
    <row r="682" spans="2:9" hidden="1">
      <c r="B682" s="2986" t="s">
        <v>3311</v>
      </c>
      <c r="C682" s="2990" t="s">
        <v>3268</v>
      </c>
      <c r="D682" s="2993">
        <v>302</v>
      </c>
      <c r="E682" s="2993">
        <v>154.16</v>
      </c>
      <c r="F682" s="2993">
        <v>154.16</v>
      </c>
      <c r="G682" s="2993">
        <v>0</v>
      </c>
      <c r="H682" s="2990" t="s">
        <v>3348</v>
      </c>
      <c r="I682" s="2990" t="s">
        <v>3346</v>
      </c>
    </row>
    <row r="683" spans="2:9" hidden="1">
      <c r="B683" s="2986" t="s">
        <v>3311</v>
      </c>
      <c r="C683" s="2990" t="s">
        <v>3268</v>
      </c>
      <c r="D683" s="2993">
        <v>401</v>
      </c>
      <c r="E683" s="2993">
        <v>184.17</v>
      </c>
      <c r="F683" s="2993">
        <v>184.17</v>
      </c>
      <c r="G683" s="2993">
        <v>0</v>
      </c>
      <c r="H683" s="2990" t="s">
        <v>3348</v>
      </c>
      <c r="I683" s="2990" t="s">
        <v>3346</v>
      </c>
    </row>
    <row r="684" spans="2:9" hidden="1">
      <c r="B684" s="2986" t="s">
        <v>3311</v>
      </c>
      <c r="C684" s="2990" t="s">
        <v>3268</v>
      </c>
      <c r="D684" s="2993">
        <v>402</v>
      </c>
      <c r="E684" s="2993">
        <v>154.16</v>
      </c>
      <c r="F684" s="2993">
        <v>154.16</v>
      </c>
      <c r="G684" s="2993">
        <v>0</v>
      </c>
      <c r="H684" s="2990" t="s">
        <v>3348</v>
      </c>
      <c r="I684" s="2990" t="s">
        <v>3346</v>
      </c>
    </row>
    <row r="685" spans="2:9" hidden="1">
      <c r="B685" s="2986" t="s">
        <v>3311</v>
      </c>
      <c r="C685" s="2990" t="s">
        <v>3268</v>
      </c>
      <c r="D685" s="2993">
        <v>501</v>
      </c>
      <c r="E685" s="2993">
        <v>184.17</v>
      </c>
      <c r="F685" s="2993">
        <v>184.17</v>
      </c>
      <c r="G685" s="2993">
        <v>0</v>
      </c>
      <c r="H685" s="2990" t="s">
        <v>3348</v>
      </c>
      <c r="I685" s="2990" t="s">
        <v>3346</v>
      </c>
    </row>
    <row r="686" spans="2:9" hidden="1">
      <c r="B686" s="2986" t="s">
        <v>3311</v>
      </c>
      <c r="C686" s="2990" t="s">
        <v>3268</v>
      </c>
      <c r="D686" s="2993">
        <v>502</v>
      </c>
      <c r="E686" s="2993">
        <v>154.16</v>
      </c>
      <c r="F686" s="2993">
        <v>154.16</v>
      </c>
      <c r="G686" s="2993">
        <v>0</v>
      </c>
      <c r="H686" s="2990" t="s">
        <v>3348</v>
      </c>
      <c r="I686" s="2990" t="s">
        <v>3346</v>
      </c>
    </row>
    <row r="687" spans="2:9" hidden="1">
      <c r="B687" s="2986" t="s">
        <v>3311</v>
      </c>
      <c r="C687" s="2990" t="s">
        <v>3268</v>
      </c>
      <c r="D687" s="2993">
        <v>601</v>
      </c>
      <c r="E687" s="2993">
        <v>184.17</v>
      </c>
      <c r="F687" s="2993">
        <v>184.17</v>
      </c>
      <c r="G687" s="2993">
        <v>0</v>
      </c>
      <c r="H687" s="2990" t="s">
        <v>3348</v>
      </c>
      <c r="I687" s="2990" t="s">
        <v>3346</v>
      </c>
    </row>
    <row r="688" spans="2:9" hidden="1">
      <c r="B688" s="2986" t="s">
        <v>3311</v>
      </c>
      <c r="C688" s="2990" t="s">
        <v>3268</v>
      </c>
      <c r="D688" s="2993">
        <v>602</v>
      </c>
      <c r="E688" s="2993">
        <v>154.16</v>
      </c>
      <c r="F688" s="2993">
        <v>154.16</v>
      </c>
      <c r="G688" s="2993">
        <v>0</v>
      </c>
      <c r="H688" s="2990" t="s">
        <v>3348</v>
      </c>
      <c r="I688" s="2990" t="s">
        <v>3346</v>
      </c>
    </row>
    <row r="689" spans="2:9" hidden="1">
      <c r="B689" s="2986" t="s">
        <v>3311</v>
      </c>
      <c r="C689" s="2990" t="s">
        <v>3268</v>
      </c>
      <c r="D689" s="2993">
        <v>701</v>
      </c>
      <c r="E689" s="2993">
        <v>184.17</v>
      </c>
      <c r="F689" s="2993">
        <v>184.17</v>
      </c>
      <c r="G689" s="2993">
        <v>0</v>
      </c>
      <c r="H689" s="2990" t="s">
        <v>3348</v>
      </c>
      <c r="I689" s="2990" t="s">
        <v>3346</v>
      </c>
    </row>
    <row r="690" spans="2:9" hidden="1">
      <c r="B690" s="2986" t="s">
        <v>3311</v>
      </c>
      <c r="C690" s="2990" t="s">
        <v>3268</v>
      </c>
      <c r="D690" s="2993">
        <v>702</v>
      </c>
      <c r="E690" s="2993">
        <v>154.16</v>
      </c>
      <c r="F690" s="2993">
        <v>154.16</v>
      </c>
      <c r="G690" s="2993">
        <v>0</v>
      </c>
      <c r="H690" s="2990" t="s">
        <v>3348</v>
      </c>
      <c r="I690" s="2990" t="s">
        <v>3346</v>
      </c>
    </row>
    <row r="691" spans="2:9" hidden="1">
      <c r="B691" s="2986" t="s">
        <v>3311</v>
      </c>
      <c r="C691" s="2990" t="s">
        <v>3268</v>
      </c>
      <c r="D691" s="2993">
        <v>801</v>
      </c>
      <c r="E691" s="2993">
        <v>184.17</v>
      </c>
      <c r="F691" s="2993">
        <v>184.17</v>
      </c>
      <c r="G691" s="2993">
        <v>0</v>
      </c>
      <c r="H691" s="2990" t="s">
        <v>3348</v>
      </c>
      <c r="I691" s="2990" t="s">
        <v>3346</v>
      </c>
    </row>
    <row r="692" spans="2:9" hidden="1">
      <c r="B692" s="2986" t="s">
        <v>3311</v>
      </c>
      <c r="C692" s="2990" t="s">
        <v>3268</v>
      </c>
      <c r="D692" s="2993">
        <v>802</v>
      </c>
      <c r="E692" s="2993">
        <v>154.16</v>
      </c>
      <c r="F692" s="2993">
        <v>154.16</v>
      </c>
      <c r="G692" s="2993">
        <v>0</v>
      </c>
      <c r="H692" s="2990" t="s">
        <v>3348</v>
      </c>
      <c r="I692" s="2990" t="s">
        <v>3346</v>
      </c>
    </row>
    <row r="693" spans="2:9" hidden="1">
      <c r="B693" s="2986" t="s">
        <v>3311</v>
      </c>
      <c r="C693" s="2990" t="s">
        <v>3268</v>
      </c>
      <c r="D693" s="2993">
        <v>901</v>
      </c>
      <c r="E693" s="2993">
        <v>184.17</v>
      </c>
      <c r="F693" s="2993">
        <v>184.17</v>
      </c>
      <c r="G693" s="2993">
        <v>0</v>
      </c>
      <c r="H693" s="2990" t="s">
        <v>3348</v>
      </c>
      <c r="I693" s="2990" t="s">
        <v>3346</v>
      </c>
    </row>
    <row r="694" spans="2:9" hidden="1">
      <c r="B694" s="2986" t="s">
        <v>3311</v>
      </c>
      <c r="C694" s="2990" t="s">
        <v>3268</v>
      </c>
      <c r="D694" s="2993">
        <v>902</v>
      </c>
      <c r="E694" s="2993">
        <v>154.16</v>
      </c>
      <c r="F694" s="2993">
        <v>154.16</v>
      </c>
      <c r="G694" s="2993">
        <v>0</v>
      </c>
      <c r="H694" s="2990" t="s">
        <v>3348</v>
      </c>
      <c r="I694" s="2990" t="s">
        <v>3346</v>
      </c>
    </row>
    <row r="695" spans="2:9" hidden="1">
      <c r="B695" s="2986" t="s">
        <v>3311</v>
      </c>
      <c r="C695" s="2990" t="s">
        <v>3268</v>
      </c>
      <c r="D695" s="2993">
        <v>1001</v>
      </c>
      <c r="E695" s="2993">
        <v>184.17</v>
      </c>
      <c r="F695" s="2993">
        <v>184.17</v>
      </c>
      <c r="G695" s="2993">
        <v>0</v>
      </c>
      <c r="H695" s="2990" t="s">
        <v>3348</v>
      </c>
      <c r="I695" s="2990" t="s">
        <v>3346</v>
      </c>
    </row>
    <row r="696" spans="2:9" hidden="1">
      <c r="B696" s="2986" t="s">
        <v>3311</v>
      </c>
      <c r="C696" s="2990" t="s">
        <v>3268</v>
      </c>
      <c r="D696" s="2993">
        <v>1002</v>
      </c>
      <c r="E696" s="2993">
        <v>154.16</v>
      </c>
      <c r="F696" s="2993">
        <v>154.16</v>
      </c>
      <c r="G696" s="2993">
        <v>0</v>
      </c>
      <c r="H696" s="2990" t="s">
        <v>3348</v>
      </c>
      <c r="I696" s="2990" t="s">
        <v>3346</v>
      </c>
    </row>
    <row r="697" spans="2:9" hidden="1">
      <c r="B697" s="2986" t="s">
        <v>3311</v>
      </c>
      <c r="C697" s="2990" t="s">
        <v>3268</v>
      </c>
      <c r="D697" s="2993">
        <v>1101</v>
      </c>
      <c r="E697" s="2993">
        <v>184.17</v>
      </c>
      <c r="F697" s="2993">
        <v>184.17</v>
      </c>
      <c r="G697" s="2993">
        <v>0</v>
      </c>
      <c r="H697" s="2990" t="s">
        <v>3348</v>
      </c>
      <c r="I697" s="2990" t="s">
        <v>3346</v>
      </c>
    </row>
    <row r="698" spans="2:9" hidden="1">
      <c r="B698" s="2986" t="s">
        <v>3311</v>
      </c>
      <c r="C698" s="2990" t="s">
        <v>3268</v>
      </c>
      <c r="D698" s="2993">
        <v>1102</v>
      </c>
      <c r="E698" s="2993">
        <v>154.16</v>
      </c>
      <c r="F698" s="2993">
        <v>154.16</v>
      </c>
      <c r="G698" s="2993">
        <v>0</v>
      </c>
      <c r="H698" s="2990" t="s">
        <v>3348</v>
      </c>
      <c r="I698" s="2990" t="s">
        <v>3346</v>
      </c>
    </row>
    <row r="699" spans="2:9" hidden="1">
      <c r="B699" s="2986" t="s">
        <v>3311</v>
      </c>
      <c r="C699" s="2990" t="s">
        <v>3268</v>
      </c>
      <c r="D699" s="2993">
        <v>1201</v>
      </c>
      <c r="E699" s="2993">
        <v>184.17</v>
      </c>
      <c r="F699" s="2993">
        <v>184.17</v>
      </c>
      <c r="G699" s="2993">
        <v>0</v>
      </c>
      <c r="H699" s="2990" t="s">
        <v>3348</v>
      </c>
      <c r="I699" s="2990" t="s">
        <v>3346</v>
      </c>
    </row>
    <row r="700" spans="2:9" hidden="1">
      <c r="B700" s="2986" t="s">
        <v>3311</v>
      </c>
      <c r="C700" s="2990" t="s">
        <v>3268</v>
      </c>
      <c r="D700" s="2993">
        <v>1202</v>
      </c>
      <c r="E700" s="2993">
        <v>154.16</v>
      </c>
      <c r="F700" s="2993">
        <v>154.16</v>
      </c>
      <c r="G700" s="2993">
        <v>0</v>
      </c>
      <c r="H700" s="2990" t="s">
        <v>3348</v>
      </c>
      <c r="I700" s="2990" t="s">
        <v>3346</v>
      </c>
    </row>
    <row r="701" spans="2:9" hidden="1">
      <c r="B701" s="2986" t="s">
        <v>3311</v>
      </c>
      <c r="C701" s="2990" t="s">
        <v>3268</v>
      </c>
      <c r="D701" s="2993">
        <v>1301</v>
      </c>
      <c r="E701" s="2993">
        <v>184.17</v>
      </c>
      <c r="F701" s="2993">
        <v>184.17</v>
      </c>
      <c r="G701" s="2993">
        <v>0</v>
      </c>
      <c r="H701" s="2990" t="s">
        <v>3348</v>
      </c>
      <c r="I701" s="2990" t="s">
        <v>3346</v>
      </c>
    </row>
    <row r="702" spans="2:9" hidden="1">
      <c r="B702" s="2986" t="s">
        <v>3311</v>
      </c>
      <c r="C702" s="2990" t="s">
        <v>3268</v>
      </c>
      <c r="D702" s="2993">
        <v>1302</v>
      </c>
      <c r="E702" s="2993">
        <v>154.16</v>
      </c>
      <c r="F702" s="2993">
        <v>154.16</v>
      </c>
      <c r="G702" s="2993">
        <v>0</v>
      </c>
      <c r="H702" s="2990" t="s">
        <v>3348</v>
      </c>
      <c r="I702" s="2990" t="s">
        <v>3346</v>
      </c>
    </row>
    <row r="703" spans="2:9" hidden="1">
      <c r="B703" s="2986" t="s">
        <v>3311</v>
      </c>
      <c r="C703" s="2990" t="s">
        <v>3268</v>
      </c>
      <c r="D703" s="2993">
        <v>1401</v>
      </c>
      <c r="E703" s="2993">
        <v>184.17</v>
      </c>
      <c r="F703" s="2993">
        <v>184.17</v>
      </c>
      <c r="G703" s="2993">
        <v>0</v>
      </c>
      <c r="H703" s="2990" t="s">
        <v>3348</v>
      </c>
      <c r="I703" s="2990" t="s">
        <v>3346</v>
      </c>
    </row>
    <row r="704" spans="2:9" hidden="1">
      <c r="B704" s="2986" t="s">
        <v>3311</v>
      </c>
      <c r="C704" s="2990" t="s">
        <v>3268</v>
      </c>
      <c r="D704" s="2993">
        <v>1402</v>
      </c>
      <c r="E704" s="2993">
        <v>154.16</v>
      </c>
      <c r="F704" s="2993">
        <v>154.16</v>
      </c>
      <c r="G704" s="2993">
        <v>0</v>
      </c>
      <c r="H704" s="2990" t="s">
        <v>3348</v>
      </c>
      <c r="I704" s="2990" t="s">
        <v>3346</v>
      </c>
    </row>
    <row r="705" spans="2:9" hidden="1">
      <c r="B705" s="2986" t="s">
        <v>3311</v>
      </c>
      <c r="C705" s="2990" t="s">
        <v>3268</v>
      </c>
      <c r="D705" s="2993">
        <v>1501</v>
      </c>
      <c r="E705" s="2993">
        <v>184.17</v>
      </c>
      <c r="F705" s="2993">
        <v>184.17</v>
      </c>
      <c r="G705" s="2993">
        <v>0</v>
      </c>
      <c r="H705" s="2990" t="s">
        <v>3348</v>
      </c>
      <c r="I705" s="2990" t="s">
        <v>3346</v>
      </c>
    </row>
    <row r="706" spans="2:9" hidden="1">
      <c r="B706" s="2986" t="s">
        <v>3311</v>
      </c>
      <c r="C706" s="2990" t="s">
        <v>3268</v>
      </c>
      <c r="D706" s="2993">
        <v>1502</v>
      </c>
      <c r="E706" s="2993">
        <v>154.16</v>
      </c>
      <c r="F706" s="2993">
        <v>154.16</v>
      </c>
      <c r="G706" s="2993">
        <v>0</v>
      </c>
      <c r="H706" s="2990" t="s">
        <v>3348</v>
      </c>
      <c r="I706" s="2990" t="s">
        <v>3346</v>
      </c>
    </row>
    <row r="707" spans="2:9" hidden="1">
      <c r="B707" s="2986" t="s">
        <v>3311</v>
      </c>
      <c r="C707" s="2990" t="s">
        <v>3268</v>
      </c>
      <c r="D707" s="2993">
        <v>1601</v>
      </c>
      <c r="E707" s="2993">
        <v>184.17</v>
      </c>
      <c r="F707" s="2993">
        <v>184.17</v>
      </c>
      <c r="G707" s="2993">
        <v>0</v>
      </c>
      <c r="H707" s="2990" t="s">
        <v>3348</v>
      </c>
      <c r="I707" s="2990" t="s">
        <v>3346</v>
      </c>
    </row>
    <row r="708" spans="2:9" hidden="1">
      <c r="B708" s="2986" t="s">
        <v>3311</v>
      </c>
      <c r="C708" s="2990" t="s">
        <v>3268</v>
      </c>
      <c r="D708" s="2993">
        <v>1602</v>
      </c>
      <c r="E708" s="2993">
        <v>154.16</v>
      </c>
      <c r="F708" s="2993">
        <v>154.16</v>
      </c>
      <c r="G708" s="2993">
        <v>0</v>
      </c>
      <c r="H708" s="2990" t="s">
        <v>3348</v>
      </c>
      <c r="I708" s="2990" t="s">
        <v>3346</v>
      </c>
    </row>
    <row r="709" spans="2:9" hidden="1">
      <c r="B709" s="2986" t="s">
        <v>3311</v>
      </c>
      <c r="C709" s="2990" t="s">
        <v>3268</v>
      </c>
      <c r="D709" s="2993">
        <v>1701</v>
      </c>
      <c r="E709" s="2993">
        <v>184.17</v>
      </c>
      <c r="F709" s="2993">
        <v>184.17</v>
      </c>
      <c r="G709" s="2993">
        <v>0</v>
      </c>
      <c r="H709" s="2990" t="s">
        <v>3348</v>
      </c>
      <c r="I709" s="2990" t="s">
        <v>3346</v>
      </c>
    </row>
    <row r="710" spans="2:9" hidden="1">
      <c r="B710" s="2986" t="s">
        <v>3311</v>
      </c>
      <c r="C710" s="2990" t="s">
        <v>3268</v>
      </c>
      <c r="D710" s="2993">
        <v>1702</v>
      </c>
      <c r="E710" s="2993">
        <v>154.16</v>
      </c>
      <c r="F710" s="2993">
        <v>154.16</v>
      </c>
      <c r="G710" s="2993">
        <v>0</v>
      </c>
      <c r="H710" s="2990" t="s">
        <v>3348</v>
      </c>
      <c r="I710" s="2990" t="s">
        <v>3346</v>
      </c>
    </row>
    <row r="711" spans="2:9" hidden="1">
      <c r="B711" s="2986" t="s">
        <v>3311</v>
      </c>
      <c r="C711" s="2990" t="s">
        <v>3268</v>
      </c>
      <c r="D711" s="2993">
        <v>1801</v>
      </c>
      <c r="E711" s="2993">
        <v>280.74</v>
      </c>
      <c r="F711" s="2993">
        <v>280.74</v>
      </c>
      <c r="G711" s="2993">
        <v>0</v>
      </c>
      <c r="H711" s="2990" t="s">
        <v>3348</v>
      </c>
      <c r="I711" s="2990" t="s">
        <v>3346</v>
      </c>
    </row>
    <row r="712" spans="2:9" hidden="1">
      <c r="B712" s="2986" t="s">
        <v>3311</v>
      </c>
      <c r="C712" s="2990" t="s">
        <v>3268</v>
      </c>
      <c r="D712" s="2993">
        <v>1802</v>
      </c>
      <c r="E712" s="2993">
        <v>235.94</v>
      </c>
      <c r="F712" s="2993">
        <v>235.94</v>
      </c>
      <c r="G712" s="2993">
        <v>0</v>
      </c>
      <c r="H712" s="2990" t="s">
        <v>3348</v>
      </c>
      <c r="I712" s="2990" t="s">
        <v>3346</v>
      </c>
    </row>
    <row r="713" spans="2:9" hidden="1">
      <c r="B713" s="2986" t="s">
        <v>3311</v>
      </c>
      <c r="C713" t="s">
        <v>3289</v>
      </c>
      <c r="D713" s="2993">
        <v>101</v>
      </c>
      <c r="E713" s="2993">
        <v>294.39</v>
      </c>
      <c r="F713">
        <v>133.53</v>
      </c>
      <c r="G713">
        <v>160.86000000000001</v>
      </c>
      <c r="H713" s="2990" t="s">
        <v>3348</v>
      </c>
      <c r="I713" s="2990" t="s">
        <v>3346</v>
      </c>
    </row>
    <row r="714" spans="2:9" hidden="1">
      <c r="B714" s="2986" t="s">
        <v>3311</v>
      </c>
      <c r="C714" t="s">
        <v>3289</v>
      </c>
      <c r="D714" s="2993">
        <v>102</v>
      </c>
      <c r="E714" s="2993">
        <v>346.91</v>
      </c>
      <c r="F714">
        <v>155.28</v>
      </c>
      <c r="G714">
        <v>191.63</v>
      </c>
      <c r="H714" s="2990" t="s">
        <v>3348</v>
      </c>
      <c r="I714" s="2990" t="s">
        <v>3346</v>
      </c>
    </row>
    <row r="715" spans="2:9" hidden="1">
      <c r="B715" s="2986" t="s">
        <v>3311</v>
      </c>
      <c r="C715" t="s">
        <v>3289</v>
      </c>
      <c r="D715" s="2993">
        <v>201</v>
      </c>
      <c r="E715" s="2993">
        <v>153.55000000000001</v>
      </c>
      <c r="F715" s="2993">
        <v>153.55000000000001</v>
      </c>
      <c r="G715" s="2993">
        <v>0</v>
      </c>
      <c r="H715" s="2990" t="s">
        <v>3348</v>
      </c>
      <c r="I715" s="2990" t="s">
        <v>3346</v>
      </c>
    </row>
    <row r="716" spans="2:9" hidden="1">
      <c r="B716" s="2986" t="s">
        <v>3311</v>
      </c>
      <c r="C716" t="s">
        <v>3289</v>
      </c>
      <c r="D716" s="2993">
        <v>202</v>
      </c>
      <c r="E716" s="2993">
        <v>183.86</v>
      </c>
      <c r="F716" s="2993">
        <v>183.86</v>
      </c>
      <c r="G716" s="2993">
        <v>0</v>
      </c>
      <c r="H716" s="2990" t="s">
        <v>3348</v>
      </c>
      <c r="I716" s="2990" t="s">
        <v>3346</v>
      </c>
    </row>
    <row r="717" spans="2:9" hidden="1">
      <c r="B717" s="2986" t="s">
        <v>3311</v>
      </c>
      <c r="C717" t="s">
        <v>3289</v>
      </c>
      <c r="D717" s="2993">
        <v>301</v>
      </c>
      <c r="E717" s="2993">
        <v>154.16</v>
      </c>
      <c r="F717" s="2993">
        <v>154.16</v>
      </c>
      <c r="G717" s="2993">
        <v>0</v>
      </c>
      <c r="H717" s="2990" t="s">
        <v>3348</v>
      </c>
      <c r="I717" s="2990" t="s">
        <v>3346</v>
      </c>
    </row>
    <row r="718" spans="2:9" hidden="1">
      <c r="B718" s="2986" t="s">
        <v>3311</v>
      </c>
      <c r="C718" t="s">
        <v>3289</v>
      </c>
      <c r="D718" s="2993">
        <v>302</v>
      </c>
      <c r="E718" s="2993">
        <v>184.17</v>
      </c>
      <c r="F718" s="2993">
        <v>184.17</v>
      </c>
      <c r="G718" s="2993">
        <v>0</v>
      </c>
      <c r="H718" s="2990" t="s">
        <v>3348</v>
      </c>
      <c r="I718" s="2990" t="s">
        <v>3346</v>
      </c>
    </row>
    <row r="719" spans="2:9" hidden="1">
      <c r="B719" s="2986" t="s">
        <v>3311</v>
      </c>
      <c r="C719" t="s">
        <v>3289</v>
      </c>
      <c r="D719" s="2993">
        <v>401</v>
      </c>
      <c r="E719" s="2993">
        <v>154.16</v>
      </c>
      <c r="F719" s="2993">
        <v>154.16</v>
      </c>
      <c r="G719" s="2993">
        <v>0</v>
      </c>
      <c r="H719" s="2990" t="s">
        <v>3348</v>
      </c>
      <c r="I719" s="2990" t="s">
        <v>3346</v>
      </c>
    </row>
    <row r="720" spans="2:9" hidden="1">
      <c r="B720" s="2986" t="s">
        <v>3311</v>
      </c>
      <c r="C720" t="s">
        <v>3289</v>
      </c>
      <c r="D720" s="2993">
        <v>402</v>
      </c>
      <c r="E720" s="2993">
        <v>184.17</v>
      </c>
      <c r="F720" s="2993">
        <v>184.17</v>
      </c>
      <c r="G720" s="2993">
        <v>0</v>
      </c>
      <c r="H720" s="2990" t="s">
        <v>3348</v>
      </c>
      <c r="I720" s="2990" t="s">
        <v>3346</v>
      </c>
    </row>
    <row r="721" spans="2:9" hidden="1">
      <c r="B721" s="2986" t="s">
        <v>3311</v>
      </c>
      <c r="C721" t="s">
        <v>3289</v>
      </c>
      <c r="D721" s="2993">
        <v>501</v>
      </c>
      <c r="E721" s="2993">
        <v>154.16</v>
      </c>
      <c r="F721" s="2993">
        <v>154.16</v>
      </c>
      <c r="G721" s="2993">
        <v>0</v>
      </c>
      <c r="H721" s="2990" t="s">
        <v>3348</v>
      </c>
      <c r="I721" s="2990" t="s">
        <v>3346</v>
      </c>
    </row>
    <row r="722" spans="2:9" hidden="1">
      <c r="B722" s="2986" t="s">
        <v>3311</v>
      </c>
      <c r="C722" t="s">
        <v>3289</v>
      </c>
      <c r="D722" s="2993">
        <v>502</v>
      </c>
      <c r="E722" s="2993">
        <v>184.17</v>
      </c>
      <c r="F722" s="2993">
        <v>184.17</v>
      </c>
      <c r="G722" s="2993">
        <v>0</v>
      </c>
      <c r="H722" s="2990" t="s">
        <v>3348</v>
      </c>
      <c r="I722" s="2990" t="s">
        <v>3346</v>
      </c>
    </row>
    <row r="723" spans="2:9" hidden="1">
      <c r="B723" s="2986" t="s">
        <v>3311</v>
      </c>
      <c r="C723" t="s">
        <v>3289</v>
      </c>
      <c r="D723" s="2993">
        <v>601</v>
      </c>
      <c r="E723" s="2993">
        <v>154.16</v>
      </c>
      <c r="F723" s="2993">
        <v>154.16</v>
      </c>
      <c r="G723" s="2993">
        <v>0</v>
      </c>
      <c r="H723" s="2990" t="s">
        <v>3348</v>
      </c>
      <c r="I723" s="2990" t="s">
        <v>3346</v>
      </c>
    </row>
    <row r="724" spans="2:9" hidden="1">
      <c r="B724" s="2986" t="s">
        <v>3311</v>
      </c>
      <c r="C724" t="s">
        <v>3289</v>
      </c>
      <c r="D724" s="2993">
        <v>602</v>
      </c>
      <c r="E724" s="2993">
        <v>184.17</v>
      </c>
      <c r="F724" s="2993">
        <v>184.17</v>
      </c>
      <c r="G724" s="2993">
        <v>0</v>
      </c>
      <c r="H724" s="2990" t="s">
        <v>3348</v>
      </c>
      <c r="I724" s="2990" t="s">
        <v>3346</v>
      </c>
    </row>
    <row r="725" spans="2:9" hidden="1">
      <c r="B725" s="2986" t="s">
        <v>3311</v>
      </c>
      <c r="C725" t="s">
        <v>3289</v>
      </c>
      <c r="D725" s="2993">
        <v>701</v>
      </c>
      <c r="E725" s="2993">
        <v>154.16</v>
      </c>
      <c r="F725" s="2993">
        <v>154.16</v>
      </c>
      <c r="G725" s="2993">
        <v>0</v>
      </c>
      <c r="H725" s="2990" t="s">
        <v>3348</v>
      </c>
      <c r="I725" s="2990" t="s">
        <v>3346</v>
      </c>
    </row>
    <row r="726" spans="2:9" hidden="1">
      <c r="B726" s="2986" t="s">
        <v>3311</v>
      </c>
      <c r="C726" t="s">
        <v>3289</v>
      </c>
      <c r="D726" s="2993">
        <v>702</v>
      </c>
      <c r="E726" s="2993">
        <v>184.17</v>
      </c>
      <c r="F726" s="2993">
        <v>184.17</v>
      </c>
      <c r="G726" s="2993">
        <v>0</v>
      </c>
      <c r="H726" s="2990" t="s">
        <v>3348</v>
      </c>
      <c r="I726" s="2990" t="s">
        <v>3346</v>
      </c>
    </row>
    <row r="727" spans="2:9" hidden="1">
      <c r="B727" s="2986" t="s">
        <v>3311</v>
      </c>
      <c r="C727" t="s">
        <v>3289</v>
      </c>
      <c r="D727" s="2993">
        <v>801</v>
      </c>
      <c r="E727" s="2993">
        <v>154.16</v>
      </c>
      <c r="F727" s="2993">
        <v>154.16</v>
      </c>
      <c r="G727" s="2993">
        <v>0</v>
      </c>
      <c r="H727" s="2990" t="s">
        <v>3348</v>
      </c>
      <c r="I727" s="2990" t="s">
        <v>3346</v>
      </c>
    </row>
    <row r="728" spans="2:9" hidden="1">
      <c r="B728" s="2986" t="s">
        <v>3311</v>
      </c>
      <c r="C728" t="s">
        <v>3289</v>
      </c>
      <c r="D728" s="2993">
        <v>802</v>
      </c>
      <c r="E728" s="2993">
        <v>184.17</v>
      </c>
      <c r="F728" s="2993">
        <v>184.17</v>
      </c>
      <c r="G728" s="2993">
        <v>0</v>
      </c>
      <c r="H728" s="2990" t="s">
        <v>3348</v>
      </c>
      <c r="I728" s="2990" t="s">
        <v>3346</v>
      </c>
    </row>
    <row r="729" spans="2:9" hidden="1">
      <c r="B729" s="2986" t="s">
        <v>3311</v>
      </c>
      <c r="C729" t="s">
        <v>3289</v>
      </c>
      <c r="D729" s="2993">
        <v>901</v>
      </c>
      <c r="E729" s="2993">
        <v>154.16</v>
      </c>
      <c r="F729" s="2993">
        <v>154.16</v>
      </c>
      <c r="G729" s="2993">
        <v>0</v>
      </c>
      <c r="H729" s="2990" t="s">
        <v>3348</v>
      </c>
      <c r="I729" s="2990" t="s">
        <v>3346</v>
      </c>
    </row>
    <row r="730" spans="2:9" hidden="1">
      <c r="B730" s="2986" t="s">
        <v>3311</v>
      </c>
      <c r="C730" t="s">
        <v>3289</v>
      </c>
      <c r="D730" s="2993">
        <v>902</v>
      </c>
      <c r="E730" s="2993">
        <v>184.17</v>
      </c>
      <c r="F730" s="2993">
        <v>184.17</v>
      </c>
      <c r="G730" s="2993">
        <v>0</v>
      </c>
      <c r="H730" s="2990" t="s">
        <v>3348</v>
      </c>
      <c r="I730" s="2990" t="s">
        <v>3346</v>
      </c>
    </row>
    <row r="731" spans="2:9" hidden="1">
      <c r="B731" s="2986" t="s">
        <v>3311</v>
      </c>
      <c r="C731" t="s">
        <v>3289</v>
      </c>
      <c r="D731" s="2993">
        <v>1001</v>
      </c>
      <c r="E731" s="2993">
        <v>154.16</v>
      </c>
      <c r="F731" s="2993">
        <v>154.16</v>
      </c>
      <c r="G731" s="2993">
        <v>0</v>
      </c>
      <c r="H731" s="2990" t="s">
        <v>3348</v>
      </c>
      <c r="I731" s="2990" t="s">
        <v>3346</v>
      </c>
    </row>
    <row r="732" spans="2:9" hidden="1">
      <c r="B732" s="2986" t="s">
        <v>3311</v>
      </c>
      <c r="C732" t="s">
        <v>3289</v>
      </c>
      <c r="D732" s="2993">
        <v>1002</v>
      </c>
      <c r="E732" s="2993">
        <v>184.17</v>
      </c>
      <c r="F732" s="2993">
        <v>184.17</v>
      </c>
      <c r="G732" s="2993">
        <v>0</v>
      </c>
      <c r="H732" s="2990" t="s">
        <v>3348</v>
      </c>
      <c r="I732" s="2990" t="s">
        <v>3346</v>
      </c>
    </row>
    <row r="733" spans="2:9" hidden="1">
      <c r="B733" s="2986" t="s">
        <v>3311</v>
      </c>
      <c r="C733" t="s">
        <v>3289</v>
      </c>
      <c r="D733" s="2993">
        <v>1101</v>
      </c>
      <c r="E733" s="2993">
        <v>154.16</v>
      </c>
      <c r="F733" s="2993">
        <v>154.16</v>
      </c>
      <c r="G733" s="2993">
        <v>0</v>
      </c>
      <c r="H733" s="2990" t="s">
        <v>3348</v>
      </c>
      <c r="I733" s="2990" t="s">
        <v>3346</v>
      </c>
    </row>
    <row r="734" spans="2:9" hidden="1">
      <c r="B734" s="2986" t="s">
        <v>3311</v>
      </c>
      <c r="C734" t="s">
        <v>3289</v>
      </c>
      <c r="D734" s="2993">
        <v>1102</v>
      </c>
      <c r="E734" s="2993">
        <v>184.17</v>
      </c>
      <c r="F734" s="2993">
        <v>184.17</v>
      </c>
      <c r="G734" s="2993">
        <v>0</v>
      </c>
      <c r="H734" s="2990" t="s">
        <v>3348</v>
      </c>
      <c r="I734" s="2990" t="s">
        <v>3346</v>
      </c>
    </row>
    <row r="735" spans="2:9" hidden="1">
      <c r="B735" s="2986" t="s">
        <v>3311</v>
      </c>
      <c r="C735" t="s">
        <v>3289</v>
      </c>
      <c r="D735" s="2993">
        <v>1201</v>
      </c>
      <c r="E735" s="2993">
        <v>154.16</v>
      </c>
      <c r="F735" s="2993">
        <v>154.16</v>
      </c>
      <c r="G735" s="2993">
        <v>0</v>
      </c>
      <c r="H735" s="2990" t="s">
        <v>3348</v>
      </c>
      <c r="I735" s="2990" t="s">
        <v>3346</v>
      </c>
    </row>
    <row r="736" spans="2:9" hidden="1">
      <c r="B736" s="2986" t="s">
        <v>3311</v>
      </c>
      <c r="C736" t="s">
        <v>3289</v>
      </c>
      <c r="D736" s="2993">
        <v>1202</v>
      </c>
      <c r="E736" s="2993">
        <v>184.17</v>
      </c>
      <c r="F736" s="2993">
        <v>184.17</v>
      </c>
      <c r="G736" s="2993">
        <v>0</v>
      </c>
      <c r="H736" s="2990" t="s">
        <v>3348</v>
      </c>
      <c r="I736" s="2990" t="s">
        <v>3346</v>
      </c>
    </row>
    <row r="737" spans="2:9" hidden="1">
      <c r="B737" s="2986" t="s">
        <v>3311</v>
      </c>
      <c r="C737" t="s">
        <v>3289</v>
      </c>
      <c r="D737" s="2993">
        <v>1301</v>
      </c>
      <c r="E737" s="2993">
        <v>154.16</v>
      </c>
      <c r="F737" s="2993">
        <v>154.16</v>
      </c>
      <c r="G737" s="2993">
        <v>0</v>
      </c>
      <c r="H737" s="2990" t="s">
        <v>3348</v>
      </c>
      <c r="I737" s="2990" t="s">
        <v>3346</v>
      </c>
    </row>
    <row r="738" spans="2:9" hidden="1">
      <c r="B738" s="2986" t="s">
        <v>3311</v>
      </c>
      <c r="C738" t="s">
        <v>3289</v>
      </c>
      <c r="D738" s="2993">
        <v>1302</v>
      </c>
      <c r="E738" s="2993">
        <v>184.17</v>
      </c>
      <c r="F738" s="2993">
        <v>184.17</v>
      </c>
      <c r="G738" s="2993">
        <v>0</v>
      </c>
      <c r="H738" s="2990" t="s">
        <v>3348</v>
      </c>
      <c r="I738" s="2990" t="s">
        <v>3346</v>
      </c>
    </row>
    <row r="739" spans="2:9" hidden="1">
      <c r="B739" s="2986" t="s">
        <v>3311</v>
      </c>
      <c r="C739" t="s">
        <v>3289</v>
      </c>
      <c r="D739" s="2993">
        <v>1401</v>
      </c>
      <c r="E739" s="2993">
        <v>154.16</v>
      </c>
      <c r="F739" s="2993">
        <v>154.16</v>
      </c>
      <c r="G739" s="2993">
        <v>0</v>
      </c>
      <c r="H739" s="2990" t="s">
        <v>3348</v>
      </c>
      <c r="I739" s="2990" t="s">
        <v>3346</v>
      </c>
    </row>
    <row r="740" spans="2:9" hidden="1">
      <c r="B740" s="2986" t="s">
        <v>3311</v>
      </c>
      <c r="C740" t="s">
        <v>3289</v>
      </c>
      <c r="D740" s="2993">
        <v>1402</v>
      </c>
      <c r="E740" s="2993">
        <v>184.17</v>
      </c>
      <c r="F740" s="2993">
        <v>184.17</v>
      </c>
      <c r="G740" s="2993">
        <v>0</v>
      </c>
      <c r="H740" s="2990" t="s">
        <v>3348</v>
      </c>
      <c r="I740" s="2990" t="s">
        <v>3346</v>
      </c>
    </row>
    <row r="741" spans="2:9" hidden="1">
      <c r="B741" s="2986" t="s">
        <v>3311</v>
      </c>
      <c r="C741" t="s">
        <v>3289</v>
      </c>
      <c r="D741" s="2993">
        <v>1501</v>
      </c>
      <c r="E741" s="2993">
        <v>154.16</v>
      </c>
      <c r="F741" s="2993">
        <v>154.16</v>
      </c>
      <c r="G741" s="2993">
        <v>0</v>
      </c>
      <c r="H741" s="2990" t="s">
        <v>3348</v>
      </c>
      <c r="I741" s="2990" t="s">
        <v>3346</v>
      </c>
    </row>
    <row r="742" spans="2:9" hidden="1">
      <c r="B742" s="2986" t="s">
        <v>3311</v>
      </c>
      <c r="C742" t="s">
        <v>3289</v>
      </c>
      <c r="D742" s="2993">
        <v>1502</v>
      </c>
      <c r="E742" s="2993">
        <v>184.17</v>
      </c>
      <c r="F742" s="2993">
        <v>184.17</v>
      </c>
      <c r="G742" s="2993">
        <v>0</v>
      </c>
      <c r="H742" s="2990" t="s">
        <v>3348</v>
      </c>
      <c r="I742" s="2990" t="s">
        <v>3346</v>
      </c>
    </row>
    <row r="743" spans="2:9" hidden="1">
      <c r="B743" s="2986" t="s">
        <v>3311</v>
      </c>
      <c r="C743" t="s">
        <v>3289</v>
      </c>
      <c r="D743" s="2993">
        <v>1601</v>
      </c>
      <c r="E743" s="2993">
        <v>154.16</v>
      </c>
      <c r="F743" s="2993">
        <v>154.16</v>
      </c>
      <c r="G743" s="2993">
        <v>0</v>
      </c>
      <c r="H743" s="2990" t="s">
        <v>3348</v>
      </c>
      <c r="I743" s="2990" t="s">
        <v>3346</v>
      </c>
    </row>
    <row r="744" spans="2:9" hidden="1">
      <c r="B744" s="2986" t="s">
        <v>3311</v>
      </c>
      <c r="C744" t="s">
        <v>3289</v>
      </c>
      <c r="D744" s="2993">
        <v>1602</v>
      </c>
      <c r="E744" s="2993">
        <v>184.17</v>
      </c>
      <c r="F744" s="2993">
        <v>184.17</v>
      </c>
      <c r="G744" s="2993">
        <v>0</v>
      </c>
      <c r="H744" s="2990" t="s">
        <v>3348</v>
      </c>
      <c r="I744" s="2990" t="s">
        <v>3346</v>
      </c>
    </row>
    <row r="745" spans="2:9" hidden="1">
      <c r="B745" s="2986" t="s">
        <v>3311</v>
      </c>
      <c r="C745" t="s">
        <v>3289</v>
      </c>
      <c r="D745" s="2993">
        <v>1701</v>
      </c>
      <c r="E745" s="2993">
        <v>154.16</v>
      </c>
      <c r="F745" s="2993">
        <v>154.16</v>
      </c>
      <c r="G745" s="2993">
        <v>0</v>
      </c>
      <c r="H745" s="2990" t="s">
        <v>3348</v>
      </c>
      <c r="I745" s="2990" t="s">
        <v>3346</v>
      </c>
    </row>
    <row r="746" spans="2:9" hidden="1">
      <c r="B746" s="2986" t="s">
        <v>3311</v>
      </c>
      <c r="C746" t="s">
        <v>3289</v>
      </c>
      <c r="D746" s="2993">
        <v>1702</v>
      </c>
      <c r="E746" s="2993">
        <v>184.17</v>
      </c>
      <c r="F746" s="2993">
        <v>184.17</v>
      </c>
      <c r="G746" s="2993">
        <v>0</v>
      </c>
      <c r="H746" s="2990" t="s">
        <v>3348</v>
      </c>
      <c r="I746" s="2990" t="s">
        <v>3346</v>
      </c>
    </row>
    <row r="747" spans="2:9" hidden="1">
      <c r="B747" s="2986" t="s">
        <v>3311</v>
      </c>
      <c r="C747" t="s">
        <v>3289</v>
      </c>
      <c r="D747" s="2993">
        <v>1801</v>
      </c>
      <c r="E747" s="2993">
        <v>235.94</v>
      </c>
      <c r="F747" s="2993">
        <v>235.94</v>
      </c>
      <c r="G747" s="2993">
        <v>0</v>
      </c>
      <c r="H747" s="2990" t="s">
        <v>3348</v>
      </c>
      <c r="I747" s="2990" t="s">
        <v>3346</v>
      </c>
    </row>
    <row r="748" spans="2:9" hidden="1">
      <c r="B748" s="2986" t="s">
        <v>3311</v>
      </c>
      <c r="C748" t="s">
        <v>3289</v>
      </c>
      <c r="D748" s="2993">
        <v>1802</v>
      </c>
      <c r="E748" s="2993">
        <v>280.74</v>
      </c>
      <c r="F748" s="2993">
        <v>280.74</v>
      </c>
      <c r="G748" s="2993">
        <v>0</v>
      </c>
      <c r="H748" s="2990" t="s">
        <v>3348</v>
      </c>
      <c r="I748" s="2990" t="s">
        <v>3346</v>
      </c>
    </row>
    <row r="749" spans="2:9" hidden="1">
      <c r="B749" s="2986" t="s">
        <v>3334</v>
      </c>
      <c r="C749" s="2990" t="s">
        <v>3325</v>
      </c>
      <c r="D749" s="2993">
        <v>101</v>
      </c>
      <c r="E749" s="2993">
        <v>285.06</v>
      </c>
      <c r="F749" s="2993">
        <v>139.79</v>
      </c>
      <c r="G749" s="2993">
        <v>145.27000000000001</v>
      </c>
      <c r="H749" s="2990" t="s">
        <v>3348</v>
      </c>
      <c r="I749" s="2990" t="s">
        <v>3346</v>
      </c>
    </row>
    <row r="750" spans="2:9" hidden="1">
      <c r="B750" s="2986" t="s">
        <v>3334</v>
      </c>
      <c r="C750" s="2990" t="s">
        <v>3325</v>
      </c>
      <c r="D750" s="2993">
        <v>102</v>
      </c>
      <c r="E750" s="2993">
        <v>220.8</v>
      </c>
      <c r="F750" s="2993">
        <v>110.88</v>
      </c>
      <c r="G750" s="2993">
        <v>109.92</v>
      </c>
      <c r="H750" s="2990" t="s">
        <v>3348</v>
      </c>
      <c r="I750" s="2990" t="s">
        <v>3346</v>
      </c>
    </row>
    <row r="751" spans="2:9" hidden="1">
      <c r="B751" s="2986" t="s">
        <v>3310</v>
      </c>
      <c r="C751" s="2990" t="s">
        <v>3325</v>
      </c>
      <c r="D751" s="2993">
        <v>201</v>
      </c>
      <c r="E751" s="2993">
        <v>139.78</v>
      </c>
      <c r="F751" s="2993">
        <v>139.78</v>
      </c>
      <c r="G751" s="2993">
        <v>0</v>
      </c>
      <c r="H751" s="2990" t="s">
        <v>3348</v>
      </c>
      <c r="I751" s="2990" t="s">
        <v>3346</v>
      </c>
    </row>
    <row r="752" spans="2:9" hidden="1">
      <c r="B752" s="2986" t="s">
        <v>3310</v>
      </c>
      <c r="C752" s="2990" t="s">
        <v>3325</v>
      </c>
      <c r="D752" s="2993">
        <v>202</v>
      </c>
      <c r="E752" s="2993">
        <v>111.38</v>
      </c>
      <c r="F752" s="2993">
        <v>111.38</v>
      </c>
      <c r="G752" s="2993">
        <v>0</v>
      </c>
      <c r="H752" s="2990" t="s">
        <v>3348</v>
      </c>
      <c r="I752" s="2990" t="s">
        <v>3346</v>
      </c>
    </row>
    <row r="753" spans="2:9" hidden="1">
      <c r="B753" s="2986" t="s">
        <v>3310</v>
      </c>
      <c r="C753" s="2990" t="s">
        <v>3325</v>
      </c>
      <c r="D753" s="2993">
        <v>302</v>
      </c>
      <c r="E753" s="2993">
        <v>125.25</v>
      </c>
      <c r="F753" s="2993">
        <v>125.25</v>
      </c>
      <c r="G753" s="2993">
        <v>0</v>
      </c>
      <c r="H753" s="2990" t="s">
        <v>3348</v>
      </c>
      <c r="I753" s="2990" t="s">
        <v>3346</v>
      </c>
    </row>
    <row r="754" spans="2:9" hidden="1">
      <c r="B754" s="2986" t="s">
        <v>3333</v>
      </c>
      <c r="C754" s="2990" t="s">
        <v>3325</v>
      </c>
      <c r="D754" s="2993">
        <v>101</v>
      </c>
      <c r="E754" s="2993">
        <v>284.95999999999998</v>
      </c>
      <c r="F754" s="2993">
        <v>139.74</v>
      </c>
      <c r="G754" s="2993">
        <v>145.22</v>
      </c>
      <c r="H754" s="2990" t="s">
        <v>3348</v>
      </c>
      <c r="I754" s="2990" t="s">
        <v>3352</v>
      </c>
    </row>
    <row r="755" spans="2:9" hidden="1">
      <c r="B755" s="2986" t="s">
        <v>3309</v>
      </c>
      <c r="C755" s="2990" t="s">
        <v>3325</v>
      </c>
      <c r="D755" s="2993">
        <v>301</v>
      </c>
      <c r="E755" s="2993">
        <v>139.74</v>
      </c>
      <c r="F755" s="2993">
        <v>139.74</v>
      </c>
      <c r="G755" s="2993">
        <v>0</v>
      </c>
      <c r="H755" s="2990" t="s">
        <v>3348</v>
      </c>
      <c r="I755" s="2990" t="s">
        <v>3352</v>
      </c>
    </row>
    <row r="756" spans="2:9" hidden="1">
      <c r="B756" s="2986" t="s">
        <v>3309</v>
      </c>
      <c r="C756" s="2990" t="s">
        <v>3325</v>
      </c>
      <c r="D756" s="2993">
        <v>401</v>
      </c>
      <c r="E756" s="2993">
        <v>139.74</v>
      </c>
      <c r="F756" s="2993">
        <v>139.74</v>
      </c>
      <c r="G756" s="2993">
        <v>0</v>
      </c>
      <c r="H756" s="2990" t="s">
        <v>3348</v>
      </c>
      <c r="I756" s="2990" t="s">
        <v>3352</v>
      </c>
    </row>
    <row r="757" spans="2:9" hidden="1">
      <c r="B757" s="2986" t="s">
        <v>3309</v>
      </c>
      <c r="C757" s="2990" t="s">
        <v>3325</v>
      </c>
      <c r="D757" s="2993">
        <v>501</v>
      </c>
      <c r="E757" s="2993">
        <v>139.74</v>
      </c>
      <c r="F757" s="2993">
        <v>139.74</v>
      </c>
      <c r="G757" s="2993">
        <v>0</v>
      </c>
      <c r="H757" s="2990" t="s">
        <v>3348</v>
      </c>
      <c r="I757" s="2990" t="s">
        <v>3352</v>
      </c>
    </row>
    <row r="758" spans="2:9" hidden="1">
      <c r="B758" s="2986" t="s">
        <v>3309</v>
      </c>
      <c r="C758" s="2990" t="s">
        <v>3325</v>
      </c>
      <c r="D758" s="2993">
        <v>502</v>
      </c>
      <c r="E758" s="2993">
        <v>125.21</v>
      </c>
      <c r="F758" s="2993">
        <v>125.21</v>
      </c>
      <c r="G758" s="2993">
        <v>0</v>
      </c>
      <c r="H758" s="2990" t="s">
        <v>3348</v>
      </c>
      <c r="I758" s="2990" t="s">
        <v>3352</v>
      </c>
    </row>
    <row r="759" spans="2:9" hidden="1">
      <c r="B759" s="2986" t="s">
        <v>3309</v>
      </c>
      <c r="C759" s="2990" t="s">
        <v>3325</v>
      </c>
      <c r="D759" s="2993">
        <v>601</v>
      </c>
      <c r="E759" s="2993">
        <v>139.74</v>
      </c>
      <c r="F759" s="2993">
        <v>139.74</v>
      </c>
      <c r="G759" s="2993">
        <v>0</v>
      </c>
      <c r="H759" s="2990" t="s">
        <v>3348</v>
      </c>
      <c r="I759" s="2990" t="s">
        <v>3352</v>
      </c>
    </row>
    <row r="760" spans="2:9" hidden="1">
      <c r="B760" s="2986" t="s">
        <v>3309</v>
      </c>
      <c r="C760" s="2990" t="s">
        <v>3325</v>
      </c>
      <c r="D760" s="2993">
        <v>602</v>
      </c>
      <c r="E760" s="2993">
        <v>125.21</v>
      </c>
      <c r="F760" s="2993">
        <v>125.21</v>
      </c>
      <c r="G760" s="2993">
        <v>0</v>
      </c>
      <c r="H760" s="2990" t="s">
        <v>3348</v>
      </c>
      <c r="I760" s="2990" t="s">
        <v>3352</v>
      </c>
    </row>
    <row r="761" spans="2:9" hidden="1">
      <c r="B761" s="2986" t="s">
        <v>3309</v>
      </c>
      <c r="C761" s="2990" t="s">
        <v>3325</v>
      </c>
      <c r="D761" s="2993">
        <v>701</v>
      </c>
      <c r="E761" s="2993">
        <v>139.74</v>
      </c>
      <c r="F761" s="2993">
        <v>139.74</v>
      </c>
      <c r="G761" s="2993">
        <v>0</v>
      </c>
      <c r="H761" s="2990" t="s">
        <v>3348</v>
      </c>
      <c r="I761" s="2990" t="s">
        <v>3352</v>
      </c>
    </row>
    <row r="762" spans="2:9" hidden="1">
      <c r="B762" s="2986" t="s">
        <v>3309</v>
      </c>
      <c r="C762" s="2990" t="s">
        <v>3325</v>
      </c>
      <c r="D762" s="2993">
        <v>702</v>
      </c>
      <c r="E762" s="2993">
        <v>125.21</v>
      </c>
      <c r="F762" s="2993">
        <v>125.21</v>
      </c>
      <c r="G762" s="2993">
        <v>0</v>
      </c>
      <c r="H762" s="2990" t="s">
        <v>3348</v>
      </c>
      <c r="I762" s="2990" t="s">
        <v>3352</v>
      </c>
    </row>
    <row r="763" spans="2:9" hidden="1">
      <c r="B763" s="2986" t="s">
        <v>3309</v>
      </c>
      <c r="C763" s="2990" t="s">
        <v>3325</v>
      </c>
      <c r="D763" s="2993">
        <v>802</v>
      </c>
      <c r="E763" s="2993">
        <v>125.21</v>
      </c>
      <c r="F763" s="2993">
        <v>125.21</v>
      </c>
      <c r="G763" s="2993">
        <v>0</v>
      </c>
      <c r="H763" s="2990" t="s">
        <v>3348</v>
      </c>
      <c r="I763" s="2990" t="s">
        <v>3352</v>
      </c>
    </row>
    <row r="764" spans="2:9" hidden="1">
      <c r="B764" s="2986" t="s">
        <v>3309</v>
      </c>
      <c r="C764" s="2990" t="s">
        <v>3325</v>
      </c>
      <c r="D764" s="2993">
        <v>901</v>
      </c>
      <c r="E764" s="2993">
        <v>139.74</v>
      </c>
      <c r="F764" s="2993">
        <v>139.74</v>
      </c>
      <c r="G764" s="2993">
        <v>0</v>
      </c>
      <c r="H764" s="2990" t="s">
        <v>3348</v>
      </c>
      <c r="I764" s="2990" t="s">
        <v>3352</v>
      </c>
    </row>
    <row r="765" spans="2:9" hidden="1">
      <c r="B765" s="2986" t="s">
        <v>3309</v>
      </c>
      <c r="C765" s="2990" t="s">
        <v>3325</v>
      </c>
      <c r="D765" s="2993">
        <v>902</v>
      </c>
      <c r="E765" s="2993">
        <v>125.21</v>
      </c>
      <c r="F765" s="2993">
        <v>125.21</v>
      </c>
      <c r="G765" s="2993">
        <v>0</v>
      </c>
      <c r="H765" s="2990" t="s">
        <v>3348</v>
      </c>
      <c r="I765" s="2990" t="s">
        <v>3352</v>
      </c>
    </row>
    <row r="766" spans="2:9" hidden="1">
      <c r="B766" s="2986" t="s">
        <v>3309</v>
      </c>
      <c r="C766" s="2990" t="s">
        <v>3325</v>
      </c>
      <c r="D766" s="2993">
        <v>1001</v>
      </c>
      <c r="E766" s="2993">
        <v>139.74</v>
      </c>
      <c r="F766" s="2993">
        <v>139.74</v>
      </c>
      <c r="G766" s="2993">
        <v>0</v>
      </c>
      <c r="H766" s="2990" t="s">
        <v>3348</v>
      </c>
      <c r="I766" s="2990" t="s">
        <v>3352</v>
      </c>
    </row>
    <row r="767" spans="2:9" hidden="1">
      <c r="B767" s="2986" t="s">
        <v>3309</v>
      </c>
      <c r="C767" s="2990" t="s">
        <v>3325</v>
      </c>
      <c r="D767" s="2993">
        <v>1101</v>
      </c>
      <c r="E767" s="2993">
        <v>139.74</v>
      </c>
      <c r="F767" s="2993">
        <v>139.74</v>
      </c>
      <c r="G767" s="2993">
        <v>0</v>
      </c>
      <c r="H767" s="2990" t="s">
        <v>3348</v>
      </c>
      <c r="I767" s="2990" t="s">
        <v>3352</v>
      </c>
    </row>
    <row r="768" spans="2:9" hidden="1">
      <c r="B768" s="2986" t="s">
        <v>3309</v>
      </c>
      <c r="C768" s="2990" t="s">
        <v>3325</v>
      </c>
      <c r="D768" s="2993">
        <v>1102</v>
      </c>
      <c r="E768" s="2993">
        <v>125.21</v>
      </c>
      <c r="F768" s="2993">
        <v>125.21</v>
      </c>
      <c r="G768" s="2993">
        <v>0</v>
      </c>
      <c r="H768" s="2990" t="s">
        <v>3348</v>
      </c>
      <c r="I768" s="2990" t="s">
        <v>3352</v>
      </c>
    </row>
    <row r="769" spans="2:9" hidden="1">
      <c r="B769" s="2986" t="s">
        <v>3309</v>
      </c>
      <c r="C769" s="2990" t="s">
        <v>3325</v>
      </c>
      <c r="D769" s="2993">
        <v>1201</v>
      </c>
      <c r="E769" s="2993">
        <v>139.74</v>
      </c>
      <c r="F769" s="2993">
        <v>139.74</v>
      </c>
      <c r="G769" s="2993">
        <v>0</v>
      </c>
      <c r="H769" s="2990" t="s">
        <v>3348</v>
      </c>
      <c r="I769" s="2990" t="s">
        <v>3352</v>
      </c>
    </row>
    <row r="770" spans="2:9" hidden="1">
      <c r="B770" s="2986" t="s">
        <v>3309</v>
      </c>
      <c r="C770" s="2990" t="s">
        <v>3325</v>
      </c>
      <c r="D770" s="2993">
        <v>1202</v>
      </c>
      <c r="E770" s="2993">
        <v>125.21</v>
      </c>
      <c r="F770" s="2993">
        <v>125.21</v>
      </c>
      <c r="G770" s="2993">
        <v>0</v>
      </c>
      <c r="H770" s="2990" t="s">
        <v>3348</v>
      </c>
      <c r="I770" s="2990" t="s">
        <v>3352</v>
      </c>
    </row>
    <row r="771" spans="2:9" hidden="1">
      <c r="B771" s="2986" t="s">
        <v>3309</v>
      </c>
      <c r="C771" s="2990" t="s">
        <v>3325</v>
      </c>
      <c r="D771" s="2993">
        <v>1301</v>
      </c>
      <c r="E771" s="2993">
        <v>139.74</v>
      </c>
      <c r="F771" s="2993">
        <v>139.74</v>
      </c>
      <c r="G771" s="2993">
        <v>0</v>
      </c>
      <c r="H771" s="2990" t="s">
        <v>3348</v>
      </c>
      <c r="I771" s="2990" t="s">
        <v>3352</v>
      </c>
    </row>
    <row r="772" spans="2:9" hidden="1">
      <c r="B772" s="2986" t="s">
        <v>3309</v>
      </c>
      <c r="C772" s="2990" t="s">
        <v>3325</v>
      </c>
      <c r="D772" s="2993">
        <v>1302</v>
      </c>
      <c r="E772" s="2993">
        <v>125.21</v>
      </c>
      <c r="F772" s="2993">
        <v>125.21</v>
      </c>
      <c r="G772" s="2993">
        <v>0</v>
      </c>
      <c r="H772" s="2990" t="s">
        <v>3348</v>
      </c>
      <c r="I772" s="2990" t="s">
        <v>3352</v>
      </c>
    </row>
    <row r="773" spans="2:9" hidden="1">
      <c r="B773" s="2986" t="s">
        <v>3309</v>
      </c>
      <c r="C773" s="2990" t="s">
        <v>3325</v>
      </c>
      <c r="D773" s="2993">
        <v>1401</v>
      </c>
      <c r="E773" s="2993">
        <v>139.74</v>
      </c>
      <c r="F773" s="2993">
        <v>139.74</v>
      </c>
      <c r="G773" s="2993">
        <v>0</v>
      </c>
      <c r="H773" s="2990" t="s">
        <v>3348</v>
      </c>
      <c r="I773" s="2990" t="s">
        <v>3352</v>
      </c>
    </row>
    <row r="774" spans="2:9" hidden="1">
      <c r="B774" s="2986" t="s">
        <v>3309</v>
      </c>
      <c r="C774" s="2990" t="s">
        <v>3325</v>
      </c>
      <c r="D774" s="2993">
        <v>1402</v>
      </c>
      <c r="E774" s="2993">
        <v>125.21</v>
      </c>
      <c r="F774" s="2993">
        <v>125.21</v>
      </c>
      <c r="G774" s="2993">
        <v>0</v>
      </c>
      <c r="H774" s="2990" t="s">
        <v>3348</v>
      </c>
      <c r="I774" s="2990" t="s">
        <v>3352</v>
      </c>
    </row>
    <row r="775" spans="2:9" hidden="1">
      <c r="B775" s="2986" t="s">
        <v>3309</v>
      </c>
      <c r="C775" s="2990" t="s">
        <v>3325</v>
      </c>
      <c r="D775" s="2993">
        <v>1501</v>
      </c>
      <c r="E775" s="2993">
        <v>139.74</v>
      </c>
      <c r="F775" s="2993">
        <v>139.74</v>
      </c>
      <c r="G775" s="2993">
        <v>0</v>
      </c>
      <c r="H775" s="2990" t="s">
        <v>3348</v>
      </c>
      <c r="I775" s="2990" t="s">
        <v>3352</v>
      </c>
    </row>
    <row r="776" spans="2:9" hidden="1">
      <c r="B776" s="2986" t="s">
        <v>3309</v>
      </c>
      <c r="C776" s="2990" t="s">
        <v>3325</v>
      </c>
      <c r="D776" s="2993">
        <v>1502</v>
      </c>
      <c r="E776" s="2993">
        <v>125.21</v>
      </c>
      <c r="F776" s="2993">
        <v>125.21</v>
      </c>
      <c r="G776" s="2993">
        <v>0</v>
      </c>
      <c r="H776" s="2990" t="s">
        <v>3348</v>
      </c>
      <c r="I776" s="2990" t="s">
        <v>3352</v>
      </c>
    </row>
    <row r="777" spans="2:9" hidden="1">
      <c r="B777" s="2986" t="s">
        <v>3309</v>
      </c>
      <c r="C777" s="2990" t="s">
        <v>3325</v>
      </c>
      <c r="D777" s="2993">
        <v>1601</v>
      </c>
      <c r="E777" s="2993">
        <v>139.74</v>
      </c>
      <c r="F777" s="2993">
        <v>139.74</v>
      </c>
      <c r="G777" s="2993">
        <v>0</v>
      </c>
      <c r="H777" s="2990" t="s">
        <v>3348</v>
      </c>
      <c r="I777" s="2990" t="s">
        <v>3352</v>
      </c>
    </row>
    <row r="778" spans="2:9" hidden="1">
      <c r="B778" s="2986" t="s">
        <v>3309</v>
      </c>
      <c r="C778" s="2990" t="s">
        <v>3325</v>
      </c>
      <c r="D778" s="2993">
        <v>1701</v>
      </c>
      <c r="E778" s="2993">
        <v>139.74</v>
      </c>
      <c r="F778" s="2993">
        <v>139.74</v>
      </c>
      <c r="G778" s="2993">
        <v>0</v>
      </c>
      <c r="H778" s="2990" t="s">
        <v>3348</v>
      </c>
      <c r="I778" s="2990" t="s">
        <v>3352</v>
      </c>
    </row>
    <row r="779" spans="2:9" hidden="1">
      <c r="B779" s="2986" t="s">
        <v>3309</v>
      </c>
      <c r="C779" s="2990" t="s">
        <v>3325</v>
      </c>
      <c r="D779" s="2993">
        <v>1702</v>
      </c>
      <c r="E779" s="2993">
        <v>125.21</v>
      </c>
      <c r="F779" s="2993">
        <v>125.21</v>
      </c>
      <c r="G779" s="2993">
        <v>0</v>
      </c>
      <c r="H779" s="2990" t="s">
        <v>3348</v>
      </c>
      <c r="I779" s="2990" t="s">
        <v>3352</v>
      </c>
    </row>
    <row r="780" spans="2:9" hidden="1">
      <c r="B780" s="2986" t="s">
        <v>3310</v>
      </c>
      <c r="C780" s="2990" t="s">
        <v>3325</v>
      </c>
      <c r="D780" s="2993">
        <v>401</v>
      </c>
      <c r="E780" s="2993">
        <v>139.93</v>
      </c>
      <c r="F780" s="2993">
        <v>139.93</v>
      </c>
      <c r="G780" s="2993">
        <v>0</v>
      </c>
      <c r="H780" s="2990" t="s">
        <v>3348</v>
      </c>
      <c r="I780" s="2990" t="s">
        <v>3346</v>
      </c>
    </row>
    <row r="781" spans="2:9" hidden="1">
      <c r="B781" s="2986" t="s">
        <v>3310</v>
      </c>
      <c r="C781" s="2990" t="s">
        <v>3325</v>
      </c>
      <c r="D781" s="2993">
        <v>402</v>
      </c>
      <c r="E781" s="2993">
        <v>125.25</v>
      </c>
      <c r="F781" s="2993">
        <v>125.25</v>
      </c>
      <c r="G781" s="2993">
        <v>0</v>
      </c>
      <c r="H781" s="2990" t="s">
        <v>3348</v>
      </c>
      <c r="I781" s="2990" t="s">
        <v>3346</v>
      </c>
    </row>
    <row r="782" spans="2:9" hidden="1">
      <c r="B782" s="2986" t="s">
        <v>3310</v>
      </c>
      <c r="C782" s="2990" t="s">
        <v>3325</v>
      </c>
      <c r="D782" s="2993">
        <v>701</v>
      </c>
      <c r="E782" s="2993">
        <v>139.93</v>
      </c>
      <c r="F782" s="2993">
        <v>139.93</v>
      </c>
      <c r="G782" s="2993">
        <v>0</v>
      </c>
      <c r="H782" s="2990" t="s">
        <v>3348</v>
      </c>
      <c r="I782" s="2990" t="s">
        <v>3346</v>
      </c>
    </row>
    <row r="783" spans="2:9" hidden="1">
      <c r="B783" s="2986" t="s">
        <v>3310</v>
      </c>
      <c r="C783" s="2990" t="s">
        <v>3325</v>
      </c>
      <c r="D783" s="2993">
        <v>1002</v>
      </c>
      <c r="E783" s="2993">
        <v>125.25</v>
      </c>
      <c r="F783" s="2993">
        <v>125.25</v>
      </c>
      <c r="G783" s="2993">
        <v>0</v>
      </c>
      <c r="H783" s="2990" t="s">
        <v>3348</v>
      </c>
      <c r="I783" s="2990" t="s">
        <v>3346</v>
      </c>
    </row>
    <row r="784" spans="2:9" hidden="1">
      <c r="B784" s="2986" t="s">
        <v>3310</v>
      </c>
      <c r="C784" s="2990" t="s">
        <v>3325</v>
      </c>
      <c r="D784" s="2993">
        <v>1202</v>
      </c>
      <c r="E784" s="2993">
        <v>125.25</v>
      </c>
      <c r="F784" s="2993">
        <v>125.25</v>
      </c>
      <c r="G784" s="2993">
        <v>0</v>
      </c>
      <c r="H784" s="2990" t="s">
        <v>3348</v>
      </c>
      <c r="I784" s="2990" t="s">
        <v>3346</v>
      </c>
    </row>
    <row r="785" spans="2:9" hidden="1">
      <c r="B785" s="2995" t="s">
        <v>3310</v>
      </c>
      <c r="C785" s="2996" t="s">
        <v>3325</v>
      </c>
      <c r="D785" s="2997">
        <v>1402</v>
      </c>
      <c r="E785" s="2997">
        <v>125.25</v>
      </c>
      <c r="F785" s="2997">
        <v>125.25</v>
      </c>
      <c r="G785" s="2997">
        <v>0</v>
      </c>
      <c r="H785" s="2996" t="s">
        <v>3348</v>
      </c>
      <c r="I785" s="2996" t="s">
        <v>3358</v>
      </c>
    </row>
    <row r="786" spans="2:9" hidden="1">
      <c r="B786" s="2986" t="s">
        <v>3310</v>
      </c>
      <c r="C786" s="2990" t="s">
        <v>3325</v>
      </c>
      <c r="D786" s="2993">
        <v>1702</v>
      </c>
      <c r="E786" s="2993">
        <v>125.25</v>
      </c>
      <c r="F786" s="2993">
        <v>125.25</v>
      </c>
      <c r="G786" s="2993">
        <v>0</v>
      </c>
      <c r="H786" s="2990" t="s">
        <v>3348</v>
      </c>
      <c r="I786" s="2990" t="s">
        <v>3346</v>
      </c>
    </row>
    <row r="787" spans="2:9" hidden="1">
      <c r="B787" s="2986" t="s">
        <v>3310</v>
      </c>
      <c r="C787" s="2990" t="s">
        <v>3325</v>
      </c>
      <c r="D787" s="2993">
        <v>1802</v>
      </c>
      <c r="E787" s="2993">
        <v>125.25</v>
      </c>
      <c r="F787" s="2993">
        <v>125.25</v>
      </c>
      <c r="G787" s="2993">
        <v>0</v>
      </c>
      <c r="H787" s="2990" t="s">
        <v>3348</v>
      </c>
      <c r="I787" s="2990" t="s">
        <v>3346</v>
      </c>
    </row>
    <row r="788" spans="2:9">
      <c r="E788" s="2985">
        <f>SUBTOTAL(9,E4:E787)</f>
        <v>37245.400000000009</v>
      </c>
      <c r="F788" s="2985">
        <f>SUBTOTAL(9,F4:F787)</f>
        <v>24040.929999999978</v>
      </c>
      <c r="G788" s="2985">
        <f t="shared" ref="G788" si="0">SUBTOTAL(9,G4:G787)</f>
        <v>13204.470000000016</v>
      </c>
    </row>
  </sheetData>
  <autoFilter ref="B3:I787">
    <filterColumn colId="6">
      <filters>
        <filter val="叠拼"/>
      </filters>
    </filterColumn>
    <filterColumn colId="7">
      <filters>
        <filter val="是"/>
      </filters>
    </filterColumn>
    <sortState ref="B4:I787">
      <sortCondition descending="1" ref="B3:B787"/>
    </sortState>
  </autoFilter>
  <phoneticPr fontId="3" type="noConversion"/>
  <pageMargins left="0.7" right="0.7" top="0.75" bottom="0.75" header="0.3" footer="0.3"/>
  <pageSetup paperSize="9" orientation="portrait" r:id="rId1"/>
  <ignoredErrors>
    <ignoredError sqref="D301:D334 D335:D36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488"/>
  <sheetViews>
    <sheetView workbookViewId="0">
      <selection activeCell="O5" sqref="O5"/>
    </sheetView>
  </sheetViews>
  <sheetFormatPr defaultColWidth="9" defaultRowHeight="13.5"/>
  <cols>
    <col min="1" max="5" width="9" style="3004"/>
    <col min="6" max="6" width="10.25" style="3004" bestFit="1" customWidth="1"/>
    <col min="7" max="16384" width="9" style="3004"/>
  </cols>
  <sheetData>
    <row r="1" spans="1:18">
      <c r="A1" s="3091" t="s">
        <v>3365</v>
      </c>
      <c r="B1" s="3091" t="s">
        <v>3366</v>
      </c>
      <c r="C1" s="3091" t="s">
        <v>3267</v>
      </c>
      <c r="D1" s="3003" t="s">
        <v>3290</v>
      </c>
      <c r="E1" s="3003" t="s">
        <v>3367</v>
      </c>
      <c r="F1" s="3003" t="s">
        <v>3368</v>
      </c>
      <c r="G1" s="3091" t="s">
        <v>3369</v>
      </c>
      <c r="I1" s="3010" t="s">
        <v>3394</v>
      </c>
      <c r="J1" s="3004">
        <v>49341.37</v>
      </c>
      <c r="K1" s="3004" t="s">
        <v>3395</v>
      </c>
      <c r="L1" s="3004">
        <v>23467.85</v>
      </c>
      <c r="M1" s="3004" t="s">
        <v>3396</v>
      </c>
      <c r="N1" s="3004">
        <v>12896.4</v>
      </c>
      <c r="O1" s="3004" t="s">
        <v>3397</v>
      </c>
      <c r="P1" s="3004">
        <v>5238.1899999999996</v>
      </c>
      <c r="Q1" s="3009" t="s">
        <v>3400</v>
      </c>
      <c r="R1" s="3004">
        <f>P1+N1+L1+J1</f>
        <v>90943.81</v>
      </c>
    </row>
    <row r="2" spans="1:18" ht="14.25" thickBot="1">
      <c r="A2" s="3092"/>
      <c r="B2" s="3092"/>
      <c r="C2" s="3092"/>
      <c r="D2" s="3005" t="s">
        <v>3370</v>
      </c>
      <c r="E2" s="3005" t="s">
        <v>3370</v>
      </c>
      <c r="F2" s="3005" t="s">
        <v>3370</v>
      </c>
      <c r="G2" s="3092"/>
    </row>
    <row r="3" spans="1:18" ht="14.25" thickBot="1">
      <c r="A3" s="3006" t="s">
        <v>3371</v>
      </c>
      <c r="B3" s="3007" t="s">
        <v>70</v>
      </c>
      <c r="C3" s="3007">
        <v>102</v>
      </c>
      <c r="D3" s="3007">
        <v>220.73</v>
      </c>
      <c r="E3" s="3007">
        <v>110.85</v>
      </c>
      <c r="F3" s="3007">
        <v>109.88</v>
      </c>
      <c r="G3" s="3005" t="s">
        <v>3372</v>
      </c>
    </row>
    <row r="4" spans="1:18" ht="14.25" thickBot="1">
      <c r="A4" s="3006" t="s">
        <v>3371</v>
      </c>
      <c r="B4" s="3007" t="s">
        <v>70</v>
      </c>
      <c r="C4" s="3007">
        <v>401</v>
      </c>
      <c r="D4" s="3007">
        <v>139.74</v>
      </c>
      <c r="E4" s="3007">
        <v>139.74</v>
      </c>
      <c r="F4" s="3007">
        <v>0</v>
      </c>
      <c r="G4" s="3005" t="s">
        <v>3372</v>
      </c>
    </row>
    <row r="5" spans="1:18" ht="14.25" thickBot="1">
      <c r="A5" s="3006" t="s">
        <v>3371</v>
      </c>
      <c r="B5" s="3007" t="s">
        <v>70</v>
      </c>
      <c r="C5" s="3007">
        <v>1601</v>
      </c>
      <c r="D5" s="3007">
        <v>139.74</v>
      </c>
      <c r="E5" s="3007">
        <v>139.74</v>
      </c>
      <c r="F5" s="3007">
        <v>0</v>
      </c>
      <c r="G5" s="3005" t="s">
        <v>3372</v>
      </c>
    </row>
    <row r="6" spans="1:18" ht="14.25" thickBot="1">
      <c r="A6" s="3006" t="s">
        <v>3373</v>
      </c>
      <c r="B6" s="3007" t="s">
        <v>3374</v>
      </c>
      <c r="C6" s="3007">
        <v>-101</v>
      </c>
      <c r="D6" s="3007">
        <v>99.48</v>
      </c>
      <c r="E6" s="3007">
        <v>0</v>
      </c>
      <c r="F6" s="3007">
        <v>99.48</v>
      </c>
      <c r="G6" s="3005" t="s">
        <v>3095</v>
      </c>
    </row>
    <row r="7" spans="1:18" ht="14.25" thickBot="1">
      <c r="A7" s="3006" t="s">
        <v>3373</v>
      </c>
      <c r="B7" s="3007" t="s">
        <v>3374</v>
      </c>
      <c r="C7" s="3007">
        <v>-102</v>
      </c>
      <c r="D7" s="3007">
        <v>100.48</v>
      </c>
      <c r="E7" s="3007">
        <v>0</v>
      </c>
      <c r="F7" s="3007">
        <v>100.48</v>
      </c>
      <c r="G7" s="3005" t="s">
        <v>3095</v>
      </c>
    </row>
    <row r="8" spans="1:18" ht="14.25" thickBot="1">
      <c r="A8" s="3006" t="s">
        <v>3373</v>
      </c>
      <c r="B8" s="3007" t="s">
        <v>3374</v>
      </c>
      <c r="C8" s="3007">
        <v>101</v>
      </c>
      <c r="D8" s="3007">
        <v>288.36</v>
      </c>
      <c r="E8" s="3007">
        <v>184.8</v>
      </c>
      <c r="F8" s="3007">
        <v>103.56</v>
      </c>
      <c r="G8" s="3005" t="s">
        <v>3095</v>
      </c>
    </row>
    <row r="9" spans="1:18" ht="14.25" thickBot="1">
      <c r="A9" s="3006" t="s">
        <v>3373</v>
      </c>
      <c r="B9" s="3007" t="s">
        <v>3374</v>
      </c>
      <c r="C9" s="3007">
        <v>102</v>
      </c>
      <c r="D9" s="3007">
        <v>287.02999999999997</v>
      </c>
      <c r="E9" s="3007">
        <v>183.49</v>
      </c>
      <c r="F9" s="3007">
        <v>103.54</v>
      </c>
      <c r="G9" s="3005" t="s">
        <v>3095</v>
      </c>
    </row>
    <row r="10" spans="1:18" ht="14.25" thickBot="1">
      <c r="A10" s="3006" t="s">
        <v>3373</v>
      </c>
      <c r="B10" s="3007" t="s">
        <v>3374</v>
      </c>
      <c r="C10" s="3007">
        <v>301</v>
      </c>
      <c r="D10" s="3007">
        <v>210.08</v>
      </c>
      <c r="E10" s="3007">
        <v>210.08</v>
      </c>
      <c r="F10" s="3007">
        <v>0</v>
      </c>
      <c r="G10" s="3005" t="s">
        <v>3095</v>
      </c>
    </row>
    <row r="11" spans="1:18" ht="14.25" thickBot="1">
      <c r="A11" s="3006" t="s">
        <v>3373</v>
      </c>
      <c r="B11" s="3007" t="s">
        <v>3374</v>
      </c>
      <c r="C11" s="3007">
        <v>302</v>
      </c>
      <c r="D11" s="3007">
        <v>208.28</v>
      </c>
      <c r="E11" s="3007">
        <v>208.28</v>
      </c>
      <c r="F11" s="3007">
        <v>0</v>
      </c>
      <c r="G11" s="3005" t="s">
        <v>3095</v>
      </c>
    </row>
    <row r="12" spans="1:18" ht="14.25" thickBot="1">
      <c r="A12" s="3006" t="s">
        <v>3373</v>
      </c>
      <c r="B12" s="3007" t="s">
        <v>3375</v>
      </c>
      <c r="C12" s="3007">
        <v>-101</v>
      </c>
      <c r="D12" s="3007">
        <v>99.47</v>
      </c>
      <c r="E12" s="3007">
        <v>0</v>
      </c>
      <c r="F12" s="3007">
        <v>99.47</v>
      </c>
      <c r="G12" s="3005" t="s">
        <v>3095</v>
      </c>
    </row>
    <row r="13" spans="1:18" ht="14.25" thickBot="1">
      <c r="A13" s="3006" t="s">
        <v>3373</v>
      </c>
      <c r="B13" s="3007" t="s">
        <v>3375</v>
      </c>
      <c r="C13" s="3007">
        <v>-102</v>
      </c>
      <c r="D13" s="3007">
        <v>100.5</v>
      </c>
      <c r="E13" s="3007">
        <v>0</v>
      </c>
      <c r="F13" s="3007">
        <v>100.5</v>
      </c>
      <c r="G13" s="3005" t="s">
        <v>3095</v>
      </c>
    </row>
    <row r="14" spans="1:18" ht="14.25" thickBot="1">
      <c r="A14" s="3006" t="s">
        <v>3373</v>
      </c>
      <c r="B14" s="3007" t="s">
        <v>3375</v>
      </c>
      <c r="C14" s="3007">
        <v>101</v>
      </c>
      <c r="D14" s="3007">
        <v>287.02999999999997</v>
      </c>
      <c r="E14" s="3007">
        <v>183.49</v>
      </c>
      <c r="F14" s="3007">
        <v>103.54</v>
      </c>
      <c r="G14" s="3005" t="s">
        <v>3095</v>
      </c>
    </row>
    <row r="15" spans="1:18" ht="14.25" thickBot="1">
      <c r="A15" s="3006" t="s">
        <v>3373</v>
      </c>
      <c r="B15" s="3007" t="s">
        <v>3375</v>
      </c>
      <c r="C15" s="3007">
        <v>102</v>
      </c>
      <c r="D15" s="3007">
        <v>287.02999999999997</v>
      </c>
      <c r="E15" s="3007">
        <v>183.49</v>
      </c>
      <c r="F15" s="3007">
        <v>103.54</v>
      </c>
      <c r="G15" s="3005" t="s">
        <v>3095</v>
      </c>
    </row>
    <row r="16" spans="1:18" ht="14.25" thickBot="1">
      <c r="A16" s="3006" t="s">
        <v>3373</v>
      </c>
      <c r="B16" s="3007" t="s">
        <v>3375</v>
      </c>
      <c r="C16" s="3007">
        <v>301</v>
      </c>
      <c r="D16" s="3007">
        <v>208.28</v>
      </c>
      <c r="E16" s="3007">
        <v>208.28</v>
      </c>
      <c r="F16" s="3007">
        <v>0</v>
      </c>
      <c r="G16" s="3005" t="s">
        <v>3095</v>
      </c>
    </row>
    <row r="17" spans="1:7" ht="14.25" thickBot="1">
      <c r="A17" s="3006" t="s">
        <v>3373</v>
      </c>
      <c r="B17" s="3007" t="s">
        <v>3375</v>
      </c>
      <c r="C17" s="3007">
        <v>302</v>
      </c>
      <c r="D17" s="3007">
        <v>208.28</v>
      </c>
      <c r="E17" s="3007">
        <v>208.28</v>
      </c>
      <c r="F17" s="3007">
        <v>0</v>
      </c>
      <c r="G17" s="3005" t="s">
        <v>3095</v>
      </c>
    </row>
    <row r="18" spans="1:7" ht="14.25" thickBot="1">
      <c r="A18" s="3006" t="s">
        <v>3373</v>
      </c>
      <c r="B18" s="3007" t="s">
        <v>3376</v>
      </c>
      <c r="C18" s="3007">
        <v>-101</v>
      </c>
      <c r="D18" s="3007">
        <v>99.47</v>
      </c>
      <c r="E18" s="3007">
        <v>0</v>
      </c>
      <c r="F18" s="3007">
        <v>99.47</v>
      </c>
      <c r="G18" s="3005" t="s">
        <v>3095</v>
      </c>
    </row>
    <row r="19" spans="1:7" ht="14.25" thickBot="1">
      <c r="A19" s="3006" t="s">
        <v>3373</v>
      </c>
      <c r="B19" s="3007" t="s">
        <v>3376</v>
      </c>
      <c r="C19" s="3007">
        <v>-102</v>
      </c>
      <c r="D19" s="3007">
        <v>102.46</v>
      </c>
      <c r="E19" s="3007">
        <v>0</v>
      </c>
      <c r="F19" s="3007">
        <v>102.46</v>
      </c>
      <c r="G19" s="3005" t="s">
        <v>3095</v>
      </c>
    </row>
    <row r="20" spans="1:7" ht="14.25" thickBot="1">
      <c r="A20" s="3006" t="s">
        <v>3373</v>
      </c>
      <c r="B20" s="3007" t="s">
        <v>3376</v>
      </c>
      <c r="C20" s="3007">
        <v>101</v>
      </c>
      <c r="D20" s="3007">
        <v>287.02999999999997</v>
      </c>
      <c r="E20" s="3007">
        <v>183.49</v>
      </c>
      <c r="F20" s="3007">
        <v>103.54</v>
      </c>
      <c r="G20" s="3005" t="s">
        <v>3095</v>
      </c>
    </row>
    <row r="21" spans="1:7" ht="14.25" thickBot="1">
      <c r="A21" s="3006" t="s">
        <v>3373</v>
      </c>
      <c r="B21" s="3007" t="s">
        <v>3376</v>
      </c>
      <c r="C21" s="3007">
        <v>102</v>
      </c>
      <c r="D21" s="3007">
        <v>289.77999999999997</v>
      </c>
      <c r="E21" s="3007">
        <v>183.42</v>
      </c>
      <c r="F21" s="3007">
        <v>106.36</v>
      </c>
      <c r="G21" s="3005" t="s">
        <v>3095</v>
      </c>
    </row>
    <row r="22" spans="1:7" ht="14.25" thickBot="1">
      <c r="A22" s="3006" t="s">
        <v>3373</v>
      </c>
      <c r="B22" s="3007" t="s">
        <v>3376</v>
      </c>
      <c r="C22" s="3007">
        <v>301</v>
      </c>
      <c r="D22" s="3007">
        <v>208.28</v>
      </c>
      <c r="E22" s="3007">
        <v>208.28</v>
      </c>
      <c r="F22" s="3007">
        <v>0</v>
      </c>
      <c r="G22" s="3005" t="s">
        <v>3095</v>
      </c>
    </row>
    <row r="23" spans="1:7" ht="14.25" thickBot="1">
      <c r="A23" s="3006" t="s">
        <v>3373</v>
      </c>
      <c r="B23" s="3007" t="s">
        <v>3376</v>
      </c>
      <c r="C23" s="3007">
        <v>302</v>
      </c>
      <c r="D23" s="3007">
        <v>208.28</v>
      </c>
      <c r="E23" s="3007">
        <v>208.28</v>
      </c>
      <c r="F23" s="3007">
        <v>0</v>
      </c>
      <c r="G23" s="3005" t="s">
        <v>3095</v>
      </c>
    </row>
    <row r="24" spans="1:7" ht="14.25" thickBot="1">
      <c r="A24" s="3006" t="s">
        <v>3373</v>
      </c>
      <c r="B24" s="3007" t="s">
        <v>3377</v>
      </c>
      <c r="C24" s="3007">
        <v>-101</v>
      </c>
      <c r="D24" s="3007">
        <v>101.45</v>
      </c>
      <c r="E24" s="3007">
        <v>0</v>
      </c>
      <c r="F24" s="3007">
        <v>101.45</v>
      </c>
      <c r="G24" s="3005" t="s">
        <v>3095</v>
      </c>
    </row>
    <row r="25" spans="1:7" ht="14.25" thickBot="1">
      <c r="A25" s="3006" t="s">
        <v>3373</v>
      </c>
      <c r="B25" s="3007" t="s">
        <v>3377</v>
      </c>
      <c r="C25" s="3007">
        <v>-102</v>
      </c>
      <c r="D25" s="3007">
        <v>100.5</v>
      </c>
      <c r="E25" s="3007">
        <v>0</v>
      </c>
      <c r="F25" s="3007">
        <v>100.5</v>
      </c>
      <c r="G25" s="3005" t="s">
        <v>3095</v>
      </c>
    </row>
    <row r="26" spans="1:7" ht="14.25" thickBot="1">
      <c r="A26" s="3006" t="s">
        <v>3373</v>
      </c>
      <c r="B26" s="3007" t="s">
        <v>3377</v>
      </c>
      <c r="C26" s="3007">
        <v>101</v>
      </c>
      <c r="D26" s="3007">
        <v>289.85000000000002</v>
      </c>
      <c r="E26" s="3007">
        <v>183.49</v>
      </c>
      <c r="F26" s="3007">
        <v>106.36</v>
      </c>
      <c r="G26" s="3005" t="s">
        <v>3095</v>
      </c>
    </row>
    <row r="27" spans="1:7" ht="14.25" thickBot="1">
      <c r="A27" s="3006" t="s">
        <v>3373</v>
      </c>
      <c r="B27" s="3007" t="s">
        <v>3377</v>
      </c>
      <c r="C27" s="3007">
        <v>102</v>
      </c>
      <c r="D27" s="3007">
        <v>287.02999999999997</v>
      </c>
      <c r="E27" s="3007">
        <v>183.49</v>
      </c>
      <c r="F27" s="3007">
        <v>103.54</v>
      </c>
      <c r="G27" s="3005" t="s">
        <v>3095</v>
      </c>
    </row>
    <row r="28" spans="1:7" ht="14.25" thickBot="1">
      <c r="A28" s="3006" t="s">
        <v>3373</v>
      </c>
      <c r="B28" s="3007" t="s">
        <v>3377</v>
      </c>
      <c r="C28" s="3007">
        <v>301</v>
      </c>
      <c r="D28" s="3007">
        <v>208.28</v>
      </c>
      <c r="E28" s="3007">
        <v>208.28</v>
      </c>
      <c r="F28" s="3007">
        <v>0</v>
      </c>
      <c r="G28" s="3005" t="s">
        <v>3095</v>
      </c>
    </row>
    <row r="29" spans="1:7" ht="14.25" thickBot="1">
      <c r="A29" s="3006" t="s">
        <v>3373</v>
      </c>
      <c r="B29" s="3007" t="s">
        <v>3377</v>
      </c>
      <c r="C29" s="3007">
        <v>302</v>
      </c>
      <c r="D29" s="3007">
        <v>208.28</v>
      </c>
      <c r="E29" s="3007">
        <v>208.28</v>
      </c>
      <c r="F29" s="3007">
        <v>0</v>
      </c>
      <c r="G29" s="3005" t="s">
        <v>3095</v>
      </c>
    </row>
    <row r="30" spans="1:7" ht="14.25" thickBot="1">
      <c r="A30" s="3006" t="s">
        <v>3373</v>
      </c>
      <c r="B30" s="3007" t="s">
        <v>3378</v>
      </c>
      <c r="C30" s="3007">
        <v>-101</v>
      </c>
      <c r="D30" s="3007">
        <v>99.47</v>
      </c>
      <c r="E30" s="3007">
        <v>0</v>
      </c>
      <c r="F30" s="3007">
        <v>99.47</v>
      </c>
      <c r="G30" s="3005" t="s">
        <v>3095</v>
      </c>
    </row>
    <row r="31" spans="1:7" ht="14.25" thickBot="1">
      <c r="A31" s="3006" t="s">
        <v>3373</v>
      </c>
      <c r="B31" s="3007" t="s">
        <v>3378</v>
      </c>
      <c r="C31" s="3007">
        <v>-102</v>
      </c>
      <c r="D31" s="3007">
        <v>100.5</v>
      </c>
      <c r="E31" s="3007">
        <v>0</v>
      </c>
      <c r="F31" s="3007">
        <v>100.5</v>
      </c>
      <c r="G31" s="3005" t="s">
        <v>3095</v>
      </c>
    </row>
    <row r="32" spans="1:7" ht="14.25" thickBot="1">
      <c r="A32" s="3006" t="s">
        <v>3373</v>
      </c>
      <c r="B32" s="3007" t="s">
        <v>3378</v>
      </c>
      <c r="C32" s="3007">
        <v>101</v>
      </c>
      <c r="D32" s="3007">
        <v>287.02999999999997</v>
      </c>
      <c r="E32" s="3007">
        <v>183.49</v>
      </c>
      <c r="F32" s="3007">
        <v>103.54</v>
      </c>
      <c r="G32" s="3005" t="s">
        <v>3095</v>
      </c>
    </row>
    <row r="33" spans="1:7" ht="14.25" thickBot="1">
      <c r="A33" s="3006" t="s">
        <v>3373</v>
      </c>
      <c r="B33" s="3007" t="s">
        <v>3378</v>
      </c>
      <c r="C33" s="3007">
        <v>102</v>
      </c>
      <c r="D33" s="3007">
        <v>288.33999999999997</v>
      </c>
      <c r="E33" s="3007">
        <v>184.8</v>
      </c>
      <c r="F33" s="3007">
        <v>103.54</v>
      </c>
      <c r="G33" s="3005" t="s">
        <v>3095</v>
      </c>
    </row>
    <row r="34" spans="1:7" ht="14.25" thickBot="1">
      <c r="A34" s="3006" t="s">
        <v>3373</v>
      </c>
      <c r="B34" s="3007" t="s">
        <v>3378</v>
      </c>
      <c r="C34" s="3007">
        <v>301</v>
      </c>
      <c r="D34" s="3007">
        <v>208.28</v>
      </c>
      <c r="E34" s="3007">
        <v>208.28</v>
      </c>
      <c r="F34" s="3007">
        <v>0</v>
      </c>
      <c r="G34" s="3005" t="s">
        <v>3095</v>
      </c>
    </row>
    <row r="35" spans="1:7" ht="14.25" thickBot="1">
      <c r="A35" s="3006" t="s">
        <v>3373</v>
      </c>
      <c r="B35" s="3007" t="s">
        <v>3378</v>
      </c>
      <c r="C35" s="3007">
        <v>302</v>
      </c>
      <c r="D35" s="3007">
        <v>210.08</v>
      </c>
      <c r="E35" s="3007">
        <v>210.08</v>
      </c>
      <c r="F35" s="3007">
        <v>0</v>
      </c>
      <c r="G35" s="3005" t="s">
        <v>3095</v>
      </c>
    </row>
    <row r="36" spans="1:7" ht="14.25" thickBot="1">
      <c r="A36" s="3006" t="s">
        <v>3379</v>
      </c>
      <c r="B36" s="3007" t="s">
        <v>3374</v>
      </c>
      <c r="C36" s="3007">
        <v>-101</v>
      </c>
      <c r="D36" s="3007">
        <v>99.48</v>
      </c>
      <c r="E36" s="3007">
        <v>0</v>
      </c>
      <c r="F36" s="3007">
        <v>99.48</v>
      </c>
      <c r="G36" s="3005" t="s">
        <v>3095</v>
      </c>
    </row>
    <row r="37" spans="1:7" ht="14.25" thickBot="1">
      <c r="A37" s="3006" t="s">
        <v>3379</v>
      </c>
      <c r="B37" s="3007" t="s">
        <v>3374</v>
      </c>
      <c r="C37" s="3007">
        <v>-102</v>
      </c>
      <c r="D37" s="3007">
        <v>100.48</v>
      </c>
      <c r="E37" s="3007">
        <v>0</v>
      </c>
      <c r="F37" s="3007">
        <v>100.48</v>
      </c>
      <c r="G37" s="3005" t="s">
        <v>3095</v>
      </c>
    </row>
    <row r="38" spans="1:7" ht="14.25" thickBot="1">
      <c r="A38" s="3006" t="s">
        <v>3379</v>
      </c>
      <c r="B38" s="3007" t="s">
        <v>3374</v>
      </c>
      <c r="C38" s="3007">
        <v>101</v>
      </c>
      <c r="D38" s="3007">
        <v>288.36</v>
      </c>
      <c r="E38" s="3007">
        <v>184.8</v>
      </c>
      <c r="F38" s="3007">
        <v>103.56</v>
      </c>
      <c r="G38" s="3005" t="s">
        <v>3095</v>
      </c>
    </row>
    <row r="39" spans="1:7" ht="14.25" thickBot="1">
      <c r="A39" s="3006" t="s">
        <v>3379</v>
      </c>
      <c r="B39" s="3007" t="s">
        <v>3374</v>
      </c>
      <c r="C39" s="3007">
        <v>102</v>
      </c>
      <c r="D39" s="3007">
        <v>287.02999999999997</v>
      </c>
      <c r="E39" s="3007">
        <v>183.49</v>
      </c>
      <c r="F39" s="3007">
        <v>103.54</v>
      </c>
      <c r="G39" s="3005" t="s">
        <v>3095</v>
      </c>
    </row>
    <row r="40" spans="1:7" ht="14.25" thickBot="1">
      <c r="A40" s="3006" t="s">
        <v>3379</v>
      </c>
      <c r="B40" s="3007" t="s">
        <v>3374</v>
      </c>
      <c r="C40" s="3007">
        <v>301</v>
      </c>
      <c r="D40" s="3007">
        <v>210.08</v>
      </c>
      <c r="E40" s="3007">
        <v>210.08</v>
      </c>
      <c r="F40" s="3007">
        <v>0</v>
      </c>
      <c r="G40" s="3005" t="s">
        <v>3095</v>
      </c>
    </row>
    <row r="41" spans="1:7" ht="14.25" thickBot="1">
      <c r="A41" s="3006" t="s">
        <v>3379</v>
      </c>
      <c r="B41" s="3007" t="s">
        <v>3374</v>
      </c>
      <c r="C41" s="3007">
        <v>302</v>
      </c>
      <c r="D41" s="3007">
        <v>208.28</v>
      </c>
      <c r="E41" s="3007">
        <v>208.28</v>
      </c>
      <c r="F41" s="3007">
        <v>0</v>
      </c>
      <c r="G41" s="3005" t="s">
        <v>3095</v>
      </c>
    </row>
    <row r="42" spans="1:7" ht="14.25" thickBot="1">
      <c r="A42" s="3006" t="s">
        <v>3379</v>
      </c>
      <c r="B42" s="3007" t="s">
        <v>3375</v>
      </c>
      <c r="C42" s="3007">
        <v>-101</v>
      </c>
      <c r="D42" s="3007">
        <v>99.47</v>
      </c>
      <c r="E42" s="3007">
        <v>0</v>
      </c>
      <c r="F42" s="3007">
        <v>99.47</v>
      </c>
      <c r="G42" s="3005" t="s">
        <v>3095</v>
      </c>
    </row>
    <row r="43" spans="1:7" ht="14.25" thickBot="1">
      <c r="A43" s="3006" t="s">
        <v>3379</v>
      </c>
      <c r="B43" s="3007" t="s">
        <v>3375</v>
      </c>
      <c r="C43" s="3007">
        <v>-102</v>
      </c>
      <c r="D43" s="3007">
        <v>100.5</v>
      </c>
      <c r="E43" s="3007">
        <v>0</v>
      </c>
      <c r="F43" s="3007">
        <v>100.5</v>
      </c>
      <c r="G43" s="3005" t="s">
        <v>3095</v>
      </c>
    </row>
    <row r="44" spans="1:7" ht="14.25" thickBot="1">
      <c r="A44" s="3006" t="s">
        <v>3379</v>
      </c>
      <c r="B44" s="3007" t="s">
        <v>3375</v>
      </c>
      <c r="C44" s="3007">
        <v>101</v>
      </c>
      <c r="D44" s="3007">
        <v>287.02999999999997</v>
      </c>
      <c r="E44" s="3007">
        <v>183.49</v>
      </c>
      <c r="F44" s="3007">
        <v>103.54</v>
      </c>
      <c r="G44" s="3005" t="s">
        <v>3095</v>
      </c>
    </row>
    <row r="45" spans="1:7" ht="14.25" thickBot="1">
      <c r="A45" s="3006" t="s">
        <v>3379</v>
      </c>
      <c r="B45" s="3007" t="s">
        <v>3375</v>
      </c>
      <c r="C45" s="3007">
        <v>102</v>
      </c>
      <c r="D45" s="3007">
        <v>287.02999999999997</v>
      </c>
      <c r="E45" s="3007">
        <v>183.49</v>
      </c>
      <c r="F45" s="3007">
        <v>103.54</v>
      </c>
      <c r="G45" s="3005" t="s">
        <v>3095</v>
      </c>
    </row>
    <row r="46" spans="1:7" ht="14.25" thickBot="1">
      <c r="A46" s="3006" t="s">
        <v>3379</v>
      </c>
      <c r="B46" s="3007" t="s">
        <v>3375</v>
      </c>
      <c r="C46" s="3007">
        <v>301</v>
      </c>
      <c r="D46" s="3007">
        <v>208.28</v>
      </c>
      <c r="E46" s="3007">
        <v>208.28</v>
      </c>
      <c r="F46" s="3007">
        <v>0</v>
      </c>
      <c r="G46" s="3005" t="s">
        <v>3095</v>
      </c>
    </row>
    <row r="47" spans="1:7" ht="14.25" thickBot="1">
      <c r="A47" s="3006" t="s">
        <v>3379</v>
      </c>
      <c r="B47" s="3007" t="s">
        <v>3375</v>
      </c>
      <c r="C47" s="3007">
        <v>302</v>
      </c>
      <c r="D47" s="3007">
        <v>208.28</v>
      </c>
      <c r="E47" s="3007">
        <v>208.28</v>
      </c>
      <c r="F47" s="3007">
        <v>0</v>
      </c>
      <c r="G47" s="3005" t="s">
        <v>3095</v>
      </c>
    </row>
    <row r="48" spans="1:7" ht="14.25" thickBot="1">
      <c r="A48" s="3006" t="s">
        <v>3379</v>
      </c>
      <c r="B48" s="3007" t="s">
        <v>3376</v>
      </c>
      <c r="C48" s="3007">
        <v>-101</v>
      </c>
      <c r="D48" s="3007">
        <v>99.47</v>
      </c>
      <c r="E48" s="3007">
        <v>0</v>
      </c>
      <c r="F48" s="3007">
        <v>99.47</v>
      </c>
      <c r="G48" s="3005" t="s">
        <v>3095</v>
      </c>
    </row>
    <row r="49" spans="1:7" ht="14.25" thickBot="1">
      <c r="A49" s="3006" t="s">
        <v>3379</v>
      </c>
      <c r="B49" s="3007" t="s">
        <v>3376</v>
      </c>
      <c r="C49" s="3007">
        <v>-102</v>
      </c>
      <c r="D49" s="3007">
        <v>102.46</v>
      </c>
      <c r="E49" s="3007">
        <v>0</v>
      </c>
      <c r="F49" s="3007">
        <v>102.46</v>
      </c>
      <c r="G49" s="3005" t="s">
        <v>3095</v>
      </c>
    </row>
    <row r="50" spans="1:7" ht="14.25" thickBot="1">
      <c r="A50" s="3006" t="s">
        <v>3379</v>
      </c>
      <c r="B50" s="3007" t="s">
        <v>3376</v>
      </c>
      <c r="C50" s="3007">
        <v>101</v>
      </c>
      <c r="D50" s="3007">
        <v>287.02999999999997</v>
      </c>
      <c r="E50" s="3007">
        <v>183.49</v>
      </c>
      <c r="F50" s="3007">
        <v>103.54</v>
      </c>
      <c r="G50" s="3005" t="s">
        <v>3095</v>
      </c>
    </row>
    <row r="51" spans="1:7" ht="14.25" thickBot="1">
      <c r="A51" s="3006" t="s">
        <v>3379</v>
      </c>
      <c r="B51" s="3007" t="s">
        <v>3376</v>
      </c>
      <c r="C51" s="3007">
        <v>102</v>
      </c>
      <c r="D51" s="3007">
        <v>289.77999999999997</v>
      </c>
      <c r="E51" s="3007">
        <v>183.42</v>
      </c>
      <c r="F51" s="3007">
        <v>106.36</v>
      </c>
      <c r="G51" s="3005" t="s">
        <v>3095</v>
      </c>
    </row>
    <row r="52" spans="1:7" ht="14.25" thickBot="1">
      <c r="A52" s="3006" t="s">
        <v>3379</v>
      </c>
      <c r="B52" s="3007" t="s">
        <v>3376</v>
      </c>
      <c r="C52" s="3007">
        <v>301</v>
      </c>
      <c r="D52" s="3007">
        <v>208.28</v>
      </c>
      <c r="E52" s="3007">
        <v>208.28</v>
      </c>
      <c r="F52" s="3007">
        <v>0</v>
      </c>
      <c r="G52" s="3005" t="s">
        <v>3095</v>
      </c>
    </row>
    <row r="53" spans="1:7" ht="14.25" thickBot="1">
      <c r="A53" s="3006" t="s">
        <v>3379</v>
      </c>
      <c r="B53" s="3007" t="s">
        <v>3376</v>
      </c>
      <c r="C53" s="3007">
        <v>302</v>
      </c>
      <c r="D53" s="3007">
        <v>208.28</v>
      </c>
      <c r="E53" s="3007">
        <v>208.28</v>
      </c>
      <c r="F53" s="3007">
        <v>0</v>
      </c>
      <c r="G53" s="3005" t="s">
        <v>3095</v>
      </c>
    </row>
    <row r="54" spans="1:7" ht="14.25" thickBot="1">
      <c r="A54" s="3006" t="s">
        <v>3379</v>
      </c>
      <c r="B54" s="3007" t="s">
        <v>3377</v>
      </c>
      <c r="C54" s="3007">
        <v>-101</v>
      </c>
      <c r="D54" s="3007">
        <v>101.45</v>
      </c>
      <c r="E54" s="3007">
        <v>0</v>
      </c>
      <c r="F54" s="3007">
        <v>101.45</v>
      </c>
      <c r="G54" s="3005" t="s">
        <v>3095</v>
      </c>
    </row>
    <row r="55" spans="1:7" ht="14.25" thickBot="1">
      <c r="A55" s="3006" t="s">
        <v>3379</v>
      </c>
      <c r="B55" s="3007" t="s">
        <v>3377</v>
      </c>
      <c r="C55" s="3007">
        <v>-102</v>
      </c>
      <c r="D55" s="3007">
        <v>100.5</v>
      </c>
      <c r="E55" s="3007">
        <v>0</v>
      </c>
      <c r="F55" s="3007">
        <v>100.5</v>
      </c>
      <c r="G55" s="3005" t="s">
        <v>3095</v>
      </c>
    </row>
    <row r="56" spans="1:7" ht="14.25" thickBot="1">
      <c r="A56" s="3006" t="s">
        <v>3379</v>
      </c>
      <c r="B56" s="3007" t="s">
        <v>3377</v>
      </c>
      <c r="C56" s="3007">
        <v>101</v>
      </c>
      <c r="D56" s="3007">
        <v>289.85000000000002</v>
      </c>
      <c r="E56" s="3007">
        <v>183.49</v>
      </c>
      <c r="F56" s="3007">
        <v>106.36</v>
      </c>
      <c r="G56" s="3005" t="s">
        <v>3095</v>
      </c>
    </row>
    <row r="57" spans="1:7" ht="14.25" thickBot="1">
      <c r="A57" s="3006" t="s">
        <v>3379</v>
      </c>
      <c r="B57" s="3007" t="s">
        <v>3377</v>
      </c>
      <c r="C57" s="3007">
        <v>102</v>
      </c>
      <c r="D57" s="3007">
        <v>287.02999999999997</v>
      </c>
      <c r="E57" s="3007">
        <v>183.49</v>
      </c>
      <c r="F57" s="3007">
        <v>103.54</v>
      </c>
      <c r="G57" s="3005" t="s">
        <v>3095</v>
      </c>
    </row>
    <row r="58" spans="1:7" ht="14.25" thickBot="1">
      <c r="A58" s="3006" t="s">
        <v>3379</v>
      </c>
      <c r="B58" s="3007" t="s">
        <v>3377</v>
      </c>
      <c r="C58" s="3007">
        <v>301</v>
      </c>
      <c r="D58" s="3007">
        <v>208.28</v>
      </c>
      <c r="E58" s="3007">
        <v>208.28</v>
      </c>
      <c r="F58" s="3007">
        <v>0</v>
      </c>
      <c r="G58" s="3005" t="s">
        <v>3095</v>
      </c>
    </row>
    <row r="59" spans="1:7" ht="14.25" thickBot="1">
      <c r="A59" s="3006" t="s">
        <v>3379</v>
      </c>
      <c r="B59" s="3007" t="s">
        <v>3377</v>
      </c>
      <c r="C59" s="3007">
        <v>302</v>
      </c>
      <c r="D59" s="3007">
        <v>208.28</v>
      </c>
      <c r="E59" s="3007">
        <v>208.28</v>
      </c>
      <c r="F59" s="3007">
        <v>0</v>
      </c>
      <c r="G59" s="3005" t="s">
        <v>3095</v>
      </c>
    </row>
    <row r="60" spans="1:7" ht="14.25" thickBot="1">
      <c r="A60" s="3006" t="s">
        <v>3379</v>
      </c>
      <c r="B60" s="3007" t="s">
        <v>3378</v>
      </c>
      <c r="C60" s="3007">
        <v>-101</v>
      </c>
      <c r="D60" s="3007">
        <v>99.47</v>
      </c>
      <c r="E60" s="3007">
        <v>0</v>
      </c>
      <c r="F60" s="3007">
        <v>99.47</v>
      </c>
      <c r="G60" s="3005" t="s">
        <v>3095</v>
      </c>
    </row>
    <row r="61" spans="1:7" ht="14.25" thickBot="1">
      <c r="A61" s="3006" t="s">
        <v>3379</v>
      </c>
      <c r="B61" s="3007" t="s">
        <v>3378</v>
      </c>
      <c r="C61" s="3007">
        <v>-102</v>
      </c>
      <c r="D61" s="3007">
        <v>100.5</v>
      </c>
      <c r="E61" s="3007">
        <v>0</v>
      </c>
      <c r="F61" s="3007">
        <v>100.5</v>
      </c>
      <c r="G61" s="3005" t="s">
        <v>3095</v>
      </c>
    </row>
    <row r="62" spans="1:7" ht="14.25" thickBot="1">
      <c r="A62" s="3006" t="s">
        <v>3379</v>
      </c>
      <c r="B62" s="3007" t="s">
        <v>3378</v>
      </c>
      <c r="C62" s="3007">
        <v>101</v>
      </c>
      <c r="D62" s="3007">
        <v>287.02999999999997</v>
      </c>
      <c r="E62" s="3007">
        <v>183.49</v>
      </c>
      <c r="F62" s="3007">
        <v>103.54</v>
      </c>
      <c r="G62" s="3005" t="s">
        <v>3095</v>
      </c>
    </row>
    <row r="63" spans="1:7" ht="14.25" thickBot="1">
      <c r="A63" s="3006" t="s">
        <v>3379</v>
      </c>
      <c r="B63" s="3007" t="s">
        <v>3378</v>
      </c>
      <c r="C63" s="3007">
        <v>102</v>
      </c>
      <c r="D63" s="3007">
        <v>288.33999999999997</v>
      </c>
      <c r="E63" s="3007">
        <v>184.8</v>
      </c>
      <c r="F63" s="3007">
        <v>103.54</v>
      </c>
      <c r="G63" s="3005" t="s">
        <v>3095</v>
      </c>
    </row>
    <row r="64" spans="1:7" ht="14.25" thickBot="1">
      <c r="A64" s="3006" t="s">
        <v>3379</v>
      </c>
      <c r="B64" s="3007" t="s">
        <v>3378</v>
      </c>
      <c r="C64" s="3007">
        <v>301</v>
      </c>
      <c r="D64" s="3007">
        <v>208.28</v>
      </c>
      <c r="E64" s="3007">
        <v>208.28</v>
      </c>
      <c r="F64" s="3007">
        <v>0</v>
      </c>
      <c r="G64" s="3005" t="s">
        <v>3095</v>
      </c>
    </row>
    <row r="65" spans="1:7" ht="14.25" thickBot="1">
      <c r="A65" s="3006" t="s">
        <v>3379</v>
      </c>
      <c r="B65" s="3007" t="s">
        <v>3378</v>
      </c>
      <c r="C65" s="3007">
        <v>302</v>
      </c>
      <c r="D65" s="3007">
        <v>210.08</v>
      </c>
      <c r="E65" s="3007">
        <v>210.08</v>
      </c>
      <c r="F65" s="3007">
        <v>0</v>
      </c>
      <c r="G65" s="3005" t="s">
        <v>3095</v>
      </c>
    </row>
    <row r="66" spans="1:7" ht="14.25" thickBot="1">
      <c r="A66" s="3006" t="s">
        <v>3380</v>
      </c>
      <c r="B66" s="3007" t="s">
        <v>3374</v>
      </c>
      <c r="C66" s="3007">
        <v>101</v>
      </c>
      <c r="D66" s="3007">
        <v>342.52</v>
      </c>
      <c r="E66" s="3007">
        <v>155.82</v>
      </c>
      <c r="F66" s="3007">
        <v>186.7</v>
      </c>
      <c r="G66" s="3005" t="s">
        <v>3372</v>
      </c>
    </row>
    <row r="67" spans="1:7" ht="14.25" thickBot="1">
      <c r="A67" s="3006" t="s">
        <v>3380</v>
      </c>
      <c r="B67" s="3007" t="s">
        <v>3374</v>
      </c>
      <c r="C67" s="3007">
        <v>102</v>
      </c>
      <c r="D67" s="3007">
        <v>295.39999999999998</v>
      </c>
      <c r="E67" s="3007">
        <v>133.99</v>
      </c>
      <c r="F67" s="3007">
        <v>161.41</v>
      </c>
      <c r="G67" s="3005" t="s">
        <v>3372</v>
      </c>
    </row>
    <row r="68" spans="1:7" ht="14.25" thickBot="1">
      <c r="A68" s="3006" t="s">
        <v>3380</v>
      </c>
      <c r="B68" s="3007" t="s">
        <v>3374</v>
      </c>
      <c r="C68" s="3007">
        <v>201</v>
      </c>
      <c r="D68" s="3007">
        <v>184.49</v>
      </c>
      <c r="E68" s="3007">
        <v>184.49</v>
      </c>
      <c r="F68" s="3007">
        <v>0</v>
      </c>
      <c r="G68" s="3005" t="s">
        <v>3372</v>
      </c>
    </row>
    <row r="69" spans="1:7" ht="14.25" thickBot="1">
      <c r="A69" s="3006" t="s">
        <v>3380</v>
      </c>
      <c r="B69" s="3007" t="s">
        <v>3374</v>
      </c>
      <c r="C69" s="3007">
        <v>202</v>
      </c>
      <c r="D69" s="3007">
        <v>154.07</v>
      </c>
      <c r="E69" s="3007">
        <v>154.07</v>
      </c>
      <c r="F69" s="3007">
        <v>0</v>
      </c>
      <c r="G69" s="3005" t="s">
        <v>3372</v>
      </c>
    </row>
    <row r="70" spans="1:7" ht="14.25" thickBot="1">
      <c r="A70" s="3006" t="s">
        <v>3380</v>
      </c>
      <c r="B70" s="3007" t="s">
        <v>3374</v>
      </c>
      <c r="C70" s="3007">
        <v>301</v>
      </c>
      <c r="D70" s="3007">
        <v>184.81</v>
      </c>
      <c r="E70" s="3007">
        <v>184.81</v>
      </c>
      <c r="F70" s="3007">
        <v>0</v>
      </c>
      <c r="G70" s="3005" t="s">
        <v>3372</v>
      </c>
    </row>
    <row r="71" spans="1:7" ht="14.25" thickBot="1">
      <c r="A71" s="3006" t="s">
        <v>3380</v>
      </c>
      <c r="B71" s="3007" t="s">
        <v>3374</v>
      </c>
      <c r="C71" s="3007">
        <v>302</v>
      </c>
      <c r="D71" s="3007">
        <v>154.69</v>
      </c>
      <c r="E71" s="3007">
        <v>154.69</v>
      </c>
      <c r="F71" s="3007">
        <v>0</v>
      </c>
      <c r="G71" s="3005" t="s">
        <v>3372</v>
      </c>
    </row>
    <row r="72" spans="1:7" ht="14.25" thickBot="1">
      <c r="A72" s="3006" t="s">
        <v>3380</v>
      </c>
      <c r="B72" s="3007" t="s">
        <v>3374</v>
      </c>
      <c r="C72" s="3007">
        <v>401</v>
      </c>
      <c r="D72" s="3007">
        <v>184.81</v>
      </c>
      <c r="E72" s="3007">
        <v>184.81</v>
      </c>
      <c r="F72" s="3007">
        <v>0</v>
      </c>
      <c r="G72" s="3005" t="s">
        <v>3372</v>
      </c>
    </row>
    <row r="73" spans="1:7" ht="14.25" thickBot="1">
      <c r="A73" s="3006" t="s">
        <v>3380</v>
      </c>
      <c r="B73" s="3007" t="s">
        <v>3374</v>
      </c>
      <c r="C73" s="3007">
        <v>402</v>
      </c>
      <c r="D73" s="3007">
        <v>154.69</v>
      </c>
      <c r="E73" s="3007">
        <v>154.69</v>
      </c>
      <c r="F73" s="3007">
        <v>0</v>
      </c>
      <c r="G73" s="3005" t="s">
        <v>3372</v>
      </c>
    </row>
    <row r="74" spans="1:7" ht="14.25" thickBot="1">
      <c r="A74" s="3006" t="s">
        <v>3380</v>
      </c>
      <c r="B74" s="3007" t="s">
        <v>3374</v>
      </c>
      <c r="C74" s="3007">
        <v>501</v>
      </c>
      <c r="D74" s="3007">
        <v>184.81</v>
      </c>
      <c r="E74" s="3007">
        <v>184.81</v>
      </c>
      <c r="F74" s="3007">
        <v>0</v>
      </c>
      <c r="G74" s="3005" t="s">
        <v>3372</v>
      </c>
    </row>
    <row r="75" spans="1:7" ht="14.25" thickBot="1">
      <c r="A75" s="3006" t="s">
        <v>3380</v>
      </c>
      <c r="B75" s="3007" t="s">
        <v>3374</v>
      </c>
      <c r="C75" s="3007">
        <v>502</v>
      </c>
      <c r="D75" s="3007">
        <v>154.69</v>
      </c>
      <c r="E75" s="3007">
        <v>154.69</v>
      </c>
      <c r="F75" s="3007">
        <v>0</v>
      </c>
      <c r="G75" s="3005" t="s">
        <v>3372</v>
      </c>
    </row>
    <row r="76" spans="1:7" ht="14.25" thickBot="1">
      <c r="A76" s="3006" t="s">
        <v>3380</v>
      </c>
      <c r="B76" s="3007" t="s">
        <v>3374</v>
      </c>
      <c r="C76" s="3007">
        <v>601</v>
      </c>
      <c r="D76" s="3007">
        <v>184.81</v>
      </c>
      <c r="E76" s="3007">
        <v>184.81</v>
      </c>
      <c r="F76" s="3007">
        <v>0</v>
      </c>
      <c r="G76" s="3005" t="s">
        <v>3372</v>
      </c>
    </row>
    <row r="77" spans="1:7" ht="14.25" thickBot="1">
      <c r="A77" s="3006" t="s">
        <v>3380</v>
      </c>
      <c r="B77" s="3007" t="s">
        <v>3374</v>
      </c>
      <c r="C77" s="3007">
        <v>602</v>
      </c>
      <c r="D77" s="3007">
        <v>154.69</v>
      </c>
      <c r="E77" s="3007">
        <v>154.69</v>
      </c>
      <c r="F77" s="3007">
        <v>0</v>
      </c>
      <c r="G77" s="3005" t="s">
        <v>3372</v>
      </c>
    </row>
    <row r="78" spans="1:7" ht="14.25" thickBot="1">
      <c r="A78" s="3006" t="s">
        <v>3380</v>
      </c>
      <c r="B78" s="3007" t="s">
        <v>3374</v>
      </c>
      <c r="C78" s="3007">
        <v>701</v>
      </c>
      <c r="D78" s="3007">
        <v>184.81</v>
      </c>
      <c r="E78" s="3007">
        <v>184.81</v>
      </c>
      <c r="F78" s="3007">
        <v>0</v>
      </c>
      <c r="G78" s="3005" t="s">
        <v>3372</v>
      </c>
    </row>
    <row r="79" spans="1:7" ht="14.25" thickBot="1">
      <c r="A79" s="3006" t="s">
        <v>3380</v>
      </c>
      <c r="B79" s="3007" t="s">
        <v>3374</v>
      </c>
      <c r="C79" s="3007">
        <v>702</v>
      </c>
      <c r="D79" s="3007">
        <v>154.69</v>
      </c>
      <c r="E79" s="3007">
        <v>154.69</v>
      </c>
      <c r="F79" s="3007">
        <v>0</v>
      </c>
      <c r="G79" s="3005" t="s">
        <v>3372</v>
      </c>
    </row>
    <row r="80" spans="1:7" ht="14.25" thickBot="1">
      <c r="A80" s="3006" t="s">
        <v>3380</v>
      </c>
      <c r="B80" s="3007" t="s">
        <v>3374</v>
      </c>
      <c r="C80" s="3007">
        <v>801</v>
      </c>
      <c r="D80" s="3007">
        <v>184.81</v>
      </c>
      <c r="E80" s="3007">
        <v>184.81</v>
      </c>
      <c r="F80" s="3007">
        <v>0</v>
      </c>
      <c r="G80" s="3005" t="s">
        <v>3372</v>
      </c>
    </row>
    <row r="81" spans="1:7" ht="14.25" thickBot="1">
      <c r="A81" s="3006" t="s">
        <v>3380</v>
      </c>
      <c r="B81" s="3007" t="s">
        <v>3374</v>
      </c>
      <c r="C81" s="3007">
        <v>802</v>
      </c>
      <c r="D81" s="3007">
        <v>154.69</v>
      </c>
      <c r="E81" s="3007">
        <v>154.69</v>
      </c>
      <c r="F81" s="3007">
        <v>0</v>
      </c>
      <c r="G81" s="3005" t="s">
        <v>3372</v>
      </c>
    </row>
    <row r="82" spans="1:7" ht="14.25" thickBot="1">
      <c r="A82" s="3006" t="s">
        <v>3380</v>
      </c>
      <c r="B82" s="3007" t="s">
        <v>3374</v>
      </c>
      <c r="C82" s="3007">
        <v>901</v>
      </c>
      <c r="D82" s="3007">
        <v>184.81</v>
      </c>
      <c r="E82" s="3007">
        <v>184.81</v>
      </c>
      <c r="F82" s="3007">
        <v>0</v>
      </c>
      <c r="G82" s="3005" t="s">
        <v>3372</v>
      </c>
    </row>
    <row r="83" spans="1:7" ht="14.25" thickBot="1">
      <c r="A83" s="3006" t="s">
        <v>3380</v>
      </c>
      <c r="B83" s="3007" t="s">
        <v>3374</v>
      </c>
      <c r="C83" s="3007">
        <v>902</v>
      </c>
      <c r="D83" s="3007">
        <v>154.69</v>
      </c>
      <c r="E83" s="3007">
        <v>154.69</v>
      </c>
      <c r="F83" s="3007">
        <v>0</v>
      </c>
      <c r="G83" s="3005" t="s">
        <v>3372</v>
      </c>
    </row>
    <row r="84" spans="1:7" ht="14.25" thickBot="1">
      <c r="A84" s="3006" t="s">
        <v>3380</v>
      </c>
      <c r="B84" s="3007" t="s">
        <v>3374</v>
      </c>
      <c r="C84" s="3007">
        <v>1001</v>
      </c>
      <c r="D84" s="3007">
        <v>184.81</v>
      </c>
      <c r="E84" s="3007">
        <v>184.81</v>
      </c>
      <c r="F84" s="3007">
        <v>0</v>
      </c>
      <c r="G84" s="3005" t="s">
        <v>3372</v>
      </c>
    </row>
    <row r="85" spans="1:7" ht="14.25" thickBot="1">
      <c r="A85" s="3006" t="s">
        <v>3380</v>
      </c>
      <c r="B85" s="3007" t="s">
        <v>3374</v>
      </c>
      <c r="C85" s="3007">
        <v>1002</v>
      </c>
      <c r="D85" s="3007">
        <v>154.69</v>
      </c>
      <c r="E85" s="3007">
        <v>154.69</v>
      </c>
      <c r="F85" s="3007">
        <v>0</v>
      </c>
      <c r="G85" s="3005" t="s">
        <v>3372</v>
      </c>
    </row>
    <row r="86" spans="1:7" ht="14.25" thickBot="1">
      <c r="A86" s="3006" t="s">
        <v>3380</v>
      </c>
      <c r="B86" s="3007" t="s">
        <v>3374</v>
      </c>
      <c r="C86" s="3007">
        <v>1101</v>
      </c>
      <c r="D86" s="3007">
        <v>184.81</v>
      </c>
      <c r="E86" s="3007">
        <v>184.81</v>
      </c>
      <c r="F86" s="3007">
        <v>0</v>
      </c>
      <c r="G86" s="3005" t="s">
        <v>3372</v>
      </c>
    </row>
    <row r="87" spans="1:7" ht="14.25" thickBot="1">
      <c r="A87" s="3006" t="s">
        <v>3380</v>
      </c>
      <c r="B87" s="3007" t="s">
        <v>3374</v>
      </c>
      <c r="C87" s="3007">
        <v>1102</v>
      </c>
      <c r="D87" s="3007">
        <v>154.69</v>
      </c>
      <c r="E87" s="3007">
        <v>154.69</v>
      </c>
      <c r="F87" s="3007">
        <v>0</v>
      </c>
      <c r="G87" s="3005" t="s">
        <v>3372</v>
      </c>
    </row>
    <row r="88" spans="1:7" ht="14.25" thickBot="1">
      <c r="A88" s="3006" t="s">
        <v>3380</v>
      </c>
      <c r="B88" s="3007" t="s">
        <v>3374</v>
      </c>
      <c r="C88" s="3007">
        <v>1201</v>
      </c>
      <c r="D88" s="3007">
        <v>184.81</v>
      </c>
      <c r="E88" s="3007">
        <v>184.81</v>
      </c>
      <c r="F88" s="3007">
        <v>0</v>
      </c>
      <c r="G88" s="3005" t="s">
        <v>3372</v>
      </c>
    </row>
    <row r="89" spans="1:7" ht="14.25" thickBot="1">
      <c r="A89" s="3006" t="s">
        <v>3380</v>
      </c>
      <c r="B89" s="3007" t="s">
        <v>3374</v>
      </c>
      <c r="C89" s="3007">
        <v>1202</v>
      </c>
      <c r="D89" s="3007">
        <v>154.69</v>
      </c>
      <c r="E89" s="3007">
        <v>154.69</v>
      </c>
      <c r="F89" s="3007">
        <v>0</v>
      </c>
      <c r="G89" s="3005" t="s">
        <v>3372</v>
      </c>
    </row>
    <row r="90" spans="1:7" ht="14.25" thickBot="1">
      <c r="A90" s="3006" t="s">
        <v>3380</v>
      </c>
      <c r="B90" s="3007" t="s">
        <v>3374</v>
      </c>
      <c r="C90" s="3007">
        <v>1301</v>
      </c>
      <c r="D90" s="3007">
        <v>184.81</v>
      </c>
      <c r="E90" s="3007">
        <v>184.81</v>
      </c>
      <c r="F90" s="3007">
        <v>0</v>
      </c>
      <c r="G90" s="3005" t="s">
        <v>3372</v>
      </c>
    </row>
    <row r="91" spans="1:7" ht="14.25" thickBot="1">
      <c r="A91" s="3006" t="s">
        <v>3380</v>
      </c>
      <c r="B91" s="3007" t="s">
        <v>3374</v>
      </c>
      <c r="C91" s="3007">
        <v>1302</v>
      </c>
      <c r="D91" s="3007">
        <v>154.69</v>
      </c>
      <c r="E91" s="3007">
        <v>154.69</v>
      </c>
      <c r="F91" s="3007">
        <v>0</v>
      </c>
      <c r="G91" s="3005" t="s">
        <v>3372</v>
      </c>
    </row>
    <row r="92" spans="1:7" ht="14.25" thickBot="1">
      <c r="A92" s="3006" t="s">
        <v>3380</v>
      </c>
      <c r="B92" s="3007" t="s">
        <v>3374</v>
      </c>
      <c r="C92" s="3007">
        <v>1401</v>
      </c>
      <c r="D92" s="3007">
        <v>184.81</v>
      </c>
      <c r="E92" s="3007">
        <v>184.81</v>
      </c>
      <c r="F92" s="3007">
        <v>0</v>
      </c>
      <c r="G92" s="3005" t="s">
        <v>3372</v>
      </c>
    </row>
    <row r="93" spans="1:7" ht="14.25" thickBot="1">
      <c r="A93" s="3006" t="s">
        <v>3380</v>
      </c>
      <c r="B93" s="3007" t="s">
        <v>3374</v>
      </c>
      <c r="C93" s="3007">
        <v>1402</v>
      </c>
      <c r="D93" s="3007">
        <v>154.69</v>
      </c>
      <c r="E93" s="3007">
        <v>154.69</v>
      </c>
      <c r="F93" s="3007">
        <v>0</v>
      </c>
      <c r="G93" s="3005" t="s">
        <v>3372</v>
      </c>
    </row>
    <row r="94" spans="1:7" ht="14.25" thickBot="1">
      <c r="A94" s="3006" t="s">
        <v>3380</v>
      </c>
      <c r="B94" s="3007" t="s">
        <v>3374</v>
      </c>
      <c r="C94" s="3007">
        <v>1501</v>
      </c>
      <c r="D94" s="3007">
        <v>184.81</v>
      </c>
      <c r="E94" s="3007">
        <v>184.81</v>
      </c>
      <c r="F94" s="3007">
        <v>0</v>
      </c>
      <c r="G94" s="3005" t="s">
        <v>3372</v>
      </c>
    </row>
    <row r="95" spans="1:7" ht="14.25" thickBot="1">
      <c r="A95" s="3006" t="s">
        <v>3380</v>
      </c>
      <c r="B95" s="3007" t="s">
        <v>3374</v>
      </c>
      <c r="C95" s="3007">
        <v>1502</v>
      </c>
      <c r="D95" s="3007">
        <v>154.69</v>
      </c>
      <c r="E95" s="3007">
        <v>154.69</v>
      </c>
      <c r="F95" s="3007">
        <v>0</v>
      </c>
      <c r="G95" s="3005" t="s">
        <v>3372</v>
      </c>
    </row>
    <row r="96" spans="1:7" ht="14.25" thickBot="1">
      <c r="A96" s="3006" t="s">
        <v>3380</v>
      </c>
      <c r="B96" s="3007" t="s">
        <v>3374</v>
      </c>
      <c r="C96" s="3007">
        <v>1601</v>
      </c>
      <c r="D96" s="3007">
        <v>184.81</v>
      </c>
      <c r="E96" s="3007">
        <v>184.81</v>
      </c>
      <c r="F96" s="3007">
        <v>0</v>
      </c>
      <c r="G96" s="3005" t="s">
        <v>3372</v>
      </c>
    </row>
    <row r="97" spans="1:7" ht="14.25" thickBot="1">
      <c r="A97" s="3006" t="s">
        <v>3380</v>
      </c>
      <c r="B97" s="3007" t="s">
        <v>3374</v>
      </c>
      <c r="C97" s="3007">
        <v>1602</v>
      </c>
      <c r="D97" s="3007">
        <v>154.69</v>
      </c>
      <c r="E97" s="3007">
        <v>154.69</v>
      </c>
      <c r="F97" s="3007">
        <v>0</v>
      </c>
      <c r="G97" s="3005" t="s">
        <v>3372</v>
      </c>
    </row>
    <row r="98" spans="1:7" ht="14.25" thickBot="1">
      <c r="A98" s="3006" t="s">
        <v>3380</v>
      </c>
      <c r="B98" s="3007" t="s">
        <v>3374</v>
      </c>
      <c r="C98" s="3007">
        <v>1701</v>
      </c>
      <c r="D98" s="3007">
        <v>184.81</v>
      </c>
      <c r="E98" s="3007">
        <v>184.81</v>
      </c>
      <c r="F98" s="3007">
        <v>0</v>
      </c>
      <c r="G98" s="3005" t="s">
        <v>3372</v>
      </c>
    </row>
    <row r="99" spans="1:7" ht="14.25" thickBot="1">
      <c r="A99" s="3006" t="s">
        <v>3380</v>
      </c>
      <c r="B99" s="3007" t="s">
        <v>3374</v>
      </c>
      <c r="C99" s="3007">
        <v>1702</v>
      </c>
      <c r="D99" s="3007">
        <v>154.69</v>
      </c>
      <c r="E99" s="3007">
        <v>154.69</v>
      </c>
      <c r="F99" s="3007">
        <v>0</v>
      </c>
      <c r="G99" s="3005" t="s">
        <v>3372</v>
      </c>
    </row>
    <row r="100" spans="1:7" ht="14.25" thickBot="1">
      <c r="A100" s="3006" t="s">
        <v>3380</v>
      </c>
      <c r="B100" s="3007" t="s">
        <v>3374</v>
      </c>
      <c r="C100" s="3007">
        <v>1801</v>
      </c>
      <c r="D100" s="3007">
        <v>184.81</v>
      </c>
      <c r="E100" s="3007">
        <v>184.81</v>
      </c>
      <c r="F100" s="3007">
        <v>0</v>
      </c>
      <c r="G100" s="3005" t="s">
        <v>3372</v>
      </c>
    </row>
    <row r="101" spans="1:7" ht="14.25" thickBot="1">
      <c r="A101" s="3006" t="s">
        <v>3380</v>
      </c>
      <c r="B101" s="3007" t="s">
        <v>3374</v>
      </c>
      <c r="C101" s="3007">
        <v>1802</v>
      </c>
      <c r="D101" s="3007">
        <v>154.69</v>
      </c>
      <c r="E101" s="3007">
        <v>154.69</v>
      </c>
      <c r="F101" s="3007">
        <v>0</v>
      </c>
      <c r="G101" s="3005" t="s">
        <v>3372</v>
      </c>
    </row>
    <row r="102" spans="1:7" ht="14.25" thickBot="1">
      <c r="A102" s="3006" t="s">
        <v>3380</v>
      </c>
      <c r="B102" s="3007" t="s">
        <v>3374</v>
      </c>
      <c r="C102" s="3007">
        <v>1901</v>
      </c>
      <c r="D102" s="3007">
        <v>184.81</v>
      </c>
      <c r="E102" s="3007">
        <v>184.81</v>
      </c>
      <c r="F102" s="3007">
        <v>0</v>
      </c>
      <c r="G102" s="3005" t="s">
        <v>3372</v>
      </c>
    </row>
    <row r="103" spans="1:7" ht="14.25" thickBot="1">
      <c r="A103" s="3006" t="s">
        <v>3380</v>
      </c>
      <c r="B103" s="3007" t="s">
        <v>3374</v>
      </c>
      <c r="C103" s="3007">
        <v>1902</v>
      </c>
      <c r="D103" s="3007">
        <v>154.69</v>
      </c>
      <c r="E103" s="3007">
        <v>154.69</v>
      </c>
      <c r="F103" s="3007">
        <v>0</v>
      </c>
      <c r="G103" s="3005" t="s">
        <v>3372</v>
      </c>
    </row>
    <row r="104" spans="1:7" ht="14.25" thickBot="1">
      <c r="A104" s="3006" t="s">
        <v>3380</v>
      </c>
      <c r="B104" s="3007" t="s">
        <v>3375</v>
      </c>
      <c r="C104" s="3007">
        <v>101</v>
      </c>
      <c r="D104" s="3007">
        <v>295.39999999999998</v>
      </c>
      <c r="E104" s="3007">
        <v>133.99</v>
      </c>
      <c r="F104" s="3007">
        <v>161.41</v>
      </c>
      <c r="G104" s="3005" t="s">
        <v>3372</v>
      </c>
    </row>
    <row r="105" spans="1:7" ht="14.25" thickBot="1">
      <c r="A105" s="3006" t="s">
        <v>3380</v>
      </c>
      <c r="B105" s="3007" t="s">
        <v>3375</v>
      </c>
      <c r="C105" s="3007">
        <v>102</v>
      </c>
      <c r="D105" s="3007">
        <v>347.86</v>
      </c>
      <c r="E105" s="3007">
        <v>155.81</v>
      </c>
      <c r="F105" s="3007">
        <v>192.05</v>
      </c>
      <c r="G105" s="3005" t="s">
        <v>3372</v>
      </c>
    </row>
    <row r="106" spans="1:7" ht="14.25" thickBot="1">
      <c r="A106" s="3006" t="s">
        <v>3380</v>
      </c>
      <c r="B106" s="3007" t="s">
        <v>3375</v>
      </c>
      <c r="C106" s="3007">
        <v>201</v>
      </c>
      <c r="D106" s="3007">
        <v>154.07</v>
      </c>
      <c r="E106" s="3007">
        <v>154.07</v>
      </c>
      <c r="F106" s="3007">
        <v>0</v>
      </c>
      <c r="G106" s="3005" t="s">
        <v>3372</v>
      </c>
    </row>
    <row r="107" spans="1:7" ht="14.25" thickBot="1">
      <c r="A107" s="3006" t="s">
        <v>3380</v>
      </c>
      <c r="B107" s="3007" t="s">
        <v>3375</v>
      </c>
      <c r="C107" s="3007">
        <v>202</v>
      </c>
      <c r="D107" s="3007">
        <v>184.49</v>
      </c>
      <c r="E107" s="3007">
        <v>184.49</v>
      </c>
      <c r="F107" s="3007">
        <v>0</v>
      </c>
      <c r="G107" s="3005" t="s">
        <v>3372</v>
      </c>
    </row>
    <row r="108" spans="1:7" ht="14.25" thickBot="1">
      <c r="A108" s="3006" t="s">
        <v>3380</v>
      </c>
      <c r="B108" s="3007" t="s">
        <v>3375</v>
      </c>
      <c r="C108" s="3007">
        <v>301</v>
      </c>
      <c r="D108" s="3007">
        <v>154.69</v>
      </c>
      <c r="E108" s="3007">
        <v>154.69</v>
      </c>
      <c r="F108" s="3007">
        <v>0</v>
      </c>
      <c r="G108" s="3005" t="s">
        <v>3372</v>
      </c>
    </row>
    <row r="109" spans="1:7" ht="14.25" thickBot="1">
      <c r="A109" s="3006" t="s">
        <v>3380</v>
      </c>
      <c r="B109" s="3007" t="s">
        <v>3375</v>
      </c>
      <c r="C109" s="3007">
        <v>302</v>
      </c>
      <c r="D109" s="3007">
        <v>184.81</v>
      </c>
      <c r="E109" s="3007">
        <v>184.81</v>
      </c>
      <c r="F109" s="3007">
        <v>0</v>
      </c>
      <c r="G109" s="3005" t="s">
        <v>3372</v>
      </c>
    </row>
    <row r="110" spans="1:7" ht="14.25" thickBot="1">
      <c r="A110" s="3006" t="s">
        <v>3380</v>
      </c>
      <c r="B110" s="3007" t="s">
        <v>3375</v>
      </c>
      <c r="C110" s="3007">
        <v>401</v>
      </c>
      <c r="D110" s="3007">
        <v>154.69</v>
      </c>
      <c r="E110" s="3007">
        <v>154.69</v>
      </c>
      <c r="F110" s="3007">
        <v>0</v>
      </c>
      <c r="G110" s="3005" t="s">
        <v>3372</v>
      </c>
    </row>
    <row r="111" spans="1:7" ht="14.25" thickBot="1">
      <c r="A111" s="3006" t="s">
        <v>3380</v>
      </c>
      <c r="B111" s="3007" t="s">
        <v>3375</v>
      </c>
      <c r="C111" s="3007">
        <v>402</v>
      </c>
      <c r="D111" s="3007">
        <v>184.81</v>
      </c>
      <c r="E111" s="3007">
        <v>184.81</v>
      </c>
      <c r="F111" s="3007">
        <v>0</v>
      </c>
      <c r="G111" s="3005" t="s">
        <v>3372</v>
      </c>
    </row>
    <row r="112" spans="1:7" ht="14.25" thickBot="1">
      <c r="A112" s="3006" t="s">
        <v>3380</v>
      </c>
      <c r="B112" s="3007" t="s">
        <v>3375</v>
      </c>
      <c r="C112" s="3007">
        <v>501</v>
      </c>
      <c r="D112" s="3007">
        <v>154.69</v>
      </c>
      <c r="E112" s="3007">
        <v>154.69</v>
      </c>
      <c r="F112" s="3007">
        <v>0</v>
      </c>
      <c r="G112" s="3005" t="s">
        <v>3372</v>
      </c>
    </row>
    <row r="113" spans="1:7" ht="14.25" thickBot="1">
      <c r="A113" s="3006" t="s">
        <v>3380</v>
      </c>
      <c r="B113" s="3007" t="s">
        <v>3375</v>
      </c>
      <c r="C113" s="3007">
        <v>502</v>
      </c>
      <c r="D113" s="3007">
        <v>184.81</v>
      </c>
      <c r="E113" s="3007">
        <v>184.81</v>
      </c>
      <c r="F113" s="3007">
        <v>0</v>
      </c>
      <c r="G113" s="3005" t="s">
        <v>3372</v>
      </c>
    </row>
    <row r="114" spans="1:7" ht="14.25" thickBot="1">
      <c r="A114" s="3006" t="s">
        <v>3380</v>
      </c>
      <c r="B114" s="3007" t="s">
        <v>3375</v>
      </c>
      <c r="C114" s="3007">
        <v>601</v>
      </c>
      <c r="D114" s="3007">
        <v>154.69</v>
      </c>
      <c r="E114" s="3007">
        <v>154.69</v>
      </c>
      <c r="F114" s="3007">
        <v>0</v>
      </c>
      <c r="G114" s="3005" t="s">
        <v>3372</v>
      </c>
    </row>
    <row r="115" spans="1:7" ht="14.25" thickBot="1">
      <c r="A115" s="3006" t="s">
        <v>3380</v>
      </c>
      <c r="B115" s="3007" t="s">
        <v>3375</v>
      </c>
      <c r="C115" s="3007">
        <v>602</v>
      </c>
      <c r="D115" s="3007">
        <v>184.81</v>
      </c>
      <c r="E115" s="3007">
        <v>184.81</v>
      </c>
      <c r="F115" s="3007">
        <v>0</v>
      </c>
      <c r="G115" s="3005" t="s">
        <v>3372</v>
      </c>
    </row>
    <row r="116" spans="1:7" ht="14.25" thickBot="1">
      <c r="A116" s="3006" t="s">
        <v>3380</v>
      </c>
      <c r="B116" s="3007" t="s">
        <v>3375</v>
      </c>
      <c r="C116" s="3007">
        <v>701</v>
      </c>
      <c r="D116" s="3007">
        <v>154.69</v>
      </c>
      <c r="E116" s="3007">
        <v>154.69</v>
      </c>
      <c r="F116" s="3007">
        <v>0</v>
      </c>
      <c r="G116" s="3005" t="s">
        <v>3372</v>
      </c>
    </row>
    <row r="117" spans="1:7" ht="14.25" thickBot="1">
      <c r="A117" s="3006" t="s">
        <v>3380</v>
      </c>
      <c r="B117" s="3007" t="s">
        <v>3375</v>
      </c>
      <c r="C117" s="3007">
        <v>702</v>
      </c>
      <c r="D117" s="3007">
        <v>184.81</v>
      </c>
      <c r="E117" s="3007">
        <v>184.81</v>
      </c>
      <c r="F117" s="3007">
        <v>0</v>
      </c>
      <c r="G117" s="3005" t="s">
        <v>3372</v>
      </c>
    </row>
    <row r="118" spans="1:7" ht="14.25" thickBot="1">
      <c r="A118" s="3006" t="s">
        <v>3380</v>
      </c>
      <c r="B118" s="3007" t="s">
        <v>3375</v>
      </c>
      <c r="C118" s="3007">
        <v>801</v>
      </c>
      <c r="D118" s="3007">
        <v>154.69</v>
      </c>
      <c r="E118" s="3007">
        <v>154.69</v>
      </c>
      <c r="F118" s="3007">
        <v>0</v>
      </c>
      <c r="G118" s="3005" t="s">
        <v>3372</v>
      </c>
    </row>
    <row r="119" spans="1:7" ht="14.25" thickBot="1">
      <c r="A119" s="3006" t="s">
        <v>3380</v>
      </c>
      <c r="B119" s="3007" t="s">
        <v>3375</v>
      </c>
      <c r="C119" s="3007">
        <v>802</v>
      </c>
      <c r="D119" s="3007">
        <v>184.81</v>
      </c>
      <c r="E119" s="3007">
        <v>184.81</v>
      </c>
      <c r="F119" s="3007">
        <v>0</v>
      </c>
      <c r="G119" s="3005" t="s">
        <v>3372</v>
      </c>
    </row>
    <row r="120" spans="1:7" ht="14.25" thickBot="1">
      <c r="A120" s="3006" t="s">
        <v>3380</v>
      </c>
      <c r="B120" s="3007" t="s">
        <v>3375</v>
      </c>
      <c r="C120" s="3007">
        <v>901</v>
      </c>
      <c r="D120" s="3007">
        <v>154.69</v>
      </c>
      <c r="E120" s="3007">
        <v>154.69</v>
      </c>
      <c r="F120" s="3007">
        <v>0</v>
      </c>
      <c r="G120" s="3005" t="s">
        <v>3372</v>
      </c>
    </row>
    <row r="121" spans="1:7" ht="14.25" thickBot="1">
      <c r="A121" s="3006" t="s">
        <v>3380</v>
      </c>
      <c r="B121" s="3007" t="s">
        <v>3375</v>
      </c>
      <c r="C121" s="3007">
        <v>902</v>
      </c>
      <c r="D121" s="3007">
        <v>184.81</v>
      </c>
      <c r="E121" s="3007">
        <v>184.81</v>
      </c>
      <c r="F121" s="3007">
        <v>0</v>
      </c>
      <c r="G121" s="3005" t="s">
        <v>3372</v>
      </c>
    </row>
    <row r="122" spans="1:7" ht="14.25" thickBot="1">
      <c r="A122" s="3006" t="s">
        <v>3380</v>
      </c>
      <c r="B122" s="3007" t="s">
        <v>3375</v>
      </c>
      <c r="C122" s="3007">
        <v>1001</v>
      </c>
      <c r="D122" s="3007">
        <v>154.69</v>
      </c>
      <c r="E122" s="3007">
        <v>154.69</v>
      </c>
      <c r="F122" s="3007">
        <v>0</v>
      </c>
      <c r="G122" s="3005" t="s">
        <v>3372</v>
      </c>
    </row>
    <row r="123" spans="1:7" ht="14.25" thickBot="1">
      <c r="A123" s="3006" t="s">
        <v>3380</v>
      </c>
      <c r="B123" s="3007" t="s">
        <v>3375</v>
      </c>
      <c r="C123" s="3007">
        <v>1002</v>
      </c>
      <c r="D123" s="3007">
        <v>184.81</v>
      </c>
      <c r="E123" s="3007">
        <v>184.81</v>
      </c>
      <c r="F123" s="3007">
        <v>0</v>
      </c>
      <c r="G123" s="3005" t="s">
        <v>3372</v>
      </c>
    </row>
    <row r="124" spans="1:7" ht="14.25" thickBot="1">
      <c r="A124" s="3006" t="s">
        <v>3380</v>
      </c>
      <c r="B124" s="3007" t="s">
        <v>3375</v>
      </c>
      <c r="C124" s="3007">
        <v>1101</v>
      </c>
      <c r="D124" s="3007">
        <v>154.69</v>
      </c>
      <c r="E124" s="3007">
        <v>154.69</v>
      </c>
      <c r="F124" s="3007">
        <v>0</v>
      </c>
      <c r="G124" s="3005" t="s">
        <v>3372</v>
      </c>
    </row>
    <row r="125" spans="1:7" ht="14.25" thickBot="1">
      <c r="A125" s="3006" t="s">
        <v>3380</v>
      </c>
      <c r="B125" s="3007" t="s">
        <v>3375</v>
      </c>
      <c r="C125" s="3007">
        <v>1102</v>
      </c>
      <c r="D125" s="3007">
        <v>184.81</v>
      </c>
      <c r="E125" s="3007">
        <v>184.81</v>
      </c>
      <c r="F125" s="3007">
        <v>0</v>
      </c>
      <c r="G125" s="3005" t="s">
        <v>3372</v>
      </c>
    </row>
    <row r="126" spans="1:7" ht="14.25" thickBot="1">
      <c r="A126" s="3006" t="s">
        <v>3380</v>
      </c>
      <c r="B126" s="3007" t="s">
        <v>3375</v>
      </c>
      <c r="C126" s="3007">
        <v>1201</v>
      </c>
      <c r="D126" s="3007">
        <v>154.69</v>
      </c>
      <c r="E126" s="3007">
        <v>154.69</v>
      </c>
      <c r="F126" s="3007">
        <v>0</v>
      </c>
      <c r="G126" s="3005" t="s">
        <v>3372</v>
      </c>
    </row>
    <row r="127" spans="1:7" ht="14.25" thickBot="1">
      <c r="A127" s="3006" t="s">
        <v>3380</v>
      </c>
      <c r="B127" s="3007" t="s">
        <v>3375</v>
      </c>
      <c r="C127" s="3007">
        <v>1202</v>
      </c>
      <c r="D127" s="3007">
        <v>184.81</v>
      </c>
      <c r="E127" s="3007">
        <v>184.81</v>
      </c>
      <c r="F127" s="3007">
        <v>0</v>
      </c>
      <c r="G127" s="3005" t="s">
        <v>3372</v>
      </c>
    </row>
    <row r="128" spans="1:7" ht="14.25" thickBot="1">
      <c r="A128" s="3006" t="s">
        <v>3380</v>
      </c>
      <c r="B128" s="3007" t="s">
        <v>3375</v>
      </c>
      <c r="C128" s="3007">
        <v>1301</v>
      </c>
      <c r="D128" s="3007">
        <v>154.69</v>
      </c>
      <c r="E128" s="3007">
        <v>154.69</v>
      </c>
      <c r="F128" s="3007">
        <v>0</v>
      </c>
      <c r="G128" s="3005" t="s">
        <v>3372</v>
      </c>
    </row>
    <row r="129" spans="1:7" ht="14.25" thickBot="1">
      <c r="A129" s="3006" t="s">
        <v>3380</v>
      </c>
      <c r="B129" s="3007" t="s">
        <v>3375</v>
      </c>
      <c r="C129" s="3007">
        <v>1302</v>
      </c>
      <c r="D129" s="3007">
        <v>184.81</v>
      </c>
      <c r="E129" s="3007">
        <v>184.81</v>
      </c>
      <c r="F129" s="3007">
        <v>0</v>
      </c>
      <c r="G129" s="3005" t="s">
        <v>3372</v>
      </c>
    </row>
    <row r="130" spans="1:7" ht="14.25" thickBot="1">
      <c r="A130" s="3006" t="s">
        <v>3380</v>
      </c>
      <c r="B130" s="3007" t="s">
        <v>3375</v>
      </c>
      <c r="C130" s="3007">
        <v>1401</v>
      </c>
      <c r="D130" s="3007">
        <v>154.69</v>
      </c>
      <c r="E130" s="3007">
        <v>154.69</v>
      </c>
      <c r="F130" s="3007">
        <v>0</v>
      </c>
      <c r="G130" s="3005" t="s">
        <v>3372</v>
      </c>
    </row>
    <row r="131" spans="1:7" ht="14.25" thickBot="1">
      <c r="A131" s="3006" t="s">
        <v>3380</v>
      </c>
      <c r="B131" s="3007" t="s">
        <v>3375</v>
      </c>
      <c r="C131" s="3007">
        <v>1402</v>
      </c>
      <c r="D131" s="3007">
        <v>184.81</v>
      </c>
      <c r="E131" s="3007">
        <v>184.81</v>
      </c>
      <c r="F131" s="3007">
        <v>0</v>
      </c>
      <c r="G131" s="3005" t="s">
        <v>3372</v>
      </c>
    </row>
    <row r="132" spans="1:7" ht="14.25" thickBot="1">
      <c r="A132" s="3006" t="s">
        <v>3380</v>
      </c>
      <c r="B132" s="3007" t="s">
        <v>3375</v>
      </c>
      <c r="C132" s="3007">
        <v>1501</v>
      </c>
      <c r="D132" s="3007">
        <v>154.69</v>
      </c>
      <c r="E132" s="3007">
        <v>154.69</v>
      </c>
      <c r="F132" s="3007">
        <v>0</v>
      </c>
      <c r="G132" s="3005" t="s">
        <v>3372</v>
      </c>
    </row>
    <row r="133" spans="1:7" ht="14.25" thickBot="1">
      <c r="A133" s="3006" t="s">
        <v>3380</v>
      </c>
      <c r="B133" s="3007" t="s">
        <v>3375</v>
      </c>
      <c r="C133" s="3007">
        <v>1502</v>
      </c>
      <c r="D133" s="3007">
        <v>184.81</v>
      </c>
      <c r="E133" s="3007">
        <v>184.81</v>
      </c>
      <c r="F133" s="3007">
        <v>0</v>
      </c>
      <c r="G133" s="3005" t="s">
        <v>3372</v>
      </c>
    </row>
    <row r="134" spans="1:7" ht="14.25" thickBot="1">
      <c r="A134" s="3006" t="s">
        <v>3380</v>
      </c>
      <c r="B134" s="3007" t="s">
        <v>3375</v>
      </c>
      <c r="C134" s="3007">
        <v>1601</v>
      </c>
      <c r="D134" s="3007">
        <v>154.69</v>
      </c>
      <c r="E134" s="3007">
        <v>154.69</v>
      </c>
      <c r="F134" s="3007">
        <v>0</v>
      </c>
      <c r="G134" s="3005" t="s">
        <v>3372</v>
      </c>
    </row>
    <row r="135" spans="1:7" ht="14.25" thickBot="1">
      <c r="A135" s="3006" t="s">
        <v>3380</v>
      </c>
      <c r="B135" s="3007" t="s">
        <v>3375</v>
      </c>
      <c r="C135" s="3007">
        <v>1602</v>
      </c>
      <c r="D135" s="3007">
        <v>184.81</v>
      </c>
      <c r="E135" s="3007">
        <v>184.81</v>
      </c>
      <c r="F135" s="3007">
        <v>0</v>
      </c>
      <c r="G135" s="3005" t="s">
        <v>3372</v>
      </c>
    </row>
    <row r="136" spans="1:7" ht="14.25" thickBot="1">
      <c r="A136" s="3006" t="s">
        <v>3380</v>
      </c>
      <c r="B136" s="3007" t="s">
        <v>3375</v>
      </c>
      <c r="C136" s="3007">
        <v>1701</v>
      </c>
      <c r="D136" s="3007">
        <v>154.69</v>
      </c>
      <c r="E136" s="3007">
        <v>154.69</v>
      </c>
      <c r="F136" s="3007">
        <v>0</v>
      </c>
      <c r="G136" s="3005" t="s">
        <v>3372</v>
      </c>
    </row>
    <row r="137" spans="1:7" ht="14.25" thickBot="1">
      <c r="A137" s="3006" t="s">
        <v>3380</v>
      </c>
      <c r="B137" s="3007" t="s">
        <v>3375</v>
      </c>
      <c r="C137" s="3007">
        <v>1702</v>
      </c>
      <c r="D137" s="3007">
        <v>184.81</v>
      </c>
      <c r="E137" s="3007">
        <v>184.81</v>
      </c>
      <c r="F137" s="3007">
        <v>0</v>
      </c>
      <c r="G137" s="3005" t="s">
        <v>3372</v>
      </c>
    </row>
    <row r="138" spans="1:7" ht="14.25" thickBot="1">
      <c r="A138" s="3006" t="s">
        <v>3380</v>
      </c>
      <c r="B138" s="3007" t="s">
        <v>3375</v>
      </c>
      <c r="C138" s="3007">
        <v>1801</v>
      </c>
      <c r="D138" s="3007">
        <v>154.69</v>
      </c>
      <c r="E138" s="3007">
        <v>154.69</v>
      </c>
      <c r="F138" s="3007">
        <v>0</v>
      </c>
      <c r="G138" s="3005" t="s">
        <v>3372</v>
      </c>
    </row>
    <row r="139" spans="1:7" ht="14.25" thickBot="1">
      <c r="A139" s="3006" t="s">
        <v>3380</v>
      </c>
      <c r="B139" s="3007" t="s">
        <v>3375</v>
      </c>
      <c r="C139" s="3007">
        <v>1802</v>
      </c>
      <c r="D139" s="3007">
        <v>184.81</v>
      </c>
      <c r="E139" s="3007">
        <v>184.81</v>
      </c>
      <c r="F139" s="3007">
        <v>0</v>
      </c>
      <c r="G139" s="3005" t="s">
        <v>3372</v>
      </c>
    </row>
    <row r="140" spans="1:7" ht="14.25" thickBot="1">
      <c r="A140" s="3006" t="s">
        <v>3380</v>
      </c>
      <c r="B140" s="3007" t="s">
        <v>3375</v>
      </c>
      <c r="C140" s="3007">
        <v>1901</v>
      </c>
      <c r="D140" s="3007">
        <v>154.69</v>
      </c>
      <c r="E140" s="3007">
        <v>154.69</v>
      </c>
      <c r="F140" s="3007">
        <v>0</v>
      </c>
      <c r="G140" s="3005" t="s">
        <v>3372</v>
      </c>
    </row>
    <row r="141" spans="1:7" ht="14.25" thickBot="1">
      <c r="A141" s="3006" t="s">
        <v>3380</v>
      </c>
      <c r="B141" s="3007" t="s">
        <v>3375</v>
      </c>
      <c r="C141" s="3007">
        <v>1902</v>
      </c>
      <c r="D141" s="3007">
        <v>184.81</v>
      </c>
      <c r="E141" s="3007">
        <v>184.81</v>
      </c>
      <c r="F141" s="3007">
        <v>0</v>
      </c>
      <c r="G141" s="3005" t="s">
        <v>3372</v>
      </c>
    </row>
    <row r="142" spans="1:7" ht="14.25" thickBot="1">
      <c r="A142" s="3006" t="s">
        <v>3381</v>
      </c>
      <c r="B142" s="3007" t="s">
        <v>70</v>
      </c>
      <c r="C142" s="3007">
        <v>102</v>
      </c>
      <c r="D142" s="3007">
        <v>220.52</v>
      </c>
      <c r="E142" s="3007">
        <v>110.74</v>
      </c>
      <c r="F142" s="3007">
        <v>109.78</v>
      </c>
      <c r="G142" s="3005" t="s">
        <v>3372</v>
      </c>
    </row>
    <row r="143" spans="1:7" ht="14.25" thickBot="1">
      <c r="A143" s="3006" t="s">
        <v>3381</v>
      </c>
      <c r="B143" s="3007" t="s">
        <v>70</v>
      </c>
      <c r="C143" s="3007">
        <v>1101</v>
      </c>
      <c r="D143" s="3007">
        <v>139.75</v>
      </c>
      <c r="E143" s="3011">
        <v>139.75</v>
      </c>
      <c r="F143" s="3007">
        <v>0</v>
      </c>
      <c r="G143" s="3005" t="s">
        <v>3372</v>
      </c>
    </row>
    <row r="144" spans="1:7" ht="14.25" thickBot="1">
      <c r="A144" s="3006" t="s">
        <v>3382</v>
      </c>
      <c r="B144" s="3007" t="s">
        <v>3374</v>
      </c>
      <c r="C144" s="3007">
        <v>102</v>
      </c>
      <c r="D144" s="3007">
        <v>278.48</v>
      </c>
      <c r="E144" s="3007">
        <v>126.89</v>
      </c>
      <c r="F144" s="3007">
        <v>151.59</v>
      </c>
      <c r="G144" s="3005" t="s">
        <v>3372</v>
      </c>
    </row>
    <row r="145" spans="1:7" ht="14.25" thickBot="1">
      <c r="A145" s="3006" t="s">
        <v>3382</v>
      </c>
      <c r="B145" s="3007" t="s">
        <v>3374</v>
      </c>
      <c r="C145" s="3007">
        <v>201</v>
      </c>
      <c r="D145" s="3007">
        <v>120.36</v>
      </c>
      <c r="E145" s="3007">
        <v>120.36</v>
      </c>
      <c r="F145" s="3007">
        <v>0</v>
      </c>
      <c r="G145" s="3005" t="s">
        <v>3372</v>
      </c>
    </row>
    <row r="146" spans="1:7" ht="14.25" thickBot="1">
      <c r="A146" s="3006" t="s">
        <v>3382</v>
      </c>
      <c r="B146" s="3007" t="s">
        <v>3374</v>
      </c>
      <c r="C146" s="3007">
        <v>302</v>
      </c>
      <c r="D146" s="3007">
        <v>134.09</v>
      </c>
      <c r="E146" s="3007">
        <v>134.09</v>
      </c>
      <c r="F146" s="3007">
        <v>0</v>
      </c>
      <c r="G146" s="3005" t="s">
        <v>3372</v>
      </c>
    </row>
    <row r="147" spans="1:7" ht="14.25" thickBot="1">
      <c r="A147" s="3006" t="s">
        <v>3382</v>
      </c>
      <c r="B147" s="3007" t="s">
        <v>3375</v>
      </c>
      <c r="C147" s="3007">
        <v>101</v>
      </c>
      <c r="D147" s="3007">
        <v>278.75</v>
      </c>
      <c r="E147" s="3007">
        <v>126.89</v>
      </c>
      <c r="F147" s="3007">
        <v>151.86000000000001</v>
      </c>
      <c r="G147" s="3005" t="s">
        <v>3372</v>
      </c>
    </row>
    <row r="148" spans="1:7" ht="14.25" thickBot="1">
      <c r="A148" s="3006" t="s">
        <v>3382</v>
      </c>
      <c r="B148" s="3007" t="s">
        <v>3375</v>
      </c>
      <c r="C148" s="3007">
        <v>102</v>
      </c>
      <c r="D148" s="3007">
        <v>294.69</v>
      </c>
      <c r="E148" s="3007">
        <v>142.63999999999999</v>
      </c>
      <c r="F148" s="3007">
        <v>152.05000000000001</v>
      </c>
      <c r="G148" s="3005" t="s">
        <v>3372</v>
      </c>
    </row>
    <row r="149" spans="1:7" ht="14.25" thickBot="1">
      <c r="A149" s="3006" t="s">
        <v>3382</v>
      </c>
      <c r="B149" s="3007" t="s">
        <v>3375</v>
      </c>
      <c r="C149" s="3007">
        <v>1001</v>
      </c>
      <c r="D149" s="3007">
        <v>134.09</v>
      </c>
      <c r="E149" s="3007">
        <v>134.09</v>
      </c>
      <c r="F149" s="3007">
        <v>0</v>
      </c>
      <c r="G149" s="3005" t="s">
        <v>3372</v>
      </c>
    </row>
    <row r="150" spans="1:7" ht="14.25" thickBot="1">
      <c r="A150" s="3006" t="s">
        <v>3383</v>
      </c>
      <c r="B150" s="3007" t="s">
        <v>3374</v>
      </c>
      <c r="C150" s="3007">
        <v>101</v>
      </c>
      <c r="D150" s="3007">
        <v>342.58</v>
      </c>
      <c r="E150" s="3007">
        <v>155.84</v>
      </c>
      <c r="F150" s="3007">
        <v>186.74</v>
      </c>
      <c r="G150" s="3005" t="s">
        <v>3372</v>
      </c>
    </row>
    <row r="151" spans="1:7" ht="14.25" thickBot="1">
      <c r="A151" s="3006" t="s">
        <v>3383</v>
      </c>
      <c r="B151" s="3007" t="s">
        <v>3374</v>
      </c>
      <c r="C151" s="3007">
        <v>102</v>
      </c>
      <c r="D151" s="3007">
        <v>295.45</v>
      </c>
      <c r="E151" s="3007">
        <v>134.01</v>
      </c>
      <c r="F151" s="3007">
        <v>161.44</v>
      </c>
      <c r="G151" s="3005" t="s">
        <v>3372</v>
      </c>
    </row>
    <row r="152" spans="1:7" ht="14.25" thickBot="1">
      <c r="A152" s="3006" t="s">
        <v>3383</v>
      </c>
      <c r="B152" s="3007" t="s">
        <v>3374</v>
      </c>
      <c r="C152" s="3007">
        <v>201</v>
      </c>
      <c r="D152" s="3007">
        <v>184.52</v>
      </c>
      <c r="E152" s="3007">
        <v>184.52</v>
      </c>
      <c r="F152" s="3007">
        <v>0</v>
      </c>
      <c r="G152" s="3005" t="s">
        <v>3372</v>
      </c>
    </row>
    <row r="153" spans="1:7" ht="14.25" thickBot="1">
      <c r="A153" s="3006" t="s">
        <v>3383</v>
      </c>
      <c r="B153" s="3007" t="s">
        <v>3374</v>
      </c>
      <c r="C153" s="3007">
        <v>202</v>
      </c>
      <c r="D153" s="3007">
        <v>154.1</v>
      </c>
      <c r="E153" s="3007">
        <v>154.1</v>
      </c>
      <c r="F153" s="3007">
        <v>0</v>
      </c>
      <c r="G153" s="3005" t="s">
        <v>3372</v>
      </c>
    </row>
    <row r="154" spans="1:7" ht="14.25" thickBot="1">
      <c r="A154" s="3006" t="s">
        <v>3383</v>
      </c>
      <c r="B154" s="3007" t="s">
        <v>3374</v>
      </c>
      <c r="C154" s="3007">
        <v>301</v>
      </c>
      <c r="D154" s="3007">
        <v>184.84</v>
      </c>
      <c r="E154" s="3007">
        <v>184.84</v>
      </c>
      <c r="F154" s="3007">
        <v>0</v>
      </c>
      <c r="G154" s="3005" t="s">
        <v>3372</v>
      </c>
    </row>
    <row r="155" spans="1:7" ht="14.25" thickBot="1">
      <c r="A155" s="3006" t="s">
        <v>3383</v>
      </c>
      <c r="B155" s="3007" t="s">
        <v>3374</v>
      </c>
      <c r="C155" s="3007">
        <v>302</v>
      </c>
      <c r="D155" s="3007">
        <v>154.71</v>
      </c>
      <c r="E155" s="3007">
        <v>154.71</v>
      </c>
      <c r="F155" s="3007">
        <v>0</v>
      </c>
      <c r="G155" s="3005" t="s">
        <v>3372</v>
      </c>
    </row>
    <row r="156" spans="1:7" ht="14.25" thickBot="1">
      <c r="A156" s="3006" t="s">
        <v>3383</v>
      </c>
      <c r="B156" s="3007" t="s">
        <v>3374</v>
      </c>
      <c r="C156" s="3007">
        <v>401</v>
      </c>
      <c r="D156" s="3007">
        <v>184.84</v>
      </c>
      <c r="E156" s="3007">
        <v>184.84</v>
      </c>
      <c r="F156" s="3007">
        <v>0</v>
      </c>
      <c r="G156" s="3005" t="s">
        <v>3372</v>
      </c>
    </row>
    <row r="157" spans="1:7" ht="14.25" thickBot="1">
      <c r="A157" s="3006" t="s">
        <v>3383</v>
      </c>
      <c r="B157" s="3007" t="s">
        <v>3374</v>
      </c>
      <c r="C157" s="3007">
        <v>402</v>
      </c>
      <c r="D157" s="3007">
        <v>154.71</v>
      </c>
      <c r="E157" s="3007">
        <v>154.71</v>
      </c>
      <c r="F157" s="3007">
        <v>0</v>
      </c>
      <c r="G157" s="3005" t="s">
        <v>3372</v>
      </c>
    </row>
    <row r="158" spans="1:7" ht="14.25" thickBot="1">
      <c r="A158" s="3006" t="s">
        <v>3383</v>
      </c>
      <c r="B158" s="3007" t="s">
        <v>3374</v>
      </c>
      <c r="C158" s="3007">
        <v>501</v>
      </c>
      <c r="D158" s="3007">
        <v>184.84</v>
      </c>
      <c r="E158" s="3007">
        <v>184.84</v>
      </c>
      <c r="F158" s="3007">
        <v>0</v>
      </c>
      <c r="G158" s="3005" t="s">
        <v>3372</v>
      </c>
    </row>
    <row r="159" spans="1:7" ht="14.25" thickBot="1">
      <c r="A159" s="3006" t="s">
        <v>3383</v>
      </c>
      <c r="B159" s="3007" t="s">
        <v>3374</v>
      </c>
      <c r="C159" s="3007">
        <v>502</v>
      </c>
      <c r="D159" s="3007">
        <v>154.71</v>
      </c>
      <c r="E159" s="3007">
        <v>154.71</v>
      </c>
      <c r="F159" s="3007">
        <v>0</v>
      </c>
      <c r="G159" s="3005" t="s">
        <v>3372</v>
      </c>
    </row>
    <row r="160" spans="1:7" ht="14.25" thickBot="1">
      <c r="A160" s="3006" t="s">
        <v>3383</v>
      </c>
      <c r="B160" s="3007" t="s">
        <v>3374</v>
      </c>
      <c r="C160" s="3007">
        <v>601</v>
      </c>
      <c r="D160" s="3007">
        <v>184.84</v>
      </c>
      <c r="E160" s="3007">
        <v>184.84</v>
      </c>
      <c r="F160" s="3007">
        <v>0</v>
      </c>
      <c r="G160" s="3005" t="s">
        <v>3372</v>
      </c>
    </row>
    <row r="161" spans="1:7" ht="14.25" thickBot="1">
      <c r="A161" s="3006" t="s">
        <v>3383</v>
      </c>
      <c r="B161" s="3007" t="s">
        <v>3374</v>
      </c>
      <c r="C161" s="3007">
        <v>602</v>
      </c>
      <c r="D161" s="3007">
        <v>154.71</v>
      </c>
      <c r="E161" s="3007">
        <v>154.71</v>
      </c>
      <c r="F161" s="3007">
        <v>0</v>
      </c>
      <c r="G161" s="3005" t="s">
        <v>3372</v>
      </c>
    </row>
    <row r="162" spans="1:7" ht="14.25" thickBot="1">
      <c r="A162" s="3006" t="s">
        <v>3383</v>
      </c>
      <c r="B162" s="3007" t="s">
        <v>3374</v>
      </c>
      <c r="C162" s="3007">
        <v>701</v>
      </c>
      <c r="D162" s="3007">
        <v>184.84</v>
      </c>
      <c r="E162" s="3007">
        <v>184.84</v>
      </c>
      <c r="F162" s="3007">
        <v>0</v>
      </c>
      <c r="G162" s="3005" t="s">
        <v>3372</v>
      </c>
    </row>
    <row r="163" spans="1:7" ht="14.25" thickBot="1">
      <c r="A163" s="3006" t="s">
        <v>3383</v>
      </c>
      <c r="B163" s="3007" t="s">
        <v>3374</v>
      </c>
      <c r="C163" s="3007">
        <v>702</v>
      </c>
      <c r="D163" s="3007">
        <v>154.71</v>
      </c>
      <c r="E163" s="3007">
        <v>154.71</v>
      </c>
      <c r="F163" s="3007">
        <v>0</v>
      </c>
      <c r="G163" s="3005" t="s">
        <v>3372</v>
      </c>
    </row>
    <row r="164" spans="1:7" ht="14.25" thickBot="1">
      <c r="A164" s="3006" t="s">
        <v>3383</v>
      </c>
      <c r="B164" s="3007" t="s">
        <v>3374</v>
      </c>
      <c r="C164" s="3007">
        <v>801</v>
      </c>
      <c r="D164" s="3007">
        <v>184.84</v>
      </c>
      <c r="E164" s="3007">
        <v>184.84</v>
      </c>
      <c r="F164" s="3007">
        <v>0</v>
      </c>
      <c r="G164" s="3005" t="s">
        <v>3372</v>
      </c>
    </row>
    <row r="165" spans="1:7" ht="14.25" thickBot="1">
      <c r="A165" s="3006" t="s">
        <v>3383</v>
      </c>
      <c r="B165" s="3007" t="s">
        <v>3374</v>
      </c>
      <c r="C165" s="3007">
        <v>802</v>
      </c>
      <c r="D165" s="3007">
        <v>154.71</v>
      </c>
      <c r="E165" s="3007">
        <v>154.71</v>
      </c>
      <c r="F165" s="3007">
        <v>0</v>
      </c>
      <c r="G165" s="3005" t="s">
        <v>3372</v>
      </c>
    </row>
    <row r="166" spans="1:7" ht="14.25" thickBot="1">
      <c r="A166" s="3006" t="s">
        <v>3383</v>
      </c>
      <c r="B166" s="3007" t="s">
        <v>3374</v>
      </c>
      <c r="C166" s="3007">
        <v>901</v>
      </c>
      <c r="D166" s="3007">
        <v>184.84</v>
      </c>
      <c r="E166" s="3007">
        <v>184.84</v>
      </c>
      <c r="F166" s="3007">
        <v>0</v>
      </c>
      <c r="G166" s="3005" t="s">
        <v>3372</v>
      </c>
    </row>
    <row r="167" spans="1:7" ht="14.25" thickBot="1">
      <c r="A167" s="3006" t="s">
        <v>3383</v>
      </c>
      <c r="B167" s="3007" t="s">
        <v>3374</v>
      </c>
      <c r="C167" s="3007">
        <v>902</v>
      </c>
      <c r="D167" s="3007">
        <v>154.71</v>
      </c>
      <c r="E167" s="3007">
        <v>154.71</v>
      </c>
      <c r="F167" s="3007">
        <v>0</v>
      </c>
      <c r="G167" s="3005" t="s">
        <v>3372</v>
      </c>
    </row>
    <row r="168" spans="1:7" ht="14.25" thickBot="1">
      <c r="A168" s="3006" t="s">
        <v>3383</v>
      </c>
      <c r="B168" s="3007" t="s">
        <v>3374</v>
      </c>
      <c r="C168" s="3007">
        <v>1001</v>
      </c>
      <c r="D168" s="3007">
        <v>184.84</v>
      </c>
      <c r="E168" s="3007">
        <v>184.84</v>
      </c>
      <c r="F168" s="3007">
        <v>0</v>
      </c>
      <c r="G168" s="3005" t="s">
        <v>3372</v>
      </c>
    </row>
    <row r="169" spans="1:7" ht="14.25" thickBot="1">
      <c r="A169" s="3006" t="s">
        <v>3383</v>
      </c>
      <c r="B169" s="3007" t="s">
        <v>3374</v>
      </c>
      <c r="C169" s="3007">
        <v>1002</v>
      </c>
      <c r="D169" s="3007">
        <v>154.71</v>
      </c>
      <c r="E169" s="3007">
        <v>154.71</v>
      </c>
      <c r="F169" s="3007">
        <v>0</v>
      </c>
      <c r="G169" s="3005" t="s">
        <v>3372</v>
      </c>
    </row>
    <row r="170" spans="1:7" ht="14.25" thickBot="1">
      <c r="A170" s="3006" t="s">
        <v>3383</v>
      </c>
      <c r="B170" s="3007" t="s">
        <v>3374</v>
      </c>
      <c r="C170" s="3007">
        <v>1101</v>
      </c>
      <c r="D170" s="3007">
        <v>184.84</v>
      </c>
      <c r="E170" s="3007">
        <v>184.84</v>
      </c>
      <c r="F170" s="3007">
        <v>0</v>
      </c>
      <c r="G170" s="3005" t="s">
        <v>3372</v>
      </c>
    </row>
    <row r="171" spans="1:7" ht="14.25" thickBot="1">
      <c r="A171" s="3006" t="s">
        <v>3383</v>
      </c>
      <c r="B171" s="3007" t="s">
        <v>3374</v>
      </c>
      <c r="C171" s="3007">
        <v>1102</v>
      </c>
      <c r="D171" s="3007">
        <v>154.71</v>
      </c>
      <c r="E171" s="3007">
        <v>154.71</v>
      </c>
      <c r="F171" s="3007">
        <v>0</v>
      </c>
      <c r="G171" s="3005" t="s">
        <v>3372</v>
      </c>
    </row>
    <row r="172" spans="1:7" ht="14.25" thickBot="1">
      <c r="A172" s="3006" t="s">
        <v>3383</v>
      </c>
      <c r="B172" s="3007" t="s">
        <v>3374</v>
      </c>
      <c r="C172" s="3007">
        <v>1201</v>
      </c>
      <c r="D172" s="3007">
        <v>184.84</v>
      </c>
      <c r="E172" s="3007">
        <v>184.84</v>
      </c>
      <c r="F172" s="3007">
        <v>0</v>
      </c>
      <c r="G172" s="3005" t="s">
        <v>3372</v>
      </c>
    </row>
    <row r="173" spans="1:7" ht="14.25" thickBot="1">
      <c r="A173" s="3006" t="s">
        <v>3383</v>
      </c>
      <c r="B173" s="3007" t="s">
        <v>3374</v>
      </c>
      <c r="C173" s="3007">
        <v>1202</v>
      </c>
      <c r="D173" s="3007">
        <v>154.71</v>
      </c>
      <c r="E173" s="3007">
        <v>154.71</v>
      </c>
      <c r="F173" s="3007">
        <v>0</v>
      </c>
      <c r="G173" s="3005" t="s">
        <v>3372</v>
      </c>
    </row>
    <row r="174" spans="1:7" ht="14.25" thickBot="1">
      <c r="A174" s="3006" t="s">
        <v>3383</v>
      </c>
      <c r="B174" s="3007" t="s">
        <v>3374</v>
      </c>
      <c r="C174" s="3007">
        <v>1301</v>
      </c>
      <c r="D174" s="3007">
        <v>184.84</v>
      </c>
      <c r="E174" s="3007">
        <v>184.84</v>
      </c>
      <c r="F174" s="3007">
        <v>0</v>
      </c>
      <c r="G174" s="3005" t="s">
        <v>3372</v>
      </c>
    </row>
    <row r="175" spans="1:7" ht="14.25" thickBot="1">
      <c r="A175" s="3006" t="s">
        <v>3383</v>
      </c>
      <c r="B175" s="3007" t="s">
        <v>3374</v>
      </c>
      <c r="C175" s="3007">
        <v>1302</v>
      </c>
      <c r="D175" s="3007">
        <v>154.71</v>
      </c>
      <c r="E175" s="3007">
        <v>154.71</v>
      </c>
      <c r="F175" s="3007">
        <v>0</v>
      </c>
      <c r="G175" s="3005" t="s">
        <v>3372</v>
      </c>
    </row>
    <row r="176" spans="1:7" ht="14.25" thickBot="1">
      <c r="A176" s="3006" t="s">
        <v>3383</v>
      </c>
      <c r="B176" s="3007" t="s">
        <v>3374</v>
      </c>
      <c r="C176" s="3007">
        <v>1401</v>
      </c>
      <c r="D176" s="3007">
        <v>184.84</v>
      </c>
      <c r="E176" s="3007">
        <v>184.84</v>
      </c>
      <c r="F176" s="3007">
        <v>0</v>
      </c>
      <c r="G176" s="3005" t="s">
        <v>3372</v>
      </c>
    </row>
    <row r="177" spans="1:7" ht="14.25" thickBot="1">
      <c r="A177" s="3006" t="s">
        <v>3383</v>
      </c>
      <c r="B177" s="3007" t="s">
        <v>3374</v>
      </c>
      <c r="C177" s="3007">
        <v>1402</v>
      </c>
      <c r="D177" s="3007">
        <v>154.71</v>
      </c>
      <c r="E177" s="3007">
        <v>154.71</v>
      </c>
      <c r="F177" s="3007">
        <v>0</v>
      </c>
      <c r="G177" s="3005" t="s">
        <v>3372</v>
      </c>
    </row>
    <row r="178" spans="1:7" ht="14.25" thickBot="1">
      <c r="A178" s="3006" t="s">
        <v>3383</v>
      </c>
      <c r="B178" s="3007" t="s">
        <v>3374</v>
      </c>
      <c r="C178" s="3007">
        <v>1501</v>
      </c>
      <c r="D178" s="3007">
        <v>184.84</v>
      </c>
      <c r="E178" s="3007">
        <v>184.84</v>
      </c>
      <c r="F178" s="3007">
        <v>0</v>
      </c>
      <c r="G178" s="3005" t="s">
        <v>3372</v>
      </c>
    </row>
    <row r="179" spans="1:7" ht="14.25" thickBot="1">
      <c r="A179" s="3006" t="s">
        <v>3383</v>
      </c>
      <c r="B179" s="3007" t="s">
        <v>3374</v>
      </c>
      <c r="C179" s="3007">
        <v>1502</v>
      </c>
      <c r="D179" s="3007">
        <v>154.71</v>
      </c>
      <c r="E179" s="3007">
        <v>154.71</v>
      </c>
      <c r="F179" s="3007">
        <v>0</v>
      </c>
      <c r="G179" s="3005" t="s">
        <v>3372</v>
      </c>
    </row>
    <row r="180" spans="1:7" ht="14.25" thickBot="1">
      <c r="A180" s="3006" t="s">
        <v>3383</v>
      </c>
      <c r="B180" s="3007" t="s">
        <v>3374</v>
      </c>
      <c r="C180" s="3007">
        <v>1601</v>
      </c>
      <c r="D180" s="3007">
        <v>184.84</v>
      </c>
      <c r="E180" s="3007">
        <v>184.84</v>
      </c>
      <c r="F180" s="3007">
        <v>0</v>
      </c>
      <c r="G180" s="3005" t="s">
        <v>3372</v>
      </c>
    </row>
    <row r="181" spans="1:7" ht="14.25" thickBot="1">
      <c r="A181" s="3006" t="s">
        <v>3383</v>
      </c>
      <c r="B181" s="3007" t="s">
        <v>3374</v>
      </c>
      <c r="C181" s="3007">
        <v>1602</v>
      </c>
      <c r="D181" s="3007">
        <v>154.71</v>
      </c>
      <c r="E181" s="3007">
        <v>154.71</v>
      </c>
      <c r="F181" s="3007">
        <v>0</v>
      </c>
      <c r="G181" s="3005" t="s">
        <v>3372</v>
      </c>
    </row>
    <row r="182" spans="1:7" ht="14.25" thickBot="1">
      <c r="A182" s="3006" t="s">
        <v>3383</v>
      </c>
      <c r="B182" s="3007" t="s">
        <v>3374</v>
      </c>
      <c r="C182" s="3007">
        <v>1701</v>
      </c>
      <c r="D182" s="3007">
        <v>184.84</v>
      </c>
      <c r="E182" s="3007">
        <v>184.84</v>
      </c>
      <c r="F182" s="3007">
        <v>0</v>
      </c>
      <c r="G182" s="3005" t="s">
        <v>3372</v>
      </c>
    </row>
    <row r="183" spans="1:7" ht="14.25" thickBot="1">
      <c r="A183" s="3006" t="s">
        <v>3383</v>
      </c>
      <c r="B183" s="3007" t="s">
        <v>3374</v>
      </c>
      <c r="C183" s="3007">
        <v>1702</v>
      </c>
      <c r="D183" s="3007">
        <v>154.71</v>
      </c>
      <c r="E183" s="3007">
        <v>154.71</v>
      </c>
      <c r="F183" s="3007">
        <v>0</v>
      </c>
      <c r="G183" s="3005" t="s">
        <v>3372</v>
      </c>
    </row>
    <row r="184" spans="1:7" ht="14.25" thickBot="1">
      <c r="A184" s="3006" t="s">
        <v>3383</v>
      </c>
      <c r="B184" s="3007" t="s">
        <v>3374</v>
      </c>
      <c r="C184" s="3007">
        <v>1801</v>
      </c>
      <c r="D184" s="3007">
        <v>184.84</v>
      </c>
      <c r="E184" s="3007">
        <v>184.84</v>
      </c>
      <c r="F184" s="3007">
        <v>0</v>
      </c>
      <c r="G184" s="3005" t="s">
        <v>3372</v>
      </c>
    </row>
    <row r="185" spans="1:7" ht="14.25" thickBot="1">
      <c r="A185" s="3006" t="s">
        <v>3383</v>
      </c>
      <c r="B185" s="3007" t="s">
        <v>3374</v>
      </c>
      <c r="C185" s="3007">
        <v>1802</v>
      </c>
      <c r="D185" s="3007">
        <v>154.71</v>
      </c>
      <c r="E185" s="3007">
        <v>154.71</v>
      </c>
      <c r="F185" s="3007">
        <v>0</v>
      </c>
      <c r="G185" s="3005" t="s">
        <v>3372</v>
      </c>
    </row>
    <row r="186" spans="1:7" ht="14.25" thickBot="1">
      <c r="A186" s="3006" t="s">
        <v>3383</v>
      </c>
      <c r="B186" s="3007" t="s">
        <v>3374</v>
      </c>
      <c r="C186" s="3007">
        <v>1901</v>
      </c>
      <c r="D186" s="3007">
        <v>184.84</v>
      </c>
      <c r="E186" s="3007">
        <v>184.84</v>
      </c>
      <c r="F186" s="3007">
        <v>0</v>
      </c>
      <c r="G186" s="3005" t="s">
        <v>3372</v>
      </c>
    </row>
    <row r="187" spans="1:7" ht="14.25" thickBot="1">
      <c r="A187" s="3006" t="s">
        <v>3383</v>
      </c>
      <c r="B187" s="3007" t="s">
        <v>3374</v>
      </c>
      <c r="C187" s="3007">
        <v>1902</v>
      </c>
      <c r="D187" s="3007">
        <v>154.71</v>
      </c>
      <c r="E187" s="3007">
        <v>154.71</v>
      </c>
      <c r="F187" s="3007">
        <v>0</v>
      </c>
      <c r="G187" s="3005" t="s">
        <v>3372</v>
      </c>
    </row>
    <row r="188" spans="1:7" ht="14.25" thickBot="1">
      <c r="A188" s="3006" t="s">
        <v>3383</v>
      </c>
      <c r="B188" s="3007" t="s">
        <v>3375</v>
      </c>
      <c r="C188" s="3007">
        <v>101</v>
      </c>
      <c r="D188" s="3007">
        <v>295.45</v>
      </c>
      <c r="E188" s="3007">
        <v>134.01</v>
      </c>
      <c r="F188" s="3007">
        <v>161.44</v>
      </c>
      <c r="G188" s="3005" t="s">
        <v>3372</v>
      </c>
    </row>
    <row r="189" spans="1:7" ht="14.25" thickBot="1">
      <c r="A189" s="3006" t="s">
        <v>3383</v>
      </c>
      <c r="B189" s="3007" t="s">
        <v>3375</v>
      </c>
      <c r="C189" s="3007">
        <v>102</v>
      </c>
      <c r="D189" s="3007">
        <v>347.92</v>
      </c>
      <c r="E189" s="3007">
        <v>155.84</v>
      </c>
      <c r="F189" s="3007">
        <v>192.08</v>
      </c>
      <c r="G189" s="3005" t="s">
        <v>3372</v>
      </c>
    </row>
    <row r="190" spans="1:7" ht="14.25" thickBot="1">
      <c r="A190" s="3006" t="s">
        <v>3383</v>
      </c>
      <c r="B190" s="3007" t="s">
        <v>3375</v>
      </c>
      <c r="C190" s="3007">
        <v>201</v>
      </c>
      <c r="D190" s="3007">
        <v>154.1</v>
      </c>
      <c r="E190" s="3007">
        <v>154.1</v>
      </c>
      <c r="F190" s="3007">
        <v>0</v>
      </c>
      <c r="G190" s="3005" t="s">
        <v>3372</v>
      </c>
    </row>
    <row r="191" spans="1:7" ht="14.25" thickBot="1">
      <c r="A191" s="3006" t="s">
        <v>3383</v>
      </c>
      <c r="B191" s="3007" t="s">
        <v>3375</v>
      </c>
      <c r="C191" s="3007">
        <v>202</v>
      </c>
      <c r="D191" s="3007">
        <v>184.52</v>
      </c>
      <c r="E191" s="3007">
        <v>184.52</v>
      </c>
      <c r="F191" s="3007">
        <v>0</v>
      </c>
      <c r="G191" s="3005" t="s">
        <v>3372</v>
      </c>
    </row>
    <row r="192" spans="1:7" ht="14.25" thickBot="1">
      <c r="A192" s="3006" t="s">
        <v>3383</v>
      </c>
      <c r="B192" s="3007" t="s">
        <v>3375</v>
      </c>
      <c r="C192" s="3007">
        <v>301</v>
      </c>
      <c r="D192" s="3007">
        <v>154.71</v>
      </c>
      <c r="E192" s="3007">
        <v>154.71</v>
      </c>
      <c r="F192" s="3007">
        <v>0</v>
      </c>
      <c r="G192" s="3005" t="s">
        <v>3372</v>
      </c>
    </row>
    <row r="193" spans="1:7" ht="14.25" thickBot="1">
      <c r="A193" s="3006" t="s">
        <v>3383</v>
      </c>
      <c r="B193" s="3007" t="s">
        <v>3375</v>
      </c>
      <c r="C193" s="3007">
        <v>302</v>
      </c>
      <c r="D193" s="3007">
        <v>184.84</v>
      </c>
      <c r="E193" s="3007">
        <v>184.84</v>
      </c>
      <c r="F193" s="3007">
        <v>0</v>
      </c>
      <c r="G193" s="3005" t="s">
        <v>3372</v>
      </c>
    </row>
    <row r="194" spans="1:7" ht="14.25" thickBot="1">
      <c r="A194" s="3006" t="s">
        <v>3383</v>
      </c>
      <c r="B194" s="3007" t="s">
        <v>3375</v>
      </c>
      <c r="C194" s="3007">
        <v>401</v>
      </c>
      <c r="D194" s="3007">
        <v>154.71</v>
      </c>
      <c r="E194" s="3007">
        <v>154.71</v>
      </c>
      <c r="F194" s="3007">
        <v>0</v>
      </c>
      <c r="G194" s="3005" t="s">
        <v>3372</v>
      </c>
    </row>
    <row r="195" spans="1:7" ht="14.25" thickBot="1">
      <c r="A195" s="3006" t="s">
        <v>3383</v>
      </c>
      <c r="B195" s="3007" t="s">
        <v>3375</v>
      </c>
      <c r="C195" s="3007">
        <v>402</v>
      </c>
      <c r="D195" s="3007">
        <v>184.84</v>
      </c>
      <c r="E195" s="3007">
        <v>184.84</v>
      </c>
      <c r="F195" s="3007">
        <v>0</v>
      </c>
      <c r="G195" s="3005" t="s">
        <v>3372</v>
      </c>
    </row>
    <row r="196" spans="1:7" ht="14.25" thickBot="1">
      <c r="A196" s="3006" t="s">
        <v>3383</v>
      </c>
      <c r="B196" s="3007" t="s">
        <v>3375</v>
      </c>
      <c r="C196" s="3007">
        <v>501</v>
      </c>
      <c r="D196" s="3007">
        <v>154.71</v>
      </c>
      <c r="E196" s="3007">
        <v>154.71</v>
      </c>
      <c r="F196" s="3007">
        <v>0</v>
      </c>
      <c r="G196" s="3005" t="s">
        <v>3372</v>
      </c>
    </row>
    <row r="197" spans="1:7" ht="14.25" thickBot="1">
      <c r="A197" s="3006" t="s">
        <v>3383</v>
      </c>
      <c r="B197" s="3007" t="s">
        <v>3375</v>
      </c>
      <c r="C197" s="3007">
        <v>502</v>
      </c>
      <c r="D197" s="3007">
        <v>184.84</v>
      </c>
      <c r="E197" s="3007">
        <v>184.84</v>
      </c>
      <c r="F197" s="3007">
        <v>0</v>
      </c>
      <c r="G197" s="3005" t="s">
        <v>3372</v>
      </c>
    </row>
    <row r="198" spans="1:7" ht="14.25" thickBot="1">
      <c r="A198" s="3006" t="s">
        <v>3383</v>
      </c>
      <c r="B198" s="3007" t="s">
        <v>3375</v>
      </c>
      <c r="C198" s="3007">
        <v>601</v>
      </c>
      <c r="D198" s="3007">
        <v>154.71</v>
      </c>
      <c r="E198" s="3007">
        <v>154.71</v>
      </c>
      <c r="F198" s="3007">
        <v>0</v>
      </c>
      <c r="G198" s="3005" t="s">
        <v>3372</v>
      </c>
    </row>
    <row r="199" spans="1:7" ht="14.25" thickBot="1">
      <c r="A199" s="3006" t="s">
        <v>3383</v>
      </c>
      <c r="B199" s="3007" t="s">
        <v>3375</v>
      </c>
      <c r="C199" s="3007">
        <v>602</v>
      </c>
      <c r="D199" s="3007">
        <v>184.84</v>
      </c>
      <c r="E199" s="3007">
        <v>184.84</v>
      </c>
      <c r="F199" s="3007">
        <v>0</v>
      </c>
      <c r="G199" s="3005" t="s">
        <v>3372</v>
      </c>
    </row>
    <row r="200" spans="1:7" ht="14.25" thickBot="1">
      <c r="A200" s="3006" t="s">
        <v>3383</v>
      </c>
      <c r="B200" s="3007" t="s">
        <v>3375</v>
      </c>
      <c r="C200" s="3007">
        <v>701</v>
      </c>
      <c r="D200" s="3007">
        <v>154.71</v>
      </c>
      <c r="E200" s="3007">
        <v>154.71</v>
      </c>
      <c r="F200" s="3007">
        <v>0</v>
      </c>
      <c r="G200" s="3005" t="s">
        <v>3372</v>
      </c>
    </row>
    <row r="201" spans="1:7" ht="14.25" thickBot="1">
      <c r="A201" s="3006" t="s">
        <v>3383</v>
      </c>
      <c r="B201" s="3007" t="s">
        <v>3375</v>
      </c>
      <c r="C201" s="3007">
        <v>702</v>
      </c>
      <c r="D201" s="3007">
        <v>184.84</v>
      </c>
      <c r="E201" s="3007">
        <v>184.84</v>
      </c>
      <c r="F201" s="3007">
        <v>0</v>
      </c>
      <c r="G201" s="3005" t="s">
        <v>3372</v>
      </c>
    </row>
    <row r="202" spans="1:7" ht="14.25" thickBot="1">
      <c r="A202" s="3006" t="s">
        <v>3383</v>
      </c>
      <c r="B202" s="3007" t="s">
        <v>3375</v>
      </c>
      <c r="C202" s="3007">
        <v>801</v>
      </c>
      <c r="D202" s="3007">
        <v>154.71</v>
      </c>
      <c r="E202" s="3007">
        <v>154.71</v>
      </c>
      <c r="F202" s="3007">
        <v>0</v>
      </c>
      <c r="G202" s="3005" t="s">
        <v>3372</v>
      </c>
    </row>
    <row r="203" spans="1:7" ht="14.25" thickBot="1">
      <c r="A203" s="3006" t="s">
        <v>3383</v>
      </c>
      <c r="B203" s="3007" t="s">
        <v>3375</v>
      </c>
      <c r="C203" s="3007">
        <v>802</v>
      </c>
      <c r="D203" s="3007">
        <v>184.84</v>
      </c>
      <c r="E203" s="3007">
        <v>184.84</v>
      </c>
      <c r="F203" s="3007">
        <v>0</v>
      </c>
      <c r="G203" s="3005" t="s">
        <v>3372</v>
      </c>
    </row>
    <row r="204" spans="1:7" ht="14.25" thickBot="1">
      <c r="A204" s="3006" t="s">
        <v>3383</v>
      </c>
      <c r="B204" s="3007" t="s">
        <v>3375</v>
      </c>
      <c r="C204" s="3007">
        <v>901</v>
      </c>
      <c r="D204" s="3007">
        <v>154.71</v>
      </c>
      <c r="E204" s="3007">
        <v>154.71</v>
      </c>
      <c r="F204" s="3007">
        <v>0</v>
      </c>
      <c r="G204" s="3005" t="s">
        <v>3372</v>
      </c>
    </row>
    <row r="205" spans="1:7" ht="14.25" thickBot="1">
      <c r="A205" s="3006" t="s">
        <v>3383</v>
      </c>
      <c r="B205" s="3007" t="s">
        <v>3375</v>
      </c>
      <c r="C205" s="3007">
        <v>902</v>
      </c>
      <c r="D205" s="3007">
        <v>184.84</v>
      </c>
      <c r="E205" s="3007">
        <v>184.84</v>
      </c>
      <c r="F205" s="3007">
        <v>0</v>
      </c>
      <c r="G205" s="3005" t="s">
        <v>3372</v>
      </c>
    </row>
    <row r="206" spans="1:7" ht="14.25" thickBot="1">
      <c r="A206" s="3006" t="s">
        <v>3383</v>
      </c>
      <c r="B206" s="3007" t="s">
        <v>3375</v>
      </c>
      <c r="C206" s="3007">
        <v>1001</v>
      </c>
      <c r="D206" s="3007">
        <v>154.71</v>
      </c>
      <c r="E206" s="3007">
        <v>154.71</v>
      </c>
      <c r="F206" s="3007">
        <v>0</v>
      </c>
      <c r="G206" s="3005" t="s">
        <v>3372</v>
      </c>
    </row>
    <row r="207" spans="1:7" ht="14.25" thickBot="1">
      <c r="A207" s="3006" t="s">
        <v>3383</v>
      </c>
      <c r="B207" s="3007" t="s">
        <v>3375</v>
      </c>
      <c r="C207" s="3007">
        <v>1002</v>
      </c>
      <c r="D207" s="3007">
        <v>184.84</v>
      </c>
      <c r="E207" s="3007">
        <v>184.84</v>
      </c>
      <c r="F207" s="3007">
        <v>0</v>
      </c>
      <c r="G207" s="3005" t="s">
        <v>3372</v>
      </c>
    </row>
    <row r="208" spans="1:7" ht="14.25" thickBot="1">
      <c r="A208" s="3006" t="s">
        <v>3383</v>
      </c>
      <c r="B208" s="3007" t="s">
        <v>3375</v>
      </c>
      <c r="C208" s="3007">
        <v>1101</v>
      </c>
      <c r="D208" s="3007">
        <v>154.71</v>
      </c>
      <c r="E208" s="3007">
        <v>154.71</v>
      </c>
      <c r="F208" s="3007">
        <v>0</v>
      </c>
      <c r="G208" s="3005" t="s">
        <v>3372</v>
      </c>
    </row>
    <row r="209" spans="1:7" ht="14.25" thickBot="1">
      <c r="A209" s="3006" t="s">
        <v>3383</v>
      </c>
      <c r="B209" s="3007" t="s">
        <v>3375</v>
      </c>
      <c r="C209" s="3007">
        <v>1102</v>
      </c>
      <c r="D209" s="3007">
        <v>184.84</v>
      </c>
      <c r="E209" s="3007">
        <v>184.84</v>
      </c>
      <c r="F209" s="3007">
        <v>0</v>
      </c>
      <c r="G209" s="3005" t="s">
        <v>3372</v>
      </c>
    </row>
    <row r="210" spans="1:7" ht="14.25" thickBot="1">
      <c r="A210" s="3006" t="s">
        <v>3383</v>
      </c>
      <c r="B210" s="3007" t="s">
        <v>3375</v>
      </c>
      <c r="C210" s="3007">
        <v>1201</v>
      </c>
      <c r="D210" s="3007">
        <v>154.71</v>
      </c>
      <c r="E210" s="3007">
        <v>154.71</v>
      </c>
      <c r="F210" s="3007">
        <v>0</v>
      </c>
      <c r="G210" s="3005" t="s">
        <v>3372</v>
      </c>
    </row>
    <row r="211" spans="1:7" ht="14.25" thickBot="1">
      <c r="A211" s="3006" t="s">
        <v>3383</v>
      </c>
      <c r="B211" s="3007" t="s">
        <v>3375</v>
      </c>
      <c r="C211" s="3007">
        <v>1202</v>
      </c>
      <c r="D211" s="3007">
        <v>184.84</v>
      </c>
      <c r="E211" s="3007">
        <v>184.84</v>
      </c>
      <c r="F211" s="3007">
        <v>0</v>
      </c>
      <c r="G211" s="3005" t="s">
        <v>3372</v>
      </c>
    </row>
    <row r="212" spans="1:7" ht="14.25" thickBot="1">
      <c r="A212" s="3006" t="s">
        <v>3383</v>
      </c>
      <c r="B212" s="3007" t="s">
        <v>3375</v>
      </c>
      <c r="C212" s="3007">
        <v>1301</v>
      </c>
      <c r="D212" s="3007">
        <v>154.71</v>
      </c>
      <c r="E212" s="3007">
        <v>154.71</v>
      </c>
      <c r="F212" s="3007">
        <v>0</v>
      </c>
      <c r="G212" s="3005" t="s">
        <v>3372</v>
      </c>
    </row>
    <row r="213" spans="1:7" ht="14.25" thickBot="1">
      <c r="A213" s="3006" t="s">
        <v>3383</v>
      </c>
      <c r="B213" s="3007" t="s">
        <v>3375</v>
      </c>
      <c r="C213" s="3007">
        <v>1302</v>
      </c>
      <c r="D213" s="3007">
        <v>184.84</v>
      </c>
      <c r="E213" s="3007">
        <v>184.84</v>
      </c>
      <c r="F213" s="3007">
        <v>0</v>
      </c>
      <c r="G213" s="3005" t="s">
        <v>3372</v>
      </c>
    </row>
    <row r="214" spans="1:7" ht="14.25" thickBot="1">
      <c r="A214" s="3006" t="s">
        <v>3383</v>
      </c>
      <c r="B214" s="3007" t="s">
        <v>3375</v>
      </c>
      <c r="C214" s="3007">
        <v>1401</v>
      </c>
      <c r="D214" s="3007">
        <v>154.71</v>
      </c>
      <c r="E214" s="3007">
        <v>154.71</v>
      </c>
      <c r="F214" s="3007">
        <v>0</v>
      </c>
      <c r="G214" s="3005" t="s">
        <v>3372</v>
      </c>
    </row>
    <row r="215" spans="1:7" ht="14.25" thickBot="1">
      <c r="A215" s="3006" t="s">
        <v>3383</v>
      </c>
      <c r="B215" s="3007" t="s">
        <v>3375</v>
      </c>
      <c r="C215" s="3007">
        <v>1402</v>
      </c>
      <c r="D215" s="3007">
        <v>184.84</v>
      </c>
      <c r="E215" s="3007">
        <v>184.84</v>
      </c>
      <c r="F215" s="3007">
        <v>0</v>
      </c>
      <c r="G215" s="3005" t="s">
        <v>3372</v>
      </c>
    </row>
    <row r="216" spans="1:7" ht="14.25" thickBot="1">
      <c r="A216" s="3006" t="s">
        <v>3383</v>
      </c>
      <c r="B216" s="3007" t="s">
        <v>3375</v>
      </c>
      <c r="C216" s="3007">
        <v>1501</v>
      </c>
      <c r="D216" s="3007">
        <v>154.71</v>
      </c>
      <c r="E216" s="3007">
        <v>154.71</v>
      </c>
      <c r="F216" s="3007">
        <v>0</v>
      </c>
      <c r="G216" s="3005" t="s">
        <v>3372</v>
      </c>
    </row>
    <row r="217" spans="1:7" ht="14.25" thickBot="1">
      <c r="A217" s="3006" t="s">
        <v>3383</v>
      </c>
      <c r="B217" s="3007" t="s">
        <v>3375</v>
      </c>
      <c r="C217" s="3007">
        <v>1502</v>
      </c>
      <c r="D217" s="3007">
        <v>184.84</v>
      </c>
      <c r="E217" s="3007">
        <v>184.84</v>
      </c>
      <c r="F217" s="3007">
        <v>0</v>
      </c>
      <c r="G217" s="3005" t="s">
        <v>3372</v>
      </c>
    </row>
    <row r="218" spans="1:7" ht="14.25" thickBot="1">
      <c r="A218" s="3006" t="s">
        <v>3383</v>
      </c>
      <c r="B218" s="3007" t="s">
        <v>3375</v>
      </c>
      <c r="C218" s="3007">
        <v>1601</v>
      </c>
      <c r="D218" s="3007">
        <v>154.71</v>
      </c>
      <c r="E218" s="3007">
        <v>154.71</v>
      </c>
      <c r="F218" s="3007">
        <v>0</v>
      </c>
      <c r="G218" s="3005" t="s">
        <v>3372</v>
      </c>
    </row>
    <row r="219" spans="1:7" ht="14.25" thickBot="1">
      <c r="A219" s="3006" t="s">
        <v>3383</v>
      </c>
      <c r="B219" s="3007" t="s">
        <v>3375</v>
      </c>
      <c r="C219" s="3007">
        <v>1602</v>
      </c>
      <c r="D219" s="3007">
        <v>184.84</v>
      </c>
      <c r="E219" s="3007">
        <v>184.84</v>
      </c>
      <c r="F219" s="3007">
        <v>0</v>
      </c>
      <c r="G219" s="3005" t="s">
        <v>3372</v>
      </c>
    </row>
    <row r="220" spans="1:7" ht="14.25" thickBot="1">
      <c r="A220" s="3006" t="s">
        <v>3383</v>
      </c>
      <c r="B220" s="3007" t="s">
        <v>3375</v>
      </c>
      <c r="C220" s="3007">
        <v>1701</v>
      </c>
      <c r="D220" s="3007">
        <v>154.71</v>
      </c>
      <c r="E220" s="3007">
        <v>154.71</v>
      </c>
      <c r="F220" s="3007">
        <v>0</v>
      </c>
      <c r="G220" s="3005" t="s">
        <v>3372</v>
      </c>
    </row>
    <row r="221" spans="1:7" ht="14.25" thickBot="1">
      <c r="A221" s="3006" t="s">
        <v>3383</v>
      </c>
      <c r="B221" s="3007" t="s">
        <v>3375</v>
      </c>
      <c r="C221" s="3007">
        <v>1702</v>
      </c>
      <c r="D221" s="3007">
        <v>184.84</v>
      </c>
      <c r="E221" s="3007">
        <v>184.84</v>
      </c>
      <c r="F221" s="3007">
        <v>0</v>
      </c>
      <c r="G221" s="3005" t="s">
        <v>3372</v>
      </c>
    </row>
    <row r="222" spans="1:7" ht="14.25" thickBot="1">
      <c r="A222" s="3006" t="s">
        <v>3383</v>
      </c>
      <c r="B222" s="3007" t="s">
        <v>3375</v>
      </c>
      <c r="C222" s="3007">
        <v>1801</v>
      </c>
      <c r="D222" s="3007">
        <v>154.71</v>
      </c>
      <c r="E222" s="3007">
        <v>154.71</v>
      </c>
      <c r="F222" s="3007">
        <v>0</v>
      </c>
      <c r="G222" s="3005" t="s">
        <v>3372</v>
      </c>
    </row>
    <row r="223" spans="1:7" ht="14.25" thickBot="1">
      <c r="A223" s="3006" t="s">
        <v>3383</v>
      </c>
      <c r="B223" s="3007" t="s">
        <v>3375</v>
      </c>
      <c r="C223" s="3007">
        <v>1802</v>
      </c>
      <c r="D223" s="3007">
        <v>184.84</v>
      </c>
      <c r="E223" s="3007">
        <v>184.84</v>
      </c>
      <c r="F223" s="3007">
        <v>0</v>
      </c>
      <c r="G223" s="3005" t="s">
        <v>3372</v>
      </c>
    </row>
    <row r="224" spans="1:7" ht="14.25" thickBot="1">
      <c r="A224" s="3006" t="s">
        <v>3383</v>
      </c>
      <c r="B224" s="3007" t="s">
        <v>3375</v>
      </c>
      <c r="C224" s="3007">
        <v>1901</v>
      </c>
      <c r="D224" s="3007">
        <v>154.71</v>
      </c>
      <c r="E224" s="3007">
        <v>154.71</v>
      </c>
      <c r="F224" s="3007">
        <v>0</v>
      </c>
      <c r="G224" s="3005" t="s">
        <v>3372</v>
      </c>
    </row>
    <row r="225" spans="1:7" ht="14.25" thickBot="1">
      <c r="A225" s="3006" t="s">
        <v>3383</v>
      </c>
      <c r="B225" s="3007" t="s">
        <v>3375</v>
      </c>
      <c r="C225" s="3007">
        <v>1902</v>
      </c>
      <c r="D225" s="3007">
        <v>184.84</v>
      </c>
      <c r="E225" s="3007">
        <v>184.84</v>
      </c>
      <c r="F225" s="3007">
        <v>0</v>
      </c>
      <c r="G225" s="3005" t="s">
        <v>3372</v>
      </c>
    </row>
    <row r="226" spans="1:7" ht="14.25" thickBot="1">
      <c r="A226" s="3006" t="s">
        <v>3384</v>
      </c>
      <c r="B226" s="3007" t="s">
        <v>3374</v>
      </c>
      <c r="C226" s="3007">
        <v>101</v>
      </c>
      <c r="D226" s="3007">
        <v>298.64999999999998</v>
      </c>
      <c r="E226" s="3007">
        <v>135.72999999999999</v>
      </c>
      <c r="F226" s="3007">
        <v>162.91999999999999</v>
      </c>
      <c r="G226" s="3005" t="s">
        <v>3372</v>
      </c>
    </row>
    <row r="227" spans="1:7" ht="14.25" thickBot="1">
      <c r="A227" s="3006" t="s">
        <v>3384</v>
      </c>
      <c r="B227" s="3007" t="s">
        <v>3374</v>
      </c>
      <c r="C227" s="3007">
        <v>102</v>
      </c>
      <c r="D227" s="3007">
        <v>299.52</v>
      </c>
      <c r="E227" s="3007">
        <v>135.06</v>
      </c>
      <c r="F227" s="3007">
        <v>164.46</v>
      </c>
      <c r="G227" s="3005" t="s">
        <v>3372</v>
      </c>
    </row>
    <row r="228" spans="1:7" ht="14.25" thickBot="1">
      <c r="A228" s="3006" t="s">
        <v>3384</v>
      </c>
      <c r="B228" s="3007" t="s">
        <v>3374</v>
      </c>
      <c r="C228" s="3007">
        <v>201</v>
      </c>
      <c r="D228" s="3007">
        <v>154.86000000000001</v>
      </c>
      <c r="E228" s="3007">
        <v>154.86000000000001</v>
      </c>
      <c r="F228" s="3007">
        <v>0</v>
      </c>
      <c r="G228" s="3005" t="s">
        <v>3372</v>
      </c>
    </row>
    <row r="229" spans="1:7" ht="14.25" thickBot="1">
      <c r="A229" s="3006" t="s">
        <v>3384</v>
      </c>
      <c r="B229" s="3007" t="s">
        <v>3374</v>
      </c>
      <c r="C229" s="3007">
        <v>202</v>
      </c>
      <c r="D229" s="3007">
        <v>154.19</v>
      </c>
      <c r="E229" s="3007">
        <v>154.19</v>
      </c>
      <c r="F229" s="3007">
        <v>0</v>
      </c>
      <c r="G229" s="3005" t="s">
        <v>3372</v>
      </c>
    </row>
    <row r="230" spans="1:7" ht="14.25" thickBot="1">
      <c r="A230" s="3006" t="s">
        <v>3384</v>
      </c>
      <c r="B230" s="3007" t="s">
        <v>3374</v>
      </c>
      <c r="C230" s="3007">
        <v>301</v>
      </c>
      <c r="D230" s="3007">
        <v>154.86000000000001</v>
      </c>
      <c r="E230" s="3007">
        <v>154.86000000000001</v>
      </c>
      <c r="F230" s="3007">
        <v>0</v>
      </c>
      <c r="G230" s="3005" t="s">
        <v>3372</v>
      </c>
    </row>
    <row r="231" spans="1:7" ht="14.25" thickBot="1">
      <c r="A231" s="3006" t="s">
        <v>3384</v>
      </c>
      <c r="B231" s="3007" t="s">
        <v>3374</v>
      </c>
      <c r="C231" s="3007">
        <v>302</v>
      </c>
      <c r="D231" s="3007">
        <v>154.19</v>
      </c>
      <c r="E231" s="3007">
        <v>154.19</v>
      </c>
      <c r="F231" s="3007">
        <v>0</v>
      </c>
      <c r="G231" s="3005" t="s">
        <v>3372</v>
      </c>
    </row>
    <row r="232" spans="1:7" ht="14.25" thickBot="1">
      <c r="A232" s="3006" t="s">
        <v>3384</v>
      </c>
      <c r="B232" s="3007" t="s">
        <v>3374</v>
      </c>
      <c r="C232" s="3007">
        <v>401</v>
      </c>
      <c r="D232" s="3007">
        <v>154.86000000000001</v>
      </c>
      <c r="E232" s="3007">
        <v>154.86000000000001</v>
      </c>
      <c r="F232" s="3007">
        <v>0</v>
      </c>
      <c r="G232" s="3005" t="s">
        <v>3372</v>
      </c>
    </row>
    <row r="233" spans="1:7" ht="14.25" thickBot="1">
      <c r="A233" s="3006" t="s">
        <v>3384</v>
      </c>
      <c r="B233" s="3007" t="s">
        <v>3374</v>
      </c>
      <c r="C233" s="3007">
        <v>402</v>
      </c>
      <c r="D233" s="3007">
        <v>154.19</v>
      </c>
      <c r="E233" s="3007">
        <v>154.19</v>
      </c>
      <c r="F233" s="3007">
        <v>0</v>
      </c>
      <c r="G233" s="3005" t="s">
        <v>3372</v>
      </c>
    </row>
    <row r="234" spans="1:7" ht="14.25" thickBot="1">
      <c r="A234" s="3006" t="s">
        <v>3384</v>
      </c>
      <c r="B234" s="3007" t="s">
        <v>3374</v>
      </c>
      <c r="C234" s="3007">
        <v>501</v>
      </c>
      <c r="D234" s="3007">
        <v>154.86000000000001</v>
      </c>
      <c r="E234" s="3007">
        <v>154.86000000000001</v>
      </c>
      <c r="F234" s="3007">
        <v>0</v>
      </c>
      <c r="G234" s="3005" t="s">
        <v>3372</v>
      </c>
    </row>
    <row r="235" spans="1:7" ht="14.25" thickBot="1">
      <c r="A235" s="3006" t="s">
        <v>3384</v>
      </c>
      <c r="B235" s="3007" t="s">
        <v>3374</v>
      </c>
      <c r="C235" s="3007">
        <v>502</v>
      </c>
      <c r="D235" s="3007">
        <v>154.19</v>
      </c>
      <c r="E235" s="3007">
        <v>154.19</v>
      </c>
      <c r="F235" s="3007">
        <v>0</v>
      </c>
      <c r="G235" s="3005" t="s">
        <v>3372</v>
      </c>
    </row>
    <row r="236" spans="1:7" ht="14.25" thickBot="1">
      <c r="A236" s="3006" t="s">
        <v>3384</v>
      </c>
      <c r="B236" s="3007" t="s">
        <v>3374</v>
      </c>
      <c r="C236" s="3007">
        <v>601</v>
      </c>
      <c r="D236" s="3007">
        <v>154.86000000000001</v>
      </c>
      <c r="E236" s="3007">
        <v>154.86000000000001</v>
      </c>
      <c r="F236" s="3007">
        <v>0</v>
      </c>
      <c r="G236" s="3005" t="s">
        <v>3372</v>
      </c>
    </row>
    <row r="237" spans="1:7" ht="14.25" thickBot="1">
      <c r="A237" s="3006" t="s">
        <v>3384</v>
      </c>
      <c r="B237" s="3007" t="s">
        <v>3374</v>
      </c>
      <c r="C237" s="3007">
        <v>602</v>
      </c>
      <c r="D237" s="3007">
        <v>154.19</v>
      </c>
      <c r="E237" s="3007">
        <v>154.19</v>
      </c>
      <c r="F237" s="3007">
        <v>0</v>
      </c>
      <c r="G237" s="3005" t="s">
        <v>3372</v>
      </c>
    </row>
    <row r="238" spans="1:7" ht="14.25" thickBot="1">
      <c r="A238" s="3006" t="s">
        <v>3384</v>
      </c>
      <c r="B238" s="3007" t="s">
        <v>3374</v>
      </c>
      <c r="C238" s="3007">
        <v>701</v>
      </c>
      <c r="D238" s="3007">
        <v>154.86000000000001</v>
      </c>
      <c r="E238" s="3007">
        <v>154.86000000000001</v>
      </c>
      <c r="F238" s="3007">
        <v>0</v>
      </c>
      <c r="G238" s="3005" t="s">
        <v>3372</v>
      </c>
    </row>
    <row r="239" spans="1:7" ht="14.25" thickBot="1">
      <c r="A239" s="3006" t="s">
        <v>3384</v>
      </c>
      <c r="B239" s="3007" t="s">
        <v>3374</v>
      </c>
      <c r="C239" s="3007">
        <v>702</v>
      </c>
      <c r="D239" s="3007">
        <v>154.19</v>
      </c>
      <c r="E239" s="3007">
        <v>154.19</v>
      </c>
      <c r="F239" s="3007">
        <v>0</v>
      </c>
      <c r="G239" s="3005" t="s">
        <v>3372</v>
      </c>
    </row>
    <row r="240" spans="1:7" ht="14.25" thickBot="1">
      <c r="A240" s="3006" t="s">
        <v>3384</v>
      </c>
      <c r="B240" s="3007" t="s">
        <v>3374</v>
      </c>
      <c r="C240" s="3007">
        <v>801</v>
      </c>
      <c r="D240" s="3007">
        <v>154.86000000000001</v>
      </c>
      <c r="E240" s="3007">
        <v>154.86000000000001</v>
      </c>
      <c r="F240" s="3007">
        <v>0</v>
      </c>
      <c r="G240" s="3005" t="s">
        <v>3372</v>
      </c>
    </row>
    <row r="241" spans="1:7" ht="14.25" thickBot="1">
      <c r="A241" s="3006" t="s">
        <v>3384</v>
      </c>
      <c r="B241" s="3007" t="s">
        <v>3374</v>
      </c>
      <c r="C241" s="3007">
        <v>802</v>
      </c>
      <c r="D241" s="3007">
        <v>154.19</v>
      </c>
      <c r="E241" s="3007">
        <v>154.19</v>
      </c>
      <c r="F241" s="3007">
        <v>0</v>
      </c>
      <c r="G241" s="3005" t="s">
        <v>3372</v>
      </c>
    </row>
    <row r="242" spans="1:7" ht="14.25" thickBot="1">
      <c r="A242" s="3006" t="s">
        <v>3384</v>
      </c>
      <c r="B242" s="3007" t="s">
        <v>3374</v>
      </c>
      <c r="C242" s="3007">
        <v>901</v>
      </c>
      <c r="D242" s="3007">
        <v>154.86000000000001</v>
      </c>
      <c r="E242" s="3007">
        <v>154.86000000000001</v>
      </c>
      <c r="F242" s="3007">
        <v>0</v>
      </c>
      <c r="G242" s="3005" t="s">
        <v>3372</v>
      </c>
    </row>
    <row r="243" spans="1:7" ht="14.25" thickBot="1">
      <c r="A243" s="3006" t="s">
        <v>3384</v>
      </c>
      <c r="B243" s="3007" t="s">
        <v>3374</v>
      </c>
      <c r="C243" s="3007">
        <v>902</v>
      </c>
      <c r="D243" s="3007">
        <v>154.19</v>
      </c>
      <c r="E243" s="3007">
        <v>154.19</v>
      </c>
      <c r="F243" s="3007">
        <v>0</v>
      </c>
      <c r="G243" s="3005" t="s">
        <v>3372</v>
      </c>
    </row>
    <row r="244" spans="1:7" ht="14.25" thickBot="1">
      <c r="A244" s="3006" t="s">
        <v>3384</v>
      </c>
      <c r="B244" s="3007" t="s">
        <v>3374</v>
      </c>
      <c r="C244" s="3007">
        <v>1001</v>
      </c>
      <c r="D244" s="3007">
        <v>154.86000000000001</v>
      </c>
      <c r="E244" s="3007">
        <v>154.86000000000001</v>
      </c>
      <c r="F244" s="3007">
        <v>0</v>
      </c>
      <c r="G244" s="3005" t="s">
        <v>3372</v>
      </c>
    </row>
    <row r="245" spans="1:7" ht="14.25" thickBot="1">
      <c r="A245" s="3006" t="s">
        <v>3384</v>
      </c>
      <c r="B245" s="3007" t="s">
        <v>3374</v>
      </c>
      <c r="C245" s="3007">
        <v>1002</v>
      </c>
      <c r="D245" s="3007">
        <v>154.19</v>
      </c>
      <c r="E245" s="3007">
        <v>154.19</v>
      </c>
      <c r="F245" s="3007">
        <v>0</v>
      </c>
      <c r="G245" s="3005" t="s">
        <v>3372</v>
      </c>
    </row>
    <row r="246" spans="1:7" ht="14.25" thickBot="1">
      <c r="A246" s="3006" t="s">
        <v>3384</v>
      </c>
      <c r="B246" s="3007" t="s">
        <v>3375</v>
      </c>
      <c r="C246" s="3007">
        <v>101</v>
      </c>
      <c r="D246" s="3007">
        <v>299.52</v>
      </c>
      <c r="E246" s="3007">
        <v>135.06</v>
      </c>
      <c r="F246" s="3007">
        <v>164.46</v>
      </c>
      <c r="G246" s="3005" t="s">
        <v>3372</v>
      </c>
    </row>
    <row r="247" spans="1:7" ht="14.25" thickBot="1">
      <c r="A247" s="3006" t="s">
        <v>3384</v>
      </c>
      <c r="B247" s="3007" t="s">
        <v>3375</v>
      </c>
      <c r="C247" s="3007">
        <v>102</v>
      </c>
      <c r="D247" s="3007">
        <v>299.52</v>
      </c>
      <c r="E247" s="3007">
        <v>135.06</v>
      </c>
      <c r="F247" s="3007">
        <v>164.46</v>
      </c>
      <c r="G247" s="3005" t="s">
        <v>3372</v>
      </c>
    </row>
    <row r="248" spans="1:7" ht="14.25" thickBot="1">
      <c r="A248" s="3006" t="s">
        <v>3384</v>
      </c>
      <c r="B248" s="3007" t="s">
        <v>3375</v>
      </c>
      <c r="C248" s="3007">
        <v>201</v>
      </c>
      <c r="D248" s="3007">
        <v>154.19</v>
      </c>
      <c r="E248" s="3007">
        <v>154.19</v>
      </c>
      <c r="F248" s="3007">
        <v>0</v>
      </c>
      <c r="G248" s="3005" t="s">
        <v>3372</v>
      </c>
    </row>
    <row r="249" spans="1:7" ht="14.25" thickBot="1">
      <c r="A249" s="3006" t="s">
        <v>3384</v>
      </c>
      <c r="B249" s="3007" t="s">
        <v>3375</v>
      </c>
      <c r="C249" s="3007">
        <v>202</v>
      </c>
      <c r="D249" s="3007">
        <v>154.19</v>
      </c>
      <c r="E249" s="3007">
        <v>154.19</v>
      </c>
      <c r="F249" s="3007">
        <v>0</v>
      </c>
      <c r="G249" s="3005" t="s">
        <v>3372</v>
      </c>
    </row>
    <row r="250" spans="1:7" ht="14.25" thickBot="1">
      <c r="A250" s="3006" t="s">
        <v>3384</v>
      </c>
      <c r="B250" s="3007" t="s">
        <v>3375</v>
      </c>
      <c r="C250" s="3007">
        <v>301</v>
      </c>
      <c r="D250" s="3007">
        <v>154.19</v>
      </c>
      <c r="E250" s="3007">
        <v>154.19</v>
      </c>
      <c r="F250" s="3007">
        <v>0</v>
      </c>
      <c r="G250" s="3005" t="s">
        <v>3372</v>
      </c>
    </row>
    <row r="251" spans="1:7" ht="14.25" thickBot="1">
      <c r="A251" s="3006" t="s">
        <v>3384</v>
      </c>
      <c r="B251" s="3007" t="s">
        <v>3375</v>
      </c>
      <c r="C251" s="3007">
        <v>302</v>
      </c>
      <c r="D251" s="3007">
        <v>154.19</v>
      </c>
      <c r="E251" s="3007">
        <v>154.19</v>
      </c>
      <c r="F251" s="3007">
        <v>0</v>
      </c>
      <c r="G251" s="3005" t="s">
        <v>3372</v>
      </c>
    </row>
    <row r="252" spans="1:7" ht="14.25" thickBot="1">
      <c r="A252" s="3006" t="s">
        <v>3384</v>
      </c>
      <c r="B252" s="3007" t="s">
        <v>3375</v>
      </c>
      <c r="C252" s="3007">
        <v>401</v>
      </c>
      <c r="D252" s="3007">
        <v>154.19</v>
      </c>
      <c r="E252" s="3007">
        <v>154.19</v>
      </c>
      <c r="F252" s="3007">
        <v>0</v>
      </c>
      <c r="G252" s="3005" t="s">
        <v>3372</v>
      </c>
    </row>
    <row r="253" spans="1:7" ht="14.25" thickBot="1">
      <c r="A253" s="3006" t="s">
        <v>3384</v>
      </c>
      <c r="B253" s="3007" t="s">
        <v>3375</v>
      </c>
      <c r="C253" s="3007">
        <v>402</v>
      </c>
      <c r="D253" s="3007">
        <v>154.19</v>
      </c>
      <c r="E253" s="3007">
        <v>154.19</v>
      </c>
      <c r="F253" s="3007">
        <v>0</v>
      </c>
      <c r="G253" s="3005" t="s">
        <v>3372</v>
      </c>
    </row>
    <row r="254" spans="1:7" ht="14.25" thickBot="1">
      <c r="A254" s="3006" t="s">
        <v>3384</v>
      </c>
      <c r="B254" s="3007" t="s">
        <v>3375</v>
      </c>
      <c r="C254" s="3007">
        <v>501</v>
      </c>
      <c r="D254" s="3007">
        <v>154.19</v>
      </c>
      <c r="E254" s="3007">
        <v>154.19</v>
      </c>
      <c r="F254" s="3007">
        <v>0</v>
      </c>
      <c r="G254" s="3005" t="s">
        <v>3372</v>
      </c>
    </row>
    <row r="255" spans="1:7" ht="14.25" thickBot="1">
      <c r="A255" s="3006" t="s">
        <v>3384</v>
      </c>
      <c r="B255" s="3007" t="s">
        <v>3375</v>
      </c>
      <c r="C255" s="3007">
        <v>502</v>
      </c>
      <c r="D255" s="3007">
        <v>154.19</v>
      </c>
      <c r="E255" s="3007">
        <v>154.19</v>
      </c>
      <c r="F255" s="3007">
        <v>0</v>
      </c>
      <c r="G255" s="3005" t="s">
        <v>3372</v>
      </c>
    </row>
    <row r="256" spans="1:7" ht="14.25" thickBot="1">
      <c r="A256" s="3006" t="s">
        <v>3384</v>
      </c>
      <c r="B256" s="3007" t="s">
        <v>3375</v>
      </c>
      <c r="C256" s="3007">
        <v>601</v>
      </c>
      <c r="D256" s="3007">
        <v>154.19</v>
      </c>
      <c r="E256" s="3007">
        <v>154.19</v>
      </c>
      <c r="F256" s="3007">
        <v>0</v>
      </c>
      <c r="G256" s="3005" t="s">
        <v>3372</v>
      </c>
    </row>
    <row r="257" spans="1:7" ht="14.25" thickBot="1">
      <c r="A257" s="3006" t="s">
        <v>3384</v>
      </c>
      <c r="B257" s="3007" t="s">
        <v>3375</v>
      </c>
      <c r="C257" s="3007">
        <v>602</v>
      </c>
      <c r="D257" s="3007">
        <v>154.19</v>
      </c>
      <c r="E257" s="3007">
        <v>154.19</v>
      </c>
      <c r="F257" s="3007">
        <v>0</v>
      </c>
      <c r="G257" s="3005" t="s">
        <v>3372</v>
      </c>
    </row>
    <row r="258" spans="1:7" ht="14.25" thickBot="1">
      <c r="A258" s="3006" t="s">
        <v>3384</v>
      </c>
      <c r="B258" s="3007" t="s">
        <v>3375</v>
      </c>
      <c r="C258" s="3007">
        <v>701</v>
      </c>
      <c r="D258" s="3007">
        <v>154.19</v>
      </c>
      <c r="E258" s="3007">
        <v>154.19</v>
      </c>
      <c r="F258" s="3007">
        <v>0</v>
      </c>
      <c r="G258" s="3005" t="s">
        <v>3372</v>
      </c>
    </row>
    <row r="259" spans="1:7" ht="14.25" thickBot="1">
      <c r="A259" s="3006" t="s">
        <v>3384</v>
      </c>
      <c r="B259" s="3007" t="s">
        <v>3375</v>
      </c>
      <c r="C259" s="3007">
        <v>702</v>
      </c>
      <c r="D259" s="3007">
        <v>154.19</v>
      </c>
      <c r="E259" s="3007">
        <v>154.19</v>
      </c>
      <c r="F259" s="3007">
        <v>0</v>
      </c>
      <c r="G259" s="3005" t="s">
        <v>3372</v>
      </c>
    </row>
    <row r="260" spans="1:7" ht="14.25" thickBot="1">
      <c r="A260" s="3006" t="s">
        <v>3384</v>
      </c>
      <c r="B260" s="3007" t="s">
        <v>3375</v>
      </c>
      <c r="C260" s="3007">
        <v>801</v>
      </c>
      <c r="D260" s="3007">
        <v>154.19</v>
      </c>
      <c r="E260" s="3007">
        <v>154.19</v>
      </c>
      <c r="F260" s="3007">
        <v>0</v>
      </c>
      <c r="G260" s="3005" t="s">
        <v>3372</v>
      </c>
    </row>
    <row r="261" spans="1:7" ht="14.25" thickBot="1">
      <c r="A261" s="3006" t="s">
        <v>3384</v>
      </c>
      <c r="B261" s="3007" t="s">
        <v>3375</v>
      </c>
      <c r="C261" s="3007">
        <v>802</v>
      </c>
      <c r="D261" s="3007">
        <v>154.19</v>
      </c>
      <c r="E261" s="3007">
        <v>154.19</v>
      </c>
      <c r="F261" s="3007">
        <v>0</v>
      </c>
      <c r="G261" s="3005" t="s">
        <v>3372</v>
      </c>
    </row>
    <row r="262" spans="1:7" ht="14.25" thickBot="1">
      <c r="A262" s="3006" t="s">
        <v>3384</v>
      </c>
      <c r="B262" s="3007" t="s">
        <v>3375</v>
      </c>
      <c r="C262" s="3007">
        <v>901</v>
      </c>
      <c r="D262" s="3007">
        <v>154.19</v>
      </c>
      <c r="E262" s="3007">
        <v>154.19</v>
      </c>
      <c r="F262" s="3007">
        <v>0</v>
      </c>
      <c r="G262" s="3005" t="s">
        <v>3372</v>
      </c>
    </row>
    <row r="263" spans="1:7" ht="14.25" thickBot="1">
      <c r="A263" s="3006" t="s">
        <v>3384</v>
      </c>
      <c r="B263" s="3007" t="s">
        <v>3375</v>
      </c>
      <c r="C263" s="3007">
        <v>902</v>
      </c>
      <c r="D263" s="3007">
        <v>154.19</v>
      </c>
      <c r="E263" s="3007">
        <v>154.19</v>
      </c>
      <c r="F263" s="3007">
        <v>0</v>
      </c>
      <c r="G263" s="3005" t="s">
        <v>3372</v>
      </c>
    </row>
    <row r="264" spans="1:7" ht="14.25" thickBot="1">
      <c r="A264" s="3006" t="s">
        <v>3384</v>
      </c>
      <c r="B264" s="3007" t="s">
        <v>3375</v>
      </c>
      <c r="C264" s="3007">
        <v>1001</v>
      </c>
      <c r="D264" s="3007">
        <v>154.19</v>
      </c>
      <c r="E264" s="3007">
        <v>154.19</v>
      </c>
      <c r="F264" s="3007">
        <v>0</v>
      </c>
      <c r="G264" s="3005" t="s">
        <v>3372</v>
      </c>
    </row>
    <row r="265" spans="1:7" ht="14.25" thickBot="1">
      <c r="A265" s="3006" t="s">
        <v>3384</v>
      </c>
      <c r="B265" s="3007" t="s">
        <v>3375</v>
      </c>
      <c r="C265" s="3007">
        <v>1002</v>
      </c>
      <c r="D265" s="3007">
        <v>154.19</v>
      </c>
      <c r="E265" s="3007">
        <v>154.19</v>
      </c>
      <c r="F265" s="3007">
        <v>0</v>
      </c>
      <c r="G265" s="3005" t="s">
        <v>3372</v>
      </c>
    </row>
    <row r="266" spans="1:7" ht="14.25" thickBot="1">
      <c r="A266" s="3006" t="s">
        <v>3384</v>
      </c>
      <c r="B266" s="3007" t="s">
        <v>3376</v>
      </c>
      <c r="C266" s="3007">
        <v>101</v>
      </c>
      <c r="D266" s="3007">
        <v>299.52</v>
      </c>
      <c r="E266" s="3007">
        <v>135.06</v>
      </c>
      <c r="F266" s="3007">
        <v>164.46</v>
      </c>
      <c r="G266" s="3005" t="s">
        <v>3372</v>
      </c>
    </row>
    <row r="267" spans="1:7" ht="14.25" thickBot="1">
      <c r="A267" s="3006" t="s">
        <v>3384</v>
      </c>
      <c r="B267" s="3007" t="s">
        <v>3376</v>
      </c>
      <c r="C267" s="3007">
        <v>102</v>
      </c>
      <c r="D267" s="3007">
        <v>298.64999999999998</v>
      </c>
      <c r="E267" s="3007">
        <v>135.72999999999999</v>
      </c>
      <c r="F267" s="3007">
        <v>162.91999999999999</v>
      </c>
      <c r="G267" s="3005" t="s">
        <v>3372</v>
      </c>
    </row>
    <row r="268" spans="1:7" ht="14.25" thickBot="1">
      <c r="A268" s="3006" t="s">
        <v>3384</v>
      </c>
      <c r="B268" s="3007" t="s">
        <v>3376</v>
      </c>
      <c r="C268" s="3007">
        <v>201</v>
      </c>
      <c r="D268" s="3007">
        <v>154.19</v>
      </c>
      <c r="E268" s="3007">
        <v>154.19</v>
      </c>
      <c r="F268" s="3007">
        <v>0</v>
      </c>
      <c r="G268" s="3005" t="s">
        <v>3372</v>
      </c>
    </row>
    <row r="269" spans="1:7" ht="14.25" thickBot="1">
      <c r="A269" s="3006" t="s">
        <v>3384</v>
      </c>
      <c r="B269" s="3007" t="s">
        <v>3376</v>
      </c>
      <c r="C269" s="3007">
        <v>202</v>
      </c>
      <c r="D269" s="3007">
        <v>154.86000000000001</v>
      </c>
      <c r="E269" s="3007">
        <v>154.86000000000001</v>
      </c>
      <c r="F269" s="3007">
        <v>0</v>
      </c>
      <c r="G269" s="3005" t="s">
        <v>3372</v>
      </c>
    </row>
    <row r="270" spans="1:7" ht="14.25" thickBot="1">
      <c r="A270" s="3006" t="s">
        <v>3384</v>
      </c>
      <c r="B270" s="3007" t="s">
        <v>3376</v>
      </c>
      <c r="C270" s="3007">
        <v>301</v>
      </c>
      <c r="D270" s="3007">
        <v>154.19</v>
      </c>
      <c r="E270" s="3007">
        <v>154.19</v>
      </c>
      <c r="F270" s="3007">
        <v>0</v>
      </c>
      <c r="G270" s="3005" t="s">
        <v>3372</v>
      </c>
    </row>
    <row r="271" spans="1:7" ht="14.25" thickBot="1">
      <c r="A271" s="3006" t="s">
        <v>3384</v>
      </c>
      <c r="B271" s="3007" t="s">
        <v>3376</v>
      </c>
      <c r="C271" s="3007">
        <v>302</v>
      </c>
      <c r="D271" s="3007">
        <v>154.86000000000001</v>
      </c>
      <c r="E271" s="3007">
        <v>154.86000000000001</v>
      </c>
      <c r="F271" s="3007">
        <v>0</v>
      </c>
      <c r="G271" s="3005" t="s">
        <v>3372</v>
      </c>
    </row>
    <row r="272" spans="1:7" ht="14.25" thickBot="1">
      <c r="A272" s="3006" t="s">
        <v>3384</v>
      </c>
      <c r="B272" s="3007" t="s">
        <v>3376</v>
      </c>
      <c r="C272" s="3007">
        <v>401</v>
      </c>
      <c r="D272" s="3007">
        <v>154.19</v>
      </c>
      <c r="E272" s="3007">
        <v>154.19</v>
      </c>
      <c r="F272" s="3007">
        <v>0</v>
      </c>
      <c r="G272" s="3005" t="s">
        <v>3372</v>
      </c>
    </row>
    <row r="273" spans="1:7" ht="14.25" thickBot="1">
      <c r="A273" s="3006" t="s">
        <v>3384</v>
      </c>
      <c r="B273" s="3007" t="s">
        <v>3376</v>
      </c>
      <c r="C273" s="3007">
        <v>402</v>
      </c>
      <c r="D273" s="3007">
        <v>154.86000000000001</v>
      </c>
      <c r="E273" s="3007">
        <v>154.86000000000001</v>
      </c>
      <c r="F273" s="3007">
        <v>0</v>
      </c>
      <c r="G273" s="3005" t="s">
        <v>3372</v>
      </c>
    </row>
    <row r="274" spans="1:7" ht="14.25" thickBot="1">
      <c r="A274" s="3006" t="s">
        <v>3384</v>
      </c>
      <c r="B274" s="3007" t="s">
        <v>3376</v>
      </c>
      <c r="C274" s="3007">
        <v>501</v>
      </c>
      <c r="D274" s="3007">
        <v>154.19</v>
      </c>
      <c r="E274" s="3007">
        <v>154.19</v>
      </c>
      <c r="F274" s="3007">
        <v>0</v>
      </c>
      <c r="G274" s="3005" t="s">
        <v>3372</v>
      </c>
    </row>
    <row r="275" spans="1:7" ht="14.25" thickBot="1">
      <c r="A275" s="3006" t="s">
        <v>3384</v>
      </c>
      <c r="B275" s="3007" t="s">
        <v>3376</v>
      </c>
      <c r="C275" s="3007">
        <v>502</v>
      </c>
      <c r="D275" s="3007">
        <v>154.86000000000001</v>
      </c>
      <c r="E275" s="3007">
        <v>154.86000000000001</v>
      </c>
      <c r="F275" s="3007">
        <v>0</v>
      </c>
      <c r="G275" s="3005" t="s">
        <v>3372</v>
      </c>
    </row>
    <row r="276" spans="1:7" ht="14.25" thickBot="1">
      <c r="A276" s="3006" t="s">
        <v>3384</v>
      </c>
      <c r="B276" s="3007" t="s">
        <v>3376</v>
      </c>
      <c r="C276" s="3007">
        <v>601</v>
      </c>
      <c r="D276" s="3007">
        <v>154.19</v>
      </c>
      <c r="E276" s="3007">
        <v>154.19</v>
      </c>
      <c r="F276" s="3007">
        <v>0</v>
      </c>
      <c r="G276" s="3005" t="s">
        <v>3372</v>
      </c>
    </row>
    <row r="277" spans="1:7" ht="14.25" thickBot="1">
      <c r="A277" s="3006" t="s">
        <v>3384</v>
      </c>
      <c r="B277" s="3007" t="s">
        <v>3376</v>
      </c>
      <c r="C277" s="3007">
        <v>602</v>
      </c>
      <c r="D277" s="3007">
        <v>154.86000000000001</v>
      </c>
      <c r="E277" s="3007">
        <v>154.86000000000001</v>
      </c>
      <c r="F277" s="3007">
        <v>0</v>
      </c>
      <c r="G277" s="3005" t="s">
        <v>3372</v>
      </c>
    </row>
    <row r="278" spans="1:7" ht="14.25" thickBot="1">
      <c r="A278" s="3006" t="s">
        <v>3384</v>
      </c>
      <c r="B278" s="3007" t="s">
        <v>3376</v>
      </c>
      <c r="C278" s="3007">
        <v>701</v>
      </c>
      <c r="D278" s="3007">
        <v>154.19</v>
      </c>
      <c r="E278" s="3007">
        <v>154.19</v>
      </c>
      <c r="F278" s="3007">
        <v>0</v>
      </c>
      <c r="G278" s="3005" t="s">
        <v>3372</v>
      </c>
    </row>
    <row r="279" spans="1:7" ht="14.25" thickBot="1">
      <c r="A279" s="3006" t="s">
        <v>3384</v>
      </c>
      <c r="B279" s="3007" t="s">
        <v>3376</v>
      </c>
      <c r="C279" s="3007">
        <v>702</v>
      </c>
      <c r="D279" s="3007">
        <v>154.86000000000001</v>
      </c>
      <c r="E279" s="3007">
        <v>154.86000000000001</v>
      </c>
      <c r="F279" s="3007">
        <v>0</v>
      </c>
      <c r="G279" s="3005" t="s">
        <v>3372</v>
      </c>
    </row>
    <row r="280" spans="1:7" ht="14.25" thickBot="1">
      <c r="A280" s="3006" t="s">
        <v>3384</v>
      </c>
      <c r="B280" s="3007" t="s">
        <v>3376</v>
      </c>
      <c r="C280" s="3007">
        <v>801</v>
      </c>
      <c r="D280" s="3007">
        <v>154.19</v>
      </c>
      <c r="E280" s="3007">
        <v>154.19</v>
      </c>
      <c r="F280" s="3007">
        <v>0</v>
      </c>
      <c r="G280" s="3005" t="s">
        <v>3372</v>
      </c>
    </row>
    <row r="281" spans="1:7" ht="14.25" thickBot="1">
      <c r="A281" s="3006" t="s">
        <v>3384</v>
      </c>
      <c r="B281" s="3007" t="s">
        <v>3376</v>
      </c>
      <c r="C281" s="3007">
        <v>802</v>
      </c>
      <c r="D281" s="3007">
        <v>154.86000000000001</v>
      </c>
      <c r="E281" s="3007">
        <v>154.86000000000001</v>
      </c>
      <c r="F281" s="3007">
        <v>0</v>
      </c>
      <c r="G281" s="3005" t="s">
        <v>3372</v>
      </c>
    </row>
    <row r="282" spans="1:7" ht="14.25" thickBot="1">
      <c r="A282" s="3006" t="s">
        <v>3384</v>
      </c>
      <c r="B282" s="3007" t="s">
        <v>3376</v>
      </c>
      <c r="C282" s="3007">
        <v>901</v>
      </c>
      <c r="D282" s="3007">
        <v>154.19</v>
      </c>
      <c r="E282" s="3007">
        <v>154.19</v>
      </c>
      <c r="F282" s="3007">
        <v>0</v>
      </c>
      <c r="G282" s="3005" t="s">
        <v>3372</v>
      </c>
    </row>
    <row r="283" spans="1:7" ht="14.25" thickBot="1">
      <c r="A283" s="3006" t="s">
        <v>3384</v>
      </c>
      <c r="B283" s="3007" t="s">
        <v>3376</v>
      </c>
      <c r="C283" s="3007">
        <v>902</v>
      </c>
      <c r="D283" s="3007">
        <v>154.86000000000001</v>
      </c>
      <c r="E283" s="3007">
        <v>154.86000000000001</v>
      </c>
      <c r="F283" s="3007">
        <v>0</v>
      </c>
      <c r="G283" s="3005" t="s">
        <v>3372</v>
      </c>
    </row>
    <row r="284" spans="1:7" ht="14.25" thickBot="1">
      <c r="A284" s="3006" t="s">
        <v>3384</v>
      </c>
      <c r="B284" s="3007" t="s">
        <v>3376</v>
      </c>
      <c r="C284" s="3007">
        <v>1001</v>
      </c>
      <c r="D284" s="3007">
        <v>154.19</v>
      </c>
      <c r="E284" s="3007">
        <v>154.19</v>
      </c>
      <c r="F284" s="3007">
        <v>0</v>
      </c>
      <c r="G284" s="3005" t="s">
        <v>3372</v>
      </c>
    </row>
    <row r="285" spans="1:7" ht="14.25" thickBot="1">
      <c r="A285" s="3006" t="s">
        <v>3384</v>
      </c>
      <c r="B285" s="3007" t="s">
        <v>3376</v>
      </c>
      <c r="C285" s="3007">
        <v>1002</v>
      </c>
      <c r="D285" s="3007">
        <v>154.86000000000001</v>
      </c>
      <c r="E285" s="3007">
        <v>154.86000000000001</v>
      </c>
      <c r="F285" s="3007">
        <v>0</v>
      </c>
      <c r="G285" s="3005" t="s">
        <v>3372</v>
      </c>
    </row>
    <row r="286" spans="1:7" ht="14.25" thickBot="1">
      <c r="A286" s="3006" t="s">
        <v>3385</v>
      </c>
      <c r="B286" s="3007" t="s">
        <v>3374</v>
      </c>
      <c r="C286" s="3007">
        <v>101</v>
      </c>
      <c r="D286" s="3007">
        <v>271.66000000000003</v>
      </c>
      <c r="E286" s="3007">
        <v>120.16</v>
      </c>
      <c r="F286" s="3007">
        <v>151.5</v>
      </c>
      <c r="G286" s="3005" t="s">
        <v>3372</v>
      </c>
    </row>
    <row r="287" spans="1:7" ht="14.25" thickBot="1">
      <c r="A287" s="3006" t="s">
        <v>3385</v>
      </c>
      <c r="B287" s="3007" t="s">
        <v>3374</v>
      </c>
      <c r="C287" s="3007">
        <v>102</v>
      </c>
      <c r="D287" s="3007">
        <v>273.18</v>
      </c>
      <c r="E287" s="3007">
        <v>119.65</v>
      </c>
      <c r="F287" s="3007">
        <v>153.53</v>
      </c>
      <c r="G287" s="3005" t="s">
        <v>3372</v>
      </c>
    </row>
    <row r="288" spans="1:7" ht="14.25" thickBot="1">
      <c r="A288" s="3006" t="s">
        <v>3385</v>
      </c>
      <c r="B288" s="3007" t="s">
        <v>3374</v>
      </c>
      <c r="C288" s="3007">
        <v>402</v>
      </c>
      <c r="D288" s="3007">
        <v>153.16999999999999</v>
      </c>
      <c r="E288" s="3007">
        <v>153.16999999999999</v>
      </c>
      <c r="F288" s="3007">
        <v>0</v>
      </c>
      <c r="G288" s="3005" t="s">
        <v>3372</v>
      </c>
    </row>
    <row r="289" spans="1:7" ht="14.25" thickBot="1">
      <c r="A289" s="3006" t="s">
        <v>3385</v>
      </c>
      <c r="B289" s="3007" t="s">
        <v>3374</v>
      </c>
      <c r="C289" s="3007">
        <v>1301</v>
      </c>
      <c r="D289" s="3007">
        <v>152.05000000000001</v>
      </c>
      <c r="E289" s="3007">
        <v>152.05000000000001</v>
      </c>
      <c r="F289" s="3007">
        <v>0</v>
      </c>
      <c r="G289" s="3005" t="s">
        <v>3372</v>
      </c>
    </row>
    <row r="290" spans="1:7" ht="14.25" thickBot="1">
      <c r="A290" s="3006" t="s">
        <v>3385</v>
      </c>
      <c r="B290" s="3007" t="s">
        <v>3374</v>
      </c>
      <c r="C290" s="3007">
        <v>1402</v>
      </c>
      <c r="D290" s="3007">
        <v>153.16999999999999</v>
      </c>
      <c r="E290" s="3007">
        <v>153.16999999999999</v>
      </c>
      <c r="F290" s="3007">
        <v>0</v>
      </c>
      <c r="G290" s="3005" t="s">
        <v>3372</v>
      </c>
    </row>
    <row r="291" spans="1:7" ht="14.25" thickBot="1">
      <c r="A291" s="3006" t="s">
        <v>3385</v>
      </c>
      <c r="B291" s="3007" t="s">
        <v>3374</v>
      </c>
      <c r="C291" s="3007">
        <v>1501</v>
      </c>
      <c r="D291" s="3007">
        <v>152.05000000000001</v>
      </c>
      <c r="E291" s="3007">
        <v>152.05000000000001</v>
      </c>
      <c r="F291" s="3007">
        <v>0</v>
      </c>
      <c r="G291" s="3005" t="s">
        <v>3372</v>
      </c>
    </row>
    <row r="292" spans="1:7" ht="14.25" thickBot="1">
      <c r="A292" s="3006" t="s">
        <v>3385</v>
      </c>
      <c r="B292" s="3007" t="s">
        <v>3374</v>
      </c>
      <c r="C292" s="3007">
        <v>1602</v>
      </c>
      <c r="D292" s="3007">
        <v>153.16999999999999</v>
      </c>
      <c r="E292" s="3007">
        <v>153.16999999999999</v>
      </c>
      <c r="F292" s="3007">
        <v>0</v>
      </c>
      <c r="G292" s="3005" t="s">
        <v>3372</v>
      </c>
    </row>
    <row r="293" spans="1:7" ht="14.25" thickBot="1">
      <c r="A293" s="3006" t="s">
        <v>3385</v>
      </c>
      <c r="B293" s="3007" t="s">
        <v>3375</v>
      </c>
      <c r="C293" s="3007">
        <v>101</v>
      </c>
      <c r="D293" s="3007">
        <v>273.20999999999998</v>
      </c>
      <c r="E293" s="3007">
        <v>119.68</v>
      </c>
      <c r="F293" s="3007">
        <v>153.53</v>
      </c>
      <c r="G293" s="3005" t="s">
        <v>3372</v>
      </c>
    </row>
    <row r="294" spans="1:7" ht="14.25" thickBot="1">
      <c r="A294" s="3006" t="s">
        <v>3385</v>
      </c>
      <c r="B294" s="3007" t="s">
        <v>3375</v>
      </c>
      <c r="C294" s="3007">
        <v>102</v>
      </c>
      <c r="D294" s="3007">
        <v>271.70999999999998</v>
      </c>
      <c r="E294" s="3007">
        <v>120.16</v>
      </c>
      <c r="F294" s="3007">
        <v>151.55000000000001</v>
      </c>
      <c r="G294" s="3005" t="s">
        <v>3372</v>
      </c>
    </row>
    <row r="295" spans="1:7" ht="14.25" thickBot="1">
      <c r="A295" s="3006" t="s">
        <v>3385</v>
      </c>
      <c r="B295" s="3007" t="s">
        <v>3375</v>
      </c>
      <c r="C295" s="3007">
        <v>501</v>
      </c>
      <c r="D295" s="3007">
        <v>153.16999999999999</v>
      </c>
      <c r="E295" s="3007">
        <v>153.16999999999999</v>
      </c>
      <c r="F295" s="3007">
        <v>0</v>
      </c>
      <c r="G295" s="3005" t="s">
        <v>3372</v>
      </c>
    </row>
    <row r="296" spans="1:7" ht="14.25" thickBot="1">
      <c r="A296" s="3006" t="s">
        <v>3385</v>
      </c>
      <c r="B296" s="3007" t="s">
        <v>3375</v>
      </c>
      <c r="C296" s="3007">
        <v>1001</v>
      </c>
      <c r="D296" s="3007">
        <v>153.16999999999999</v>
      </c>
      <c r="E296" s="3007">
        <v>153.16999999999999</v>
      </c>
      <c r="F296" s="3007">
        <v>0</v>
      </c>
      <c r="G296" s="3005" t="s">
        <v>3372</v>
      </c>
    </row>
    <row r="297" spans="1:7" ht="14.25" thickBot="1">
      <c r="A297" s="3006" t="s">
        <v>3385</v>
      </c>
      <c r="B297" s="3007" t="s">
        <v>3375</v>
      </c>
      <c r="C297" s="3007">
        <v>1202</v>
      </c>
      <c r="D297" s="3007">
        <v>152.05000000000001</v>
      </c>
      <c r="E297" s="3007">
        <v>152.05000000000001</v>
      </c>
      <c r="F297" s="3007">
        <v>0</v>
      </c>
      <c r="G297" s="3005" t="s">
        <v>3372</v>
      </c>
    </row>
    <row r="298" spans="1:7" ht="14.25" thickBot="1">
      <c r="A298" s="3006" t="s">
        <v>3385</v>
      </c>
      <c r="B298" s="3007" t="s">
        <v>3375</v>
      </c>
      <c r="C298" s="3007">
        <v>1402</v>
      </c>
      <c r="D298" s="3007">
        <v>152.05000000000001</v>
      </c>
      <c r="E298" s="3007">
        <v>152.05000000000001</v>
      </c>
      <c r="F298" s="3007">
        <v>0</v>
      </c>
      <c r="G298" s="3005" t="s">
        <v>3372</v>
      </c>
    </row>
    <row r="299" spans="1:7" ht="14.25" thickBot="1">
      <c r="A299" s="3006" t="s">
        <v>3385</v>
      </c>
      <c r="B299" s="3007" t="s">
        <v>3375</v>
      </c>
      <c r="C299" s="3007">
        <v>1502</v>
      </c>
      <c r="D299" s="3007">
        <v>152.05000000000001</v>
      </c>
      <c r="E299" s="3007">
        <v>152.05000000000001</v>
      </c>
      <c r="F299" s="3007">
        <v>0</v>
      </c>
      <c r="G299" s="3005" t="s">
        <v>3372</v>
      </c>
    </row>
    <row r="300" spans="1:7" ht="14.25" thickBot="1">
      <c r="A300" s="3006" t="s">
        <v>3385</v>
      </c>
      <c r="B300" s="3007" t="s">
        <v>3375</v>
      </c>
      <c r="C300" s="3007">
        <v>1802</v>
      </c>
      <c r="D300" s="3007">
        <v>152.05000000000001</v>
      </c>
      <c r="E300" s="3007">
        <v>152.05000000000001</v>
      </c>
      <c r="F300" s="3007">
        <v>0</v>
      </c>
      <c r="G300" s="3005" t="s">
        <v>3372</v>
      </c>
    </row>
    <row r="301" spans="1:7" ht="14.25" thickBot="1">
      <c r="A301" s="3006" t="s">
        <v>3385</v>
      </c>
      <c r="B301" s="3007" t="s">
        <v>3375</v>
      </c>
      <c r="C301" s="3007">
        <v>1901</v>
      </c>
      <c r="D301" s="3007">
        <v>153.16999999999999</v>
      </c>
      <c r="E301" s="3007">
        <v>153.16999999999999</v>
      </c>
      <c r="F301" s="3007">
        <v>0</v>
      </c>
      <c r="G301" s="3005" t="s">
        <v>3372</v>
      </c>
    </row>
    <row r="302" spans="1:7" ht="14.25" thickBot="1">
      <c r="A302" s="3006" t="s">
        <v>3385</v>
      </c>
      <c r="B302" s="3007" t="s">
        <v>3375</v>
      </c>
      <c r="C302" s="3007">
        <v>1902</v>
      </c>
      <c r="D302" s="3007">
        <v>152.05000000000001</v>
      </c>
      <c r="E302" s="3007">
        <v>152.05000000000001</v>
      </c>
      <c r="F302" s="3007">
        <v>0</v>
      </c>
      <c r="G302" s="3005" t="s">
        <v>3372</v>
      </c>
    </row>
    <row r="303" spans="1:7" ht="14.25" thickBot="1">
      <c r="A303" s="3006" t="s">
        <v>3386</v>
      </c>
      <c r="B303" s="3007" t="s">
        <v>3374</v>
      </c>
      <c r="C303" s="3007">
        <v>-301</v>
      </c>
      <c r="D303" s="3007">
        <v>111.16</v>
      </c>
      <c r="E303" s="3007">
        <v>0</v>
      </c>
      <c r="F303" s="3007">
        <v>111.16</v>
      </c>
      <c r="G303" s="3005" t="s">
        <v>3095</v>
      </c>
    </row>
    <row r="304" spans="1:7" ht="14.25" thickBot="1">
      <c r="A304" s="3006" t="s">
        <v>3386</v>
      </c>
      <c r="B304" s="3007" t="s">
        <v>3374</v>
      </c>
      <c r="C304" s="3007">
        <v>-302</v>
      </c>
      <c r="D304" s="3007">
        <v>113.23</v>
      </c>
      <c r="E304" s="3007">
        <v>0</v>
      </c>
      <c r="F304" s="3007">
        <v>113.23</v>
      </c>
      <c r="G304" s="3005" t="s">
        <v>3095</v>
      </c>
    </row>
    <row r="305" spans="1:7" ht="14.25" thickBot="1">
      <c r="A305" s="3006" t="s">
        <v>3386</v>
      </c>
      <c r="B305" s="3007" t="s">
        <v>3374</v>
      </c>
      <c r="C305" s="3007">
        <v>101</v>
      </c>
      <c r="D305" s="3007">
        <v>367.84</v>
      </c>
      <c r="E305" s="3007">
        <v>203.69</v>
      </c>
      <c r="F305" s="3007">
        <v>164.15</v>
      </c>
      <c r="G305" s="3005" t="s">
        <v>3095</v>
      </c>
    </row>
    <row r="306" spans="1:7" ht="14.25" thickBot="1">
      <c r="A306" s="3006" t="s">
        <v>3386</v>
      </c>
      <c r="B306" s="3007" t="s">
        <v>3374</v>
      </c>
      <c r="C306" s="3007">
        <v>102</v>
      </c>
      <c r="D306" s="3007">
        <v>367.07</v>
      </c>
      <c r="E306" s="3007">
        <v>202.25</v>
      </c>
      <c r="F306" s="3007">
        <v>164.82</v>
      </c>
      <c r="G306" s="3005" t="s">
        <v>3095</v>
      </c>
    </row>
    <row r="307" spans="1:7" ht="14.25" thickBot="1">
      <c r="A307" s="3006" t="s">
        <v>3386</v>
      </c>
      <c r="B307" s="3007" t="s">
        <v>3374</v>
      </c>
      <c r="C307" s="3007">
        <v>301</v>
      </c>
      <c r="D307" s="3007">
        <v>200.45</v>
      </c>
      <c r="E307" s="3007">
        <v>200.45</v>
      </c>
      <c r="F307" s="3007">
        <v>0</v>
      </c>
      <c r="G307" s="3005" t="s">
        <v>3095</v>
      </c>
    </row>
    <row r="308" spans="1:7" ht="14.25" thickBot="1">
      <c r="A308" s="3006" t="s">
        <v>3386</v>
      </c>
      <c r="B308" s="3007" t="s">
        <v>3374</v>
      </c>
      <c r="C308" s="3007">
        <v>302</v>
      </c>
      <c r="D308" s="3007">
        <v>198.74</v>
      </c>
      <c r="E308" s="3007">
        <v>198.74</v>
      </c>
      <c r="F308" s="3007">
        <v>0</v>
      </c>
      <c r="G308" s="3005" t="s">
        <v>3095</v>
      </c>
    </row>
    <row r="309" spans="1:7" ht="14.25" thickBot="1">
      <c r="A309" s="3006" t="s">
        <v>3386</v>
      </c>
      <c r="B309" s="3007" t="s">
        <v>3375</v>
      </c>
      <c r="C309" s="3007">
        <v>-301</v>
      </c>
      <c r="D309" s="3007">
        <v>112.05</v>
      </c>
      <c r="E309" s="3007">
        <v>0</v>
      </c>
      <c r="F309" s="3007">
        <v>112.05</v>
      </c>
      <c r="G309" s="3005" t="s">
        <v>3095</v>
      </c>
    </row>
    <row r="310" spans="1:7" ht="14.25" thickBot="1">
      <c r="A310" s="3006" t="s">
        <v>3386</v>
      </c>
      <c r="B310" s="3007" t="s">
        <v>3375</v>
      </c>
      <c r="C310" s="3007">
        <v>-302</v>
      </c>
      <c r="D310" s="3007">
        <v>113.23</v>
      </c>
      <c r="E310" s="3007">
        <v>0</v>
      </c>
      <c r="F310" s="3007">
        <v>113.23</v>
      </c>
      <c r="G310" s="3005" t="s">
        <v>3095</v>
      </c>
    </row>
    <row r="311" spans="1:7" ht="14.25" thickBot="1">
      <c r="A311" s="3006" t="s">
        <v>3386</v>
      </c>
      <c r="B311" s="3007" t="s">
        <v>3375</v>
      </c>
      <c r="C311" s="3007">
        <v>101</v>
      </c>
      <c r="D311" s="3007">
        <v>367.11</v>
      </c>
      <c r="E311" s="3007">
        <v>202.25</v>
      </c>
      <c r="F311" s="3007">
        <v>164.86</v>
      </c>
      <c r="G311" s="3005" t="s">
        <v>3095</v>
      </c>
    </row>
    <row r="312" spans="1:7" ht="14.25" thickBot="1">
      <c r="A312" s="3006" t="s">
        <v>3386</v>
      </c>
      <c r="B312" s="3007" t="s">
        <v>3375</v>
      </c>
      <c r="C312" s="3007">
        <v>102</v>
      </c>
      <c r="D312" s="3007">
        <v>367.07</v>
      </c>
      <c r="E312" s="3007">
        <v>202.25</v>
      </c>
      <c r="F312" s="3007">
        <v>164.82</v>
      </c>
      <c r="G312" s="3005" t="s">
        <v>3095</v>
      </c>
    </row>
    <row r="313" spans="1:7" ht="14.25" thickBot="1">
      <c r="A313" s="3006" t="s">
        <v>3386</v>
      </c>
      <c r="B313" s="3007" t="s">
        <v>3375</v>
      </c>
      <c r="C313" s="3007">
        <v>301</v>
      </c>
      <c r="D313" s="3007">
        <v>198.74</v>
      </c>
      <c r="E313" s="3007">
        <v>198.74</v>
      </c>
      <c r="F313" s="3007">
        <v>0</v>
      </c>
      <c r="G313" s="3005" t="s">
        <v>3095</v>
      </c>
    </row>
    <row r="314" spans="1:7" ht="14.25" thickBot="1">
      <c r="A314" s="3006" t="s">
        <v>3386</v>
      </c>
      <c r="B314" s="3007" t="s">
        <v>3375</v>
      </c>
      <c r="C314" s="3007">
        <v>302</v>
      </c>
      <c r="D314" s="3007">
        <v>198.74</v>
      </c>
      <c r="E314" s="3007">
        <v>198.74</v>
      </c>
      <c r="F314" s="3007">
        <v>0</v>
      </c>
      <c r="G314" s="3005" t="s">
        <v>3095</v>
      </c>
    </row>
    <row r="315" spans="1:7" ht="14.25" thickBot="1">
      <c r="A315" s="3006" t="s">
        <v>3386</v>
      </c>
      <c r="B315" s="3007" t="s">
        <v>3376</v>
      </c>
      <c r="C315" s="3007">
        <v>-301</v>
      </c>
      <c r="D315" s="3007">
        <v>112.05</v>
      </c>
      <c r="E315" s="3007">
        <v>0</v>
      </c>
      <c r="F315" s="3007">
        <v>112.05</v>
      </c>
      <c r="G315" s="3005" t="s">
        <v>3095</v>
      </c>
    </row>
    <row r="316" spans="1:7" ht="14.25" thickBot="1">
      <c r="A316" s="3006" t="s">
        <v>3386</v>
      </c>
      <c r="B316" s="3007" t="s">
        <v>3376</v>
      </c>
      <c r="C316" s="3007">
        <v>-302</v>
      </c>
      <c r="D316" s="3007">
        <v>115.9</v>
      </c>
      <c r="E316" s="3007">
        <v>0</v>
      </c>
      <c r="F316" s="3007">
        <v>115.9</v>
      </c>
      <c r="G316" s="3005" t="s">
        <v>3095</v>
      </c>
    </row>
    <row r="317" spans="1:7" ht="14.25" thickBot="1">
      <c r="A317" s="3006" t="s">
        <v>3386</v>
      </c>
      <c r="B317" s="3007" t="s">
        <v>3376</v>
      </c>
      <c r="C317" s="3007">
        <v>101</v>
      </c>
      <c r="D317" s="3007">
        <v>367.11</v>
      </c>
      <c r="E317" s="3007">
        <v>202.25</v>
      </c>
      <c r="F317" s="3007">
        <v>164.86</v>
      </c>
      <c r="G317" s="3005" t="s">
        <v>3095</v>
      </c>
    </row>
    <row r="318" spans="1:7" ht="14.25" thickBot="1">
      <c r="A318" s="3006" t="s">
        <v>3386</v>
      </c>
      <c r="B318" s="3007" t="s">
        <v>3376</v>
      </c>
      <c r="C318" s="3007">
        <v>102</v>
      </c>
      <c r="D318" s="3007">
        <v>370.02</v>
      </c>
      <c r="E318" s="3007">
        <v>202.25</v>
      </c>
      <c r="F318" s="3007">
        <v>167.77</v>
      </c>
      <c r="G318" s="3005" t="s">
        <v>3095</v>
      </c>
    </row>
    <row r="319" spans="1:7" ht="14.25" thickBot="1">
      <c r="A319" s="3006" t="s">
        <v>3386</v>
      </c>
      <c r="B319" s="3007" t="s">
        <v>3376</v>
      </c>
      <c r="C319" s="3007">
        <v>301</v>
      </c>
      <c r="D319" s="3007">
        <v>198.74</v>
      </c>
      <c r="E319" s="3007">
        <v>198.74</v>
      </c>
      <c r="F319" s="3007">
        <v>0</v>
      </c>
      <c r="G319" s="3005" t="s">
        <v>3095</v>
      </c>
    </row>
    <row r="320" spans="1:7" ht="14.25" thickBot="1">
      <c r="A320" s="3006" t="s">
        <v>3386</v>
      </c>
      <c r="B320" s="3007" t="s">
        <v>3376</v>
      </c>
      <c r="C320" s="3007">
        <v>302</v>
      </c>
      <c r="D320" s="3007">
        <v>198.74</v>
      </c>
      <c r="E320" s="3007">
        <v>198.74</v>
      </c>
      <c r="F320" s="3007">
        <v>0</v>
      </c>
      <c r="G320" s="3005" t="s">
        <v>3095</v>
      </c>
    </row>
    <row r="321" spans="1:7" ht="14.25" thickBot="1">
      <c r="A321" s="3006" t="s">
        <v>3386</v>
      </c>
      <c r="B321" s="3007" t="s">
        <v>3377</v>
      </c>
      <c r="C321" s="3007">
        <v>-301</v>
      </c>
      <c r="D321" s="3007">
        <v>114.72</v>
      </c>
      <c r="E321" s="3007">
        <v>0</v>
      </c>
      <c r="F321" s="3007">
        <v>114.72</v>
      </c>
      <c r="G321" s="3005" t="s">
        <v>3095</v>
      </c>
    </row>
    <row r="322" spans="1:7" ht="14.25" thickBot="1">
      <c r="A322" s="3006" t="s">
        <v>3386</v>
      </c>
      <c r="B322" s="3007" t="s">
        <v>3377</v>
      </c>
      <c r="C322" s="3007">
        <v>-302</v>
      </c>
      <c r="D322" s="3007">
        <v>113.23</v>
      </c>
      <c r="E322" s="3007">
        <v>0</v>
      </c>
      <c r="F322" s="3007">
        <v>113.23</v>
      </c>
      <c r="G322" s="3005" t="s">
        <v>3095</v>
      </c>
    </row>
    <row r="323" spans="1:7" ht="14.25" thickBot="1">
      <c r="A323" s="3006" t="s">
        <v>3386</v>
      </c>
      <c r="B323" s="3007" t="s">
        <v>3377</v>
      </c>
      <c r="C323" s="3007">
        <v>101</v>
      </c>
      <c r="D323" s="3007">
        <v>370.07</v>
      </c>
      <c r="E323" s="3007">
        <v>202.25</v>
      </c>
      <c r="F323" s="3007">
        <v>167.82</v>
      </c>
      <c r="G323" s="3005" t="s">
        <v>3095</v>
      </c>
    </row>
    <row r="324" spans="1:7" ht="14.25" thickBot="1">
      <c r="A324" s="3006" t="s">
        <v>3386</v>
      </c>
      <c r="B324" s="3007" t="s">
        <v>3377</v>
      </c>
      <c r="C324" s="3007">
        <v>102</v>
      </c>
      <c r="D324" s="3007">
        <v>367.08</v>
      </c>
      <c r="E324" s="3007">
        <v>202.25</v>
      </c>
      <c r="F324" s="3007">
        <v>164.83</v>
      </c>
      <c r="G324" s="3005" t="s">
        <v>3095</v>
      </c>
    </row>
    <row r="325" spans="1:7" ht="14.25" thickBot="1">
      <c r="A325" s="3006" t="s">
        <v>3386</v>
      </c>
      <c r="B325" s="3007" t="s">
        <v>3377</v>
      </c>
      <c r="C325" s="3007">
        <v>301</v>
      </c>
      <c r="D325" s="3007">
        <v>198.74</v>
      </c>
      <c r="E325" s="3007">
        <v>198.74</v>
      </c>
      <c r="F325" s="3007">
        <v>0</v>
      </c>
      <c r="G325" s="3005" t="s">
        <v>3095</v>
      </c>
    </row>
    <row r="326" spans="1:7" ht="14.25" thickBot="1">
      <c r="A326" s="3006" t="s">
        <v>3386</v>
      </c>
      <c r="B326" s="3007" t="s">
        <v>3377</v>
      </c>
      <c r="C326" s="3007">
        <v>302</v>
      </c>
      <c r="D326" s="3007">
        <v>198.74</v>
      </c>
      <c r="E326" s="3007">
        <v>198.74</v>
      </c>
      <c r="F326" s="3007">
        <v>0</v>
      </c>
      <c r="G326" s="3005" t="s">
        <v>3095</v>
      </c>
    </row>
    <row r="327" spans="1:7" ht="14.25" thickBot="1">
      <c r="A327" s="3006" t="s">
        <v>3386</v>
      </c>
      <c r="B327" s="3007" t="s">
        <v>3378</v>
      </c>
      <c r="C327" s="3007">
        <v>-301</v>
      </c>
      <c r="D327" s="3007">
        <v>112.05</v>
      </c>
      <c r="E327" s="3007">
        <v>0</v>
      </c>
      <c r="F327" s="3007">
        <v>112.05</v>
      </c>
      <c r="G327" s="3005" t="s">
        <v>3095</v>
      </c>
    </row>
    <row r="328" spans="1:7" ht="14.25" thickBot="1">
      <c r="A328" s="3006" t="s">
        <v>3386</v>
      </c>
      <c r="B328" s="3007" t="s">
        <v>3378</v>
      </c>
      <c r="C328" s="3007">
        <v>-302</v>
      </c>
      <c r="D328" s="3007">
        <v>112.33</v>
      </c>
      <c r="E328" s="3007">
        <v>0</v>
      </c>
      <c r="F328" s="3007">
        <v>112.33</v>
      </c>
      <c r="G328" s="3005" t="s">
        <v>3095</v>
      </c>
    </row>
    <row r="329" spans="1:7" ht="14.25" thickBot="1">
      <c r="A329" s="3006" t="s">
        <v>3386</v>
      </c>
      <c r="B329" s="3007" t="s">
        <v>3378</v>
      </c>
      <c r="C329" s="3007">
        <v>101</v>
      </c>
      <c r="D329" s="3007">
        <v>367.11</v>
      </c>
      <c r="E329" s="3007">
        <v>202.25</v>
      </c>
      <c r="F329" s="3007">
        <v>164.86</v>
      </c>
      <c r="G329" s="3005" t="s">
        <v>3095</v>
      </c>
    </row>
    <row r="330" spans="1:7" ht="14.25" thickBot="1">
      <c r="A330" s="3006" t="s">
        <v>3386</v>
      </c>
      <c r="B330" s="3007" t="s">
        <v>3378</v>
      </c>
      <c r="C330" s="3007">
        <v>102</v>
      </c>
      <c r="D330" s="3007">
        <v>367.79</v>
      </c>
      <c r="E330" s="3007">
        <v>203.69</v>
      </c>
      <c r="F330" s="3007">
        <v>164.1</v>
      </c>
      <c r="G330" s="3005" t="s">
        <v>3095</v>
      </c>
    </row>
    <row r="331" spans="1:7" ht="14.25" thickBot="1">
      <c r="A331" s="3006" t="s">
        <v>3386</v>
      </c>
      <c r="B331" s="3007" t="s">
        <v>3378</v>
      </c>
      <c r="C331" s="3007">
        <v>301</v>
      </c>
      <c r="D331" s="3007">
        <v>198.74</v>
      </c>
      <c r="E331" s="3007">
        <v>198.74</v>
      </c>
      <c r="F331" s="3007">
        <v>0</v>
      </c>
      <c r="G331" s="3005" t="s">
        <v>3095</v>
      </c>
    </row>
    <row r="332" spans="1:7" ht="14.25" thickBot="1">
      <c r="A332" s="3006" t="s">
        <v>3386</v>
      </c>
      <c r="B332" s="3007" t="s">
        <v>3378</v>
      </c>
      <c r="C332" s="3007">
        <v>302</v>
      </c>
      <c r="D332" s="3007">
        <v>200.45</v>
      </c>
      <c r="E332" s="3007">
        <v>200.45</v>
      </c>
      <c r="F332" s="3007">
        <v>0</v>
      </c>
      <c r="G332" s="3005" t="s">
        <v>3095</v>
      </c>
    </row>
    <row r="333" spans="1:7" ht="14.25" thickBot="1">
      <c r="A333" s="3006" t="s">
        <v>3387</v>
      </c>
      <c r="B333" s="3007" t="s">
        <v>3374</v>
      </c>
      <c r="C333" s="3007">
        <v>-101</v>
      </c>
      <c r="D333" s="3007">
        <v>98.16</v>
      </c>
      <c r="E333" s="3007">
        <v>0</v>
      </c>
      <c r="F333" s="3007">
        <v>98.16</v>
      </c>
      <c r="G333" s="3005" t="s">
        <v>3095</v>
      </c>
    </row>
    <row r="334" spans="1:7" ht="14.25" thickBot="1">
      <c r="A334" s="3006" t="s">
        <v>3387</v>
      </c>
      <c r="B334" s="3007" t="s">
        <v>3374</v>
      </c>
      <c r="C334" s="3007">
        <v>-102</v>
      </c>
      <c r="D334" s="3007">
        <v>99.18</v>
      </c>
      <c r="E334" s="3007">
        <v>0</v>
      </c>
      <c r="F334" s="3007">
        <v>99.18</v>
      </c>
      <c r="G334" s="3005" t="s">
        <v>3095</v>
      </c>
    </row>
    <row r="335" spans="1:7" ht="14.25" thickBot="1">
      <c r="A335" s="3006" t="s">
        <v>3387</v>
      </c>
      <c r="B335" s="3007" t="s">
        <v>3374</v>
      </c>
      <c r="C335" s="3007">
        <v>101</v>
      </c>
      <c r="D335" s="3007">
        <v>288.20999999999998</v>
      </c>
      <c r="E335" s="3007">
        <v>184.54</v>
      </c>
      <c r="F335" s="3007">
        <v>103.67</v>
      </c>
      <c r="G335" s="3005" t="s">
        <v>3095</v>
      </c>
    </row>
    <row r="336" spans="1:7" ht="14.25" thickBot="1">
      <c r="A336" s="3006" t="s">
        <v>3387</v>
      </c>
      <c r="B336" s="3007" t="s">
        <v>3374</v>
      </c>
      <c r="C336" s="3007">
        <v>102</v>
      </c>
      <c r="D336" s="3007">
        <v>286.77</v>
      </c>
      <c r="E336" s="3007">
        <v>183.23</v>
      </c>
      <c r="F336" s="3007">
        <v>103.54</v>
      </c>
      <c r="G336" s="3005" t="s">
        <v>3095</v>
      </c>
    </row>
    <row r="337" spans="1:7" ht="14.25" thickBot="1">
      <c r="A337" s="3006" t="s">
        <v>3387</v>
      </c>
      <c r="B337" s="3007" t="s">
        <v>3374</v>
      </c>
      <c r="C337" s="3007">
        <v>301</v>
      </c>
      <c r="D337" s="3007">
        <v>208.42</v>
      </c>
      <c r="E337" s="3007">
        <v>208.42</v>
      </c>
      <c r="F337" s="3007">
        <v>0</v>
      </c>
      <c r="G337" s="3005" t="s">
        <v>3095</v>
      </c>
    </row>
    <row r="338" spans="1:7" ht="14.25" thickBot="1">
      <c r="A338" s="3006" t="s">
        <v>3387</v>
      </c>
      <c r="B338" s="3007" t="s">
        <v>3374</v>
      </c>
      <c r="C338" s="3007">
        <v>302</v>
      </c>
      <c r="D338" s="3007">
        <v>206.64</v>
      </c>
      <c r="E338" s="3007">
        <v>206.64</v>
      </c>
      <c r="F338" s="3007">
        <v>0</v>
      </c>
      <c r="G338" s="3005" t="s">
        <v>3095</v>
      </c>
    </row>
    <row r="339" spans="1:7" ht="14.25" thickBot="1">
      <c r="A339" s="3006" t="s">
        <v>3387</v>
      </c>
      <c r="B339" s="3007" t="s">
        <v>3375</v>
      </c>
      <c r="C339" s="3007">
        <v>-101</v>
      </c>
      <c r="D339" s="3007">
        <v>98.16</v>
      </c>
      <c r="E339" s="3007">
        <v>0</v>
      </c>
      <c r="F339" s="3007">
        <v>98.16</v>
      </c>
      <c r="G339" s="3005" t="s">
        <v>3095</v>
      </c>
    </row>
    <row r="340" spans="1:7" ht="14.25" thickBot="1">
      <c r="A340" s="3006" t="s">
        <v>3387</v>
      </c>
      <c r="B340" s="3007" t="s">
        <v>3375</v>
      </c>
      <c r="C340" s="3007">
        <v>-102</v>
      </c>
      <c r="D340" s="3007">
        <v>99.18</v>
      </c>
      <c r="E340" s="3007">
        <v>0</v>
      </c>
      <c r="F340" s="3007">
        <v>99.18</v>
      </c>
      <c r="G340" s="3005" t="s">
        <v>3095</v>
      </c>
    </row>
    <row r="341" spans="1:7" ht="14.25" thickBot="1">
      <c r="A341" s="3006" t="s">
        <v>3387</v>
      </c>
      <c r="B341" s="3007" t="s">
        <v>3375</v>
      </c>
      <c r="C341" s="3007">
        <v>102</v>
      </c>
      <c r="D341" s="3007">
        <v>286.77</v>
      </c>
      <c r="E341" s="3007">
        <v>183.23</v>
      </c>
      <c r="F341" s="3007">
        <v>103.54</v>
      </c>
      <c r="G341" s="3005" t="s">
        <v>3095</v>
      </c>
    </row>
    <row r="342" spans="1:7" ht="14.25" thickBot="1">
      <c r="A342" s="3006" t="s">
        <v>3387</v>
      </c>
      <c r="B342" s="3007" t="s">
        <v>3375</v>
      </c>
      <c r="C342" s="3007">
        <v>301</v>
      </c>
      <c r="D342" s="3007">
        <v>206.62</v>
      </c>
      <c r="E342" s="3007">
        <v>206.62</v>
      </c>
      <c r="F342" s="3007">
        <v>0</v>
      </c>
      <c r="G342" s="3005" t="s">
        <v>3095</v>
      </c>
    </row>
    <row r="343" spans="1:7" ht="14.25" thickBot="1">
      <c r="A343" s="3006" t="s">
        <v>3387</v>
      </c>
      <c r="B343" s="3007" t="s">
        <v>3375</v>
      </c>
      <c r="C343" s="3007">
        <v>302</v>
      </c>
      <c r="D343" s="3007">
        <v>206.62</v>
      </c>
      <c r="E343" s="3007">
        <v>206.62</v>
      </c>
      <c r="F343" s="3007">
        <v>0</v>
      </c>
      <c r="G343" s="3005" t="s">
        <v>3095</v>
      </c>
    </row>
    <row r="344" spans="1:7" ht="14.25" thickBot="1">
      <c r="A344" s="3006" t="s">
        <v>3387</v>
      </c>
      <c r="B344" s="3007" t="s">
        <v>3376</v>
      </c>
      <c r="C344" s="3007">
        <v>-102</v>
      </c>
      <c r="D344" s="3007">
        <v>101.12</v>
      </c>
      <c r="E344" s="3007">
        <v>0</v>
      </c>
      <c r="F344" s="3007">
        <v>101.12</v>
      </c>
      <c r="G344" s="3005" t="s">
        <v>3095</v>
      </c>
    </row>
    <row r="345" spans="1:7" ht="14.25" thickBot="1">
      <c r="A345" s="3006" t="s">
        <v>3387</v>
      </c>
      <c r="B345" s="3007" t="s">
        <v>3376</v>
      </c>
      <c r="C345" s="3007">
        <v>101</v>
      </c>
      <c r="D345" s="3007">
        <v>286.77</v>
      </c>
      <c r="E345" s="3007">
        <v>183.23</v>
      </c>
      <c r="F345" s="3007">
        <v>103.54</v>
      </c>
      <c r="G345" s="3005" t="s">
        <v>3095</v>
      </c>
    </row>
    <row r="346" spans="1:7" ht="14.25" thickBot="1">
      <c r="A346" s="3006" t="s">
        <v>3387</v>
      </c>
      <c r="B346" s="3007" t="s">
        <v>3376</v>
      </c>
      <c r="C346" s="3007">
        <v>302</v>
      </c>
      <c r="D346" s="3007">
        <v>206.62</v>
      </c>
      <c r="E346" s="3007">
        <v>206.62</v>
      </c>
      <c r="F346" s="3007">
        <v>0</v>
      </c>
      <c r="G346" s="3005" t="s">
        <v>3095</v>
      </c>
    </row>
    <row r="347" spans="1:7" ht="14.25" thickBot="1">
      <c r="A347" s="3006" t="s">
        <v>3387</v>
      </c>
      <c r="B347" s="3007" t="s">
        <v>3377</v>
      </c>
      <c r="C347" s="3007">
        <v>-101</v>
      </c>
      <c r="D347" s="3007">
        <v>100.11</v>
      </c>
      <c r="E347" s="3007">
        <v>0</v>
      </c>
      <c r="F347" s="3007">
        <v>100.11</v>
      </c>
      <c r="G347" s="3005" t="s">
        <v>3095</v>
      </c>
    </row>
    <row r="348" spans="1:7" ht="14.25" thickBot="1">
      <c r="A348" s="3006" t="s">
        <v>3387</v>
      </c>
      <c r="B348" s="3007" t="s">
        <v>3377</v>
      </c>
      <c r="C348" s="3007">
        <v>-102</v>
      </c>
      <c r="D348" s="3007">
        <v>99.18</v>
      </c>
      <c r="E348" s="3007">
        <v>0</v>
      </c>
      <c r="F348" s="3007">
        <v>99.18</v>
      </c>
      <c r="G348" s="3005" t="s">
        <v>3095</v>
      </c>
    </row>
    <row r="349" spans="1:7" ht="14.25" thickBot="1">
      <c r="A349" s="3006" t="s">
        <v>3387</v>
      </c>
      <c r="B349" s="3007" t="s">
        <v>3377</v>
      </c>
      <c r="C349" s="3007">
        <v>101</v>
      </c>
      <c r="D349" s="3007">
        <v>289.60000000000002</v>
      </c>
      <c r="E349" s="3007">
        <v>183.23</v>
      </c>
      <c r="F349" s="3007">
        <v>106.37</v>
      </c>
      <c r="G349" s="3005" t="s">
        <v>3095</v>
      </c>
    </row>
    <row r="350" spans="1:7" ht="14.25" thickBot="1">
      <c r="A350" s="3006" t="s">
        <v>3387</v>
      </c>
      <c r="B350" s="3007" t="s">
        <v>3377</v>
      </c>
      <c r="C350" s="3007">
        <v>102</v>
      </c>
      <c r="D350" s="3007">
        <v>286.77</v>
      </c>
      <c r="E350" s="3007">
        <v>183.23</v>
      </c>
      <c r="F350" s="3007">
        <v>103.54</v>
      </c>
      <c r="G350" s="3005" t="s">
        <v>3095</v>
      </c>
    </row>
    <row r="351" spans="1:7" ht="14.25" thickBot="1">
      <c r="A351" s="3006" t="s">
        <v>3387</v>
      </c>
      <c r="B351" s="3007" t="s">
        <v>3377</v>
      </c>
      <c r="C351" s="3007">
        <v>301</v>
      </c>
      <c r="D351" s="3007">
        <v>206.62</v>
      </c>
      <c r="E351" s="3007">
        <v>206.62</v>
      </c>
      <c r="F351" s="3007">
        <v>0</v>
      </c>
      <c r="G351" s="3005" t="s">
        <v>3095</v>
      </c>
    </row>
    <row r="352" spans="1:7" ht="14.25" thickBot="1">
      <c r="A352" s="3006" t="s">
        <v>3387</v>
      </c>
      <c r="B352" s="3007" t="s">
        <v>3377</v>
      </c>
      <c r="C352" s="3007">
        <v>302</v>
      </c>
      <c r="D352" s="3007">
        <v>206.62</v>
      </c>
      <c r="E352" s="3007">
        <v>206.62</v>
      </c>
      <c r="F352" s="3007">
        <v>0</v>
      </c>
      <c r="G352" s="3005" t="s">
        <v>3095</v>
      </c>
    </row>
    <row r="353" spans="1:7" ht="14.25" thickBot="1">
      <c r="A353" s="3006" t="s">
        <v>3387</v>
      </c>
      <c r="B353" s="3007" t="s">
        <v>3378</v>
      </c>
      <c r="C353" s="3007">
        <v>-101</v>
      </c>
      <c r="D353" s="3007">
        <v>98.16</v>
      </c>
      <c r="E353" s="3007">
        <v>0</v>
      </c>
      <c r="F353" s="3007">
        <v>98.16</v>
      </c>
      <c r="G353" s="3005" t="s">
        <v>3095</v>
      </c>
    </row>
    <row r="354" spans="1:7" ht="14.25" thickBot="1">
      <c r="A354" s="3006" t="s">
        <v>3387</v>
      </c>
      <c r="B354" s="3007" t="s">
        <v>3378</v>
      </c>
      <c r="C354" s="3007">
        <v>-102</v>
      </c>
      <c r="D354" s="3007">
        <v>153.72</v>
      </c>
      <c r="E354" s="3007">
        <v>0</v>
      </c>
      <c r="F354" s="3007">
        <v>153.72</v>
      </c>
      <c r="G354" s="3005" t="s">
        <v>3095</v>
      </c>
    </row>
    <row r="355" spans="1:7" ht="14.25" thickBot="1">
      <c r="A355" s="3006" t="s">
        <v>3387</v>
      </c>
      <c r="B355" s="3007" t="s">
        <v>3378</v>
      </c>
      <c r="C355" s="3007">
        <v>101</v>
      </c>
      <c r="D355" s="3007">
        <v>286.77</v>
      </c>
      <c r="E355" s="3007">
        <v>183.23</v>
      </c>
      <c r="F355" s="3007">
        <v>103.54</v>
      </c>
      <c r="G355" s="3005" t="s">
        <v>3095</v>
      </c>
    </row>
    <row r="356" spans="1:7" ht="14.25" thickBot="1">
      <c r="A356" s="3006" t="s">
        <v>3387</v>
      </c>
      <c r="B356" s="3007" t="s">
        <v>3378</v>
      </c>
      <c r="C356" s="3007">
        <v>102</v>
      </c>
      <c r="D356" s="3007">
        <v>387.06</v>
      </c>
      <c r="E356" s="3007">
        <v>259.19</v>
      </c>
      <c r="F356" s="3007">
        <v>127.87</v>
      </c>
      <c r="G356" s="3005" t="s">
        <v>3095</v>
      </c>
    </row>
    <row r="357" spans="1:7" ht="14.25" thickBot="1">
      <c r="A357" s="3006" t="s">
        <v>3387</v>
      </c>
      <c r="B357" s="3007" t="s">
        <v>3378</v>
      </c>
      <c r="C357" s="3007">
        <v>301</v>
      </c>
      <c r="D357" s="3007">
        <v>206.62</v>
      </c>
      <c r="E357" s="3007">
        <v>206.62</v>
      </c>
      <c r="F357" s="3007">
        <v>0</v>
      </c>
      <c r="G357" s="3005" t="s">
        <v>3095</v>
      </c>
    </row>
    <row r="358" spans="1:7" ht="14.25" thickBot="1">
      <c r="A358" s="3006" t="s">
        <v>3387</v>
      </c>
      <c r="B358" s="3007" t="s">
        <v>3378</v>
      </c>
      <c r="C358" s="3007">
        <v>302</v>
      </c>
      <c r="D358" s="3007">
        <v>288.04000000000002</v>
      </c>
      <c r="E358" s="3007">
        <v>288.04000000000002</v>
      </c>
      <c r="F358" s="3007">
        <v>0</v>
      </c>
      <c r="G358" s="3005" t="s">
        <v>3095</v>
      </c>
    </row>
    <row r="359" spans="1:7" ht="14.25" thickBot="1">
      <c r="A359" s="3006" t="s">
        <v>3388</v>
      </c>
      <c r="B359" s="3007" t="s">
        <v>70</v>
      </c>
      <c r="C359" s="3007">
        <v>101</v>
      </c>
      <c r="D359" s="3007">
        <v>290.86</v>
      </c>
      <c r="E359" s="3007">
        <v>133.46</v>
      </c>
      <c r="F359" s="3007">
        <v>157.4</v>
      </c>
      <c r="G359" s="3005" t="s">
        <v>3372</v>
      </c>
    </row>
    <row r="360" spans="1:7" ht="14.25" thickBot="1">
      <c r="A360" s="3006" t="s">
        <v>3388</v>
      </c>
      <c r="B360" s="3007" t="s">
        <v>70</v>
      </c>
      <c r="C360" s="3007">
        <v>102</v>
      </c>
      <c r="D360" s="3007">
        <v>271.95999999999998</v>
      </c>
      <c r="E360" s="3007">
        <v>123.7</v>
      </c>
      <c r="F360" s="3007">
        <v>148.26</v>
      </c>
      <c r="G360" s="3005" t="s">
        <v>3372</v>
      </c>
    </row>
    <row r="361" spans="1:7" ht="14.25" thickBot="1">
      <c r="A361" s="3006" t="s">
        <v>3388</v>
      </c>
      <c r="B361" s="3007" t="s">
        <v>70</v>
      </c>
      <c r="C361" s="3007">
        <v>1201</v>
      </c>
      <c r="D361" s="3007">
        <v>154.32</v>
      </c>
      <c r="E361" s="3007">
        <v>154.32</v>
      </c>
      <c r="F361" s="3007">
        <v>0</v>
      </c>
      <c r="G361" s="3005" t="s">
        <v>3372</v>
      </c>
    </row>
    <row r="362" spans="1:7" ht="14.25" thickBot="1">
      <c r="A362" s="3006" t="s">
        <v>3388</v>
      </c>
      <c r="B362" s="3007" t="s">
        <v>70</v>
      </c>
      <c r="C362" s="3007">
        <v>1401</v>
      </c>
      <c r="D362" s="3007">
        <v>154.32</v>
      </c>
      <c r="E362" s="3007">
        <v>154.32</v>
      </c>
      <c r="F362" s="3007">
        <v>0</v>
      </c>
      <c r="G362" s="3005" t="s">
        <v>3372</v>
      </c>
    </row>
    <row r="363" spans="1:7" ht="14.25" thickBot="1">
      <c r="A363" s="3006" t="s">
        <v>3388</v>
      </c>
      <c r="B363" s="3007" t="s">
        <v>70</v>
      </c>
      <c r="C363" s="3007">
        <v>1801</v>
      </c>
      <c r="D363" s="3007">
        <v>154.32</v>
      </c>
      <c r="E363" s="3007">
        <v>154.32</v>
      </c>
      <c r="F363" s="3007">
        <v>0</v>
      </c>
      <c r="G363" s="3005" t="s">
        <v>3372</v>
      </c>
    </row>
    <row r="364" spans="1:7" ht="14.25" thickBot="1">
      <c r="A364" s="3006" t="s">
        <v>3389</v>
      </c>
      <c r="B364" s="3007" t="s">
        <v>70</v>
      </c>
      <c r="C364" s="3007">
        <v>101</v>
      </c>
      <c r="D364" s="3007">
        <v>290.64</v>
      </c>
      <c r="E364" s="3007">
        <v>133.35</v>
      </c>
      <c r="F364" s="3007">
        <v>157.29</v>
      </c>
      <c r="G364" s="3005" t="s">
        <v>3372</v>
      </c>
    </row>
    <row r="365" spans="1:7" ht="14.25" thickBot="1">
      <c r="A365" s="3006" t="s">
        <v>3389</v>
      </c>
      <c r="B365" s="3007" t="s">
        <v>70</v>
      </c>
      <c r="C365" s="3007">
        <v>102</v>
      </c>
      <c r="D365" s="3007">
        <v>271.82</v>
      </c>
      <c r="E365" s="3007">
        <v>123.6</v>
      </c>
      <c r="F365" s="3007">
        <v>148.22</v>
      </c>
      <c r="G365" s="3005" t="s">
        <v>3372</v>
      </c>
    </row>
    <row r="366" spans="1:7" ht="14.25" thickBot="1">
      <c r="A366" s="3006" t="s">
        <v>3389</v>
      </c>
      <c r="B366" s="3007" t="s">
        <v>70</v>
      </c>
      <c r="C366" s="3007">
        <v>402</v>
      </c>
      <c r="D366" s="3007">
        <v>152.58000000000001</v>
      </c>
      <c r="E366" s="3007">
        <v>152.58000000000001</v>
      </c>
      <c r="F366" s="3007">
        <v>0</v>
      </c>
      <c r="G366" s="3005" t="s">
        <v>3372</v>
      </c>
    </row>
    <row r="367" spans="1:7" ht="14.25" thickBot="1">
      <c r="A367" s="3006" t="s">
        <v>3389</v>
      </c>
      <c r="B367" s="3007" t="s">
        <v>70</v>
      </c>
      <c r="C367" s="3007">
        <v>501</v>
      </c>
      <c r="D367" s="3007">
        <v>154.19999999999999</v>
      </c>
      <c r="E367" s="3007">
        <v>154.19999999999999</v>
      </c>
      <c r="F367" s="3007">
        <v>0</v>
      </c>
      <c r="G367" s="3005" t="s">
        <v>3372</v>
      </c>
    </row>
    <row r="368" spans="1:7" ht="14.25" thickBot="1">
      <c r="A368" s="3006" t="s">
        <v>3389</v>
      </c>
      <c r="B368" s="3007" t="s">
        <v>70</v>
      </c>
      <c r="C368" s="3007">
        <v>601</v>
      </c>
      <c r="D368" s="3007">
        <v>154.19999999999999</v>
      </c>
      <c r="E368" s="3007">
        <v>154.19999999999999</v>
      </c>
      <c r="F368" s="3007">
        <v>0</v>
      </c>
      <c r="G368" s="3005" t="s">
        <v>3372</v>
      </c>
    </row>
    <row r="369" spans="1:7" ht="14.25" thickBot="1">
      <c r="A369" s="3006" t="s">
        <v>3389</v>
      </c>
      <c r="B369" s="3007" t="s">
        <v>70</v>
      </c>
      <c r="C369" s="3007">
        <v>1001</v>
      </c>
      <c r="D369" s="3007">
        <v>154.19999999999999</v>
      </c>
      <c r="E369" s="3007">
        <v>154.19999999999999</v>
      </c>
      <c r="F369" s="3007">
        <v>0</v>
      </c>
      <c r="G369" s="3005" t="s">
        <v>3372</v>
      </c>
    </row>
    <row r="370" spans="1:7" ht="14.25" thickBot="1">
      <c r="A370" s="3006" t="s">
        <v>3389</v>
      </c>
      <c r="B370" s="3007" t="s">
        <v>70</v>
      </c>
      <c r="C370" s="3007">
        <v>1102</v>
      </c>
      <c r="D370" s="3007">
        <v>152.58000000000001</v>
      </c>
      <c r="E370" s="3007">
        <v>152.58000000000001</v>
      </c>
      <c r="F370" s="3007">
        <v>0</v>
      </c>
      <c r="G370" s="3005" t="s">
        <v>3372</v>
      </c>
    </row>
    <row r="371" spans="1:7" ht="14.25" thickBot="1">
      <c r="A371" s="3006" t="s">
        <v>3389</v>
      </c>
      <c r="B371" s="3007" t="s">
        <v>70</v>
      </c>
      <c r="C371" s="3007">
        <v>1201</v>
      </c>
      <c r="D371" s="3007">
        <v>154.19999999999999</v>
      </c>
      <c r="E371" s="3007">
        <v>154.19999999999999</v>
      </c>
      <c r="F371" s="3007">
        <v>0</v>
      </c>
      <c r="G371" s="3005" t="s">
        <v>3372</v>
      </c>
    </row>
    <row r="372" spans="1:7" ht="14.25" thickBot="1">
      <c r="A372" s="3006" t="s">
        <v>3389</v>
      </c>
      <c r="B372" s="3007" t="s">
        <v>70</v>
      </c>
      <c r="C372" s="3007">
        <v>1301</v>
      </c>
      <c r="D372" s="3007">
        <v>154.19999999999999</v>
      </c>
      <c r="E372" s="3007">
        <v>154.19999999999999</v>
      </c>
      <c r="F372" s="3007">
        <v>0</v>
      </c>
      <c r="G372" s="3005" t="s">
        <v>3372</v>
      </c>
    </row>
    <row r="373" spans="1:7" ht="14.25" thickBot="1">
      <c r="A373" s="3006" t="s">
        <v>3389</v>
      </c>
      <c r="B373" s="3007" t="s">
        <v>70</v>
      </c>
      <c r="C373" s="3007">
        <v>1501</v>
      </c>
      <c r="D373" s="3007">
        <v>154.19999999999999</v>
      </c>
      <c r="E373" s="3011">
        <v>154.19999999999999</v>
      </c>
      <c r="F373" s="3007">
        <v>0</v>
      </c>
      <c r="G373" s="3005" t="s">
        <v>3372</v>
      </c>
    </row>
    <row r="374" spans="1:7" ht="14.25" thickBot="1">
      <c r="A374" s="3006" t="s">
        <v>3389</v>
      </c>
      <c r="B374" s="3007" t="s">
        <v>70</v>
      </c>
      <c r="C374" s="3007">
        <v>1502</v>
      </c>
      <c r="D374" s="3007">
        <v>152.58000000000001</v>
      </c>
      <c r="E374" s="3007">
        <v>152.58000000000001</v>
      </c>
      <c r="F374" s="3007">
        <v>0</v>
      </c>
      <c r="G374" s="3005" t="s">
        <v>3372</v>
      </c>
    </row>
    <row r="375" spans="1:7" ht="14.25" thickBot="1">
      <c r="A375" s="3006" t="s">
        <v>3389</v>
      </c>
      <c r="B375" s="3007" t="s">
        <v>70</v>
      </c>
      <c r="C375" s="3007">
        <v>1901</v>
      </c>
      <c r="D375" s="3007">
        <v>154.19999999999999</v>
      </c>
      <c r="E375" s="3007">
        <v>154.19999999999999</v>
      </c>
      <c r="F375" s="3007">
        <v>0</v>
      </c>
      <c r="G375" s="3005" t="s">
        <v>3372</v>
      </c>
    </row>
    <row r="376" spans="1:7" ht="14.25" thickBot="1">
      <c r="A376" s="3006" t="s">
        <v>3389</v>
      </c>
      <c r="B376" s="3007" t="s">
        <v>70</v>
      </c>
      <c r="C376" s="3007">
        <v>1902</v>
      </c>
      <c r="D376" s="3007">
        <v>152.58000000000001</v>
      </c>
      <c r="E376" s="3007">
        <v>152.58000000000001</v>
      </c>
      <c r="F376" s="3007">
        <v>0</v>
      </c>
      <c r="G376" s="3005" t="s">
        <v>3372</v>
      </c>
    </row>
    <row r="377" spans="1:7" ht="14.25" thickBot="1">
      <c r="A377" s="3006" t="s">
        <v>3390</v>
      </c>
      <c r="B377" s="3007" t="s">
        <v>3374</v>
      </c>
      <c r="C377" s="3007">
        <v>-101</v>
      </c>
      <c r="D377" s="3007">
        <v>98.16</v>
      </c>
      <c r="E377" s="3007">
        <v>0</v>
      </c>
      <c r="F377" s="3007">
        <v>98.16</v>
      </c>
      <c r="G377" s="3005" t="s">
        <v>3095</v>
      </c>
    </row>
    <row r="378" spans="1:7" ht="14.25" thickBot="1">
      <c r="A378" s="3006" t="s">
        <v>3390</v>
      </c>
      <c r="B378" s="3007" t="s">
        <v>3374</v>
      </c>
      <c r="C378" s="3007">
        <v>-102</v>
      </c>
      <c r="D378" s="3007">
        <v>99.18</v>
      </c>
      <c r="E378" s="3007">
        <v>0</v>
      </c>
      <c r="F378" s="3007">
        <v>99.18</v>
      </c>
      <c r="G378" s="3005" t="s">
        <v>3095</v>
      </c>
    </row>
    <row r="379" spans="1:7" ht="14.25" thickBot="1">
      <c r="A379" s="3006" t="s">
        <v>3390</v>
      </c>
      <c r="B379" s="3007" t="s">
        <v>3374</v>
      </c>
      <c r="C379" s="3007">
        <v>101</v>
      </c>
      <c r="D379" s="3007">
        <v>288.20999999999998</v>
      </c>
      <c r="E379" s="3007">
        <v>184.54</v>
      </c>
      <c r="F379" s="3007">
        <v>103.67</v>
      </c>
      <c r="G379" s="3005" t="s">
        <v>3095</v>
      </c>
    </row>
    <row r="380" spans="1:7" ht="14.25" thickBot="1">
      <c r="A380" s="3006" t="s">
        <v>3390</v>
      </c>
      <c r="B380" s="3007" t="s">
        <v>3374</v>
      </c>
      <c r="C380" s="3007">
        <v>102</v>
      </c>
      <c r="D380" s="3007">
        <v>286.77</v>
      </c>
      <c r="E380" s="3007">
        <v>183.23</v>
      </c>
      <c r="F380" s="3007">
        <v>103.54</v>
      </c>
      <c r="G380" s="3005" t="s">
        <v>3095</v>
      </c>
    </row>
    <row r="381" spans="1:7" ht="14.25" thickBot="1">
      <c r="A381" s="3006" t="s">
        <v>3390</v>
      </c>
      <c r="B381" s="3007" t="s">
        <v>3374</v>
      </c>
      <c r="C381" s="3007">
        <v>301</v>
      </c>
      <c r="D381" s="3007">
        <v>208.42</v>
      </c>
      <c r="E381" s="3007">
        <v>208.42</v>
      </c>
      <c r="F381" s="3007">
        <v>0</v>
      </c>
      <c r="G381" s="3005" t="s">
        <v>3095</v>
      </c>
    </row>
    <row r="382" spans="1:7" ht="14.25" thickBot="1">
      <c r="A382" s="3006" t="s">
        <v>3390</v>
      </c>
      <c r="B382" s="3007" t="s">
        <v>3374</v>
      </c>
      <c r="C382" s="3007">
        <v>302</v>
      </c>
      <c r="D382" s="3007">
        <v>206.64</v>
      </c>
      <c r="E382" s="3007">
        <v>206.64</v>
      </c>
      <c r="F382" s="3007">
        <v>0</v>
      </c>
      <c r="G382" s="3005" t="s">
        <v>3095</v>
      </c>
    </row>
    <row r="383" spans="1:7" ht="14.25" thickBot="1">
      <c r="A383" s="3006" t="s">
        <v>3390</v>
      </c>
      <c r="B383" s="3007" t="s">
        <v>3375</v>
      </c>
      <c r="C383" s="3007">
        <v>-101</v>
      </c>
      <c r="D383" s="3007">
        <v>98.16</v>
      </c>
      <c r="E383" s="3007">
        <v>0</v>
      </c>
      <c r="F383" s="3007">
        <v>98.16</v>
      </c>
      <c r="G383" s="3005" t="s">
        <v>3095</v>
      </c>
    </row>
    <row r="384" spans="1:7" ht="14.25" thickBot="1">
      <c r="A384" s="3006" t="s">
        <v>3390</v>
      </c>
      <c r="B384" s="3007" t="s">
        <v>3375</v>
      </c>
      <c r="C384" s="3007">
        <v>-102</v>
      </c>
      <c r="D384" s="3007">
        <v>99.18</v>
      </c>
      <c r="E384" s="3007">
        <v>0</v>
      </c>
      <c r="F384" s="3007">
        <v>99.18</v>
      </c>
      <c r="G384" s="3005" t="s">
        <v>3095</v>
      </c>
    </row>
    <row r="385" spans="1:7" ht="14.25" thickBot="1">
      <c r="A385" s="3006" t="s">
        <v>3390</v>
      </c>
      <c r="B385" s="3007" t="s">
        <v>3375</v>
      </c>
      <c r="C385" s="3007">
        <v>101</v>
      </c>
      <c r="D385" s="3007">
        <v>286.77</v>
      </c>
      <c r="E385" s="3007">
        <v>183.23</v>
      </c>
      <c r="F385" s="3007">
        <v>103.54</v>
      </c>
      <c r="G385" s="3005" t="s">
        <v>3095</v>
      </c>
    </row>
    <row r="386" spans="1:7" ht="14.25" thickBot="1">
      <c r="A386" s="3006" t="s">
        <v>3390</v>
      </c>
      <c r="B386" s="3007" t="s">
        <v>3375</v>
      </c>
      <c r="C386" s="3007">
        <v>102</v>
      </c>
      <c r="D386" s="3007">
        <v>286.77</v>
      </c>
      <c r="E386" s="3007">
        <v>183.23</v>
      </c>
      <c r="F386" s="3007">
        <v>103.54</v>
      </c>
      <c r="G386" s="3005" t="s">
        <v>3095</v>
      </c>
    </row>
    <row r="387" spans="1:7" ht="14.25" thickBot="1">
      <c r="A387" s="3006" t="s">
        <v>3390</v>
      </c>
      <c r="B387" s="3007" t="s">
        <v>3375</v>
      </c>
      <c r="C387" s="3007">
        <v>301</v>
      </c>
      <c r="D387" s="3007">
        <v>206.62</v>
      </c>
      <c r="E387" s="3007">
        <v>206.62</v>
      </c>
      <c r="F387" s="3007">
        <v>0</v>
      </c>
      <c r="G387" s="3005" t="s">
        <v>3095</v>
      </c>
    </row>
    <row r="388" spans="1:7" ht="14.25" thickBot="1">
      <c r="A388" s="3006" t="s">
        <v>3390</v>
      </c>
      <c r="B388" s="3007" t="s">
        <v>3375</v>
      </c>
      <c r="C388" s="3007">
        <v>302</v>
      </c>
      <c r="D388" s="3007">
        <v>206.62</v>
      </c>
      <c r="E388" s="3007">
        <v>206.62</v>
      </c>
      <c r="F388" s="3007">
        <v>0</v>
      </c>
      <c r="G388" s="3005" t="s">
        <v>3095</v>
      </c>
    </row>
    <row r="389" spans="1:7" ht="14.25" thickBot="1">
      <c r="A389" s="3006" t="s">
        <v>3390</v>
      </c>
      <c r="B389" s="3007" t="s">
        <v>3376</v>
      </c>
      <c r="C389" s="3007">
        <v>-101</v>
      </c>
      <c r="D389" s="3007">
        <v>98.16</v>
      </c>
      <c r="E389" s="3007">
        <v>0</v>
      </c>
      <c r="F389" s="3007">
        <v>98.16</v>
      </c>
      <c r="G389" s="3005" t="s">
        <v>3095</v>
      </c>
    </row>
    <row r="390" spans="1:7" ht="14.25" thickBot="1">
      <c r="A390" s="3006" t="s">
        <v>3390</v>
      </c>
      <c r="B390" s="3007" t="s">
        <v>3376</v>
      </c>
      <c r="C390" s="3007">
        <v>-102</v>
      </c>
      <c r="D390" s="3007">
        <v>101.12</v>
      </c>
      <c r="E390" s="3007">
        <v>0</v>
      </c>
      <c r="F390" s="3007">
        <v>101.12</v>
      </c>
      <c r="G390" s="3005" t="s">
        <v>3095</v>
      </c>
    </row>
    <row r="391" spans="1:7" ht="14.25" thickBot="1">
      <c r="A391" s="3006" t="s">
        <v>3390</v>
      </c>
      <c r="B391" s="3007" t="s">
        <v>3376</v>
      </c>
      <c r="C391" s="3007">
        <v>101</v>
      </c>
      <c r="D391" s="3007">
        <v>286.77</v>
      </c>
      <c r="E391" s="3007">
        <v>183.23</v>
      </c>
      <c r="F391" s="3007">
        <v>103.54</v>
      </c>
      <c r="G391" s="3005" t="s">
        <v>3095</v>
      </c>
    </row>
    <row r="392" spans="1:7" ht="14.25" thickBot="1">
      <c r="A392" s="3006" t="s">
        <v>3390</v>
      </c>
      <c r="B392" s="3007" t="s">
        <v>3376</v>
      </c>
      <c r="C392" s="3007">
        <v>102</v>
      </c>
      <c r="D392" s="3007">
        <v>289.60000000000002</v>
      </c>
      <c r="E392" s="3007">
        <v>183.23</v>
      </c>
      <c r="F392" s="3007">
        <v>106.37</v>
      </c>
      <c r="G392" s="3005" t="s">
        <v>3095</v>
      </c>
    </row>
    <row r="393" spans="1:7" ht="14.25" thickBot="1">
      <c r="A393" s="3006" t="s">
        <v>3390</v>
      </c>
      <c r="B393" s="3007" t="s">
        <v>3376</v>
      </c>
      <c r="C393" s="3007">
        <v>301</v>
      </c>
      <c r="D393" s="3007">
        <v>206.62</v>
      </c>
      <c r="E393" s="3007">
        <v>206.62</v>
      </c>
      <c r="F393" s="3007">
        <v>0</v>
      </c>
      <c r="G393" s="3005" t="s">
        <v>3095</v>
      </c>
    </row>
    <row r="394" spans="1:7" ht="14.25" thickBot="1">
      <c r="A394" s="3006" t="s">
        <v>3390</v>
      </c>
      <c r="B394" s="3007" t="s">
        <v>3376</v>
      </c>
      <c r="C394" s="3007">
        <v>302</v>
      </c>
      <c r="D394" s="3007">
        <v>206.62</v>
      </c>
      <c r="E394" s="3007">
        <v>206.62</v>
      </c>
      <c r="F394" s="3007">
        <v>0</v>
      </c>
      <c r="G394" s="3005" t="s">
        <v>3095</v>
      </c>
    </row>
    <row r="395" spans="1:7" ht="14.25" thickBot="1">
      <c r="A395" s="3006" t="s">
        <v>3390</v>
      </c>
      <c r="B395" s="3007" t="s">
        <v>3377</v>
      </c>
      <c r="C395" s="3007">
        <v>-101</v>
      </c>
      <c r="D395" s="3007">
        <v>100.11</v>
      </c>
      <c r="E395" s="3007">
        <v>0</v>
      </c>
      <c r="F395" s="3007">
        <v>100.11</v>
      </c>
      <c r="G395" s="3005" t="s">
        <v>3095</v>
      </c>
    </row>
    <row r="396" spans="1:7" ht="14.25" thickBot="1">
      <c r="A396" s="3006" t="s">
        <v>3390</v>
      </c>
      <c r="B396" s="3007" t="s">
        <v>3377</v>
      </c>
      <c r="C396" s="3007">
        <v>-102</v>
      </c>
      <c r="D396" s="3007">
        <v>99.18</v>
      </c>
      <c r="E396" s="3007">
        <v>0</v>
      </c>
      <c r="F396" s="3007">
        <v>99.18</v>
      </c>
      <c r="G396" s="3005" t="s">
        <v>3095</v>
      </c>
    </row>
    <row r="397" spans="1:7" ht="14.25" thickBot="1">
      <c r="A397" s="3006" t="s">
        <v>3390</v>
      </c>
      <c r="B397" s="3007" t="s">
        <v>3377</v>
      </c>
      <c r="C397" s="3007">
        <v>101</v>
      </c>
      <c r="D397" s="3007">
        <v>289.60000000000002</v>
      </c>
      <c r="E397" s="3007">
        <v>183.23</v>
      </c>
      <c r="F397" s="3007">
        <v>106.37</v>
      </c>
      <c r="G397" s="3005" t="s">
        <v>3095</v>
      </c>
    </row>
    <row r="398" spans="1:7" ht="14.25" thickBot="1">
      <c r="A398" s="3006" t="s">
        <v>3390</v>
      </c>
      <c r="B398" s="3007" t="s">
        <v>3377</v>
      </c>
      <c r="C398" s="3007">
        <v>102</v>
      </c>
      <c r="D398" s="3007">
        <v>286.77</v>
      </c>
      <c r="E398" s="3007">
        <v>183.23</v>
      </c>
      <c r="F398" s="3007">
        <v>103.54</v>
      </c>
      <c r="G398" s="3005" t="s">
        <v>3095</v>
      </c>
    </row>
    <row r="399" spans="1:7" ht="14.25" thickBot="1">
      <c r="A399" s="3006" t="s">
        <v>3390</v>
      </c>
      <c r="B399" s="3007" t="s">
        <v>3377</v>
      </c>
      <c r="C399" s="3007">
        <v>301</v>
      </c>
      <c r="D399" s="3007">
        <v>206.62</v>
      </c>
      <c r="E399" s="3007">
        <v>206.62</v>
      </c>
      <c r="F399" s="3007">
        <v>0</v>
      </c>
      <c r="G399" s="3005" t="s">
        <v>3095</v>
      </c>
    </row>
    <row r="400" spans="1:7" ht="14.25" thickBot="1">
      <c r="A400" s="3006" t="s">
        <v>3390</v>
      </c>
      <c r="B400" s="3007" t="s">
        <v>3377</v>
      </c>
      <c r="C400" s="3007">
        <v>302</v>
      </c>
      <c r="D400" s="3007">
        <v>206.62</v>
      </c>
      <c r="E400" s="3007">
        <v>206.62</v>
      </c>
      <c r="F400" s="3007">
        <v>0</v>
      </c>
      <c r="G400" s="3005" t="s">
        <v>3095</v>
      </c>
    </row>
    <row r="401" spans="1:7" ht="14.25" thickBot="1">
      <c r="A401" s="3006" t="s">
        <v>3390</v>
      </c>
      <c r="B401" s="3007" t="s">
        <v>3378</v>
      </c>
      <c r="C401" s="3007">
        <v>-101</v>
      </c>
      <c r="D401" s="3007">
        <v>98.16</v>
      </c>
      <c r="E401" s="3007">
        <v>0</v>
      </c>
      <c r="F401" s="3007">
        <v>98.16</v>
      </c>
      <c r="G401" s="3005" t="s">
        <v>3095</v>
      </c>
    </row>
    <row r="402" spans="1:7" ht="14.25" thickBot="1">
      <c r="A402" s="3006" t="s">
        <v>3390</v>
      </c>
      <c r="B402" s="3007" t="s">
        <v>3378</v>
      </c>
      <c r="C402" s="3007">
        <v>-102</v>
      </c>
      <c r="D402" s="3007">
        <v>153.72</v>
      </c>
      <c r="E402" s="3007">
        <v>0</v>
      </c>
      <c r="F402" s="3007">
        <v>153.72</v>
      </c>
      <c r="G402" s="3005" t="s">
        <v>3095</v>
      </c>
    </row>
    <row r="403" spans="1:7" ht="14.25" thickBot="1">
      <c r="A403" s="3006" t="s">
        <v>3390</v>
      </c>
      <c r="B403" s="3007" t="s">
        <v>3378</v>
      </c>
      <c r="C403" s="3007">
        <v>101</v>
      </c>
      <c r="D403" s="3007">
        <v>286.77</v>
      </c>
      <c r="E403" s="3007">
        <v>183.23</v>
      </c>
      <c r="F403" s="3007">
        <v>103.54</v>
      </c>
      <c r="G403" s="3005" t="s">
        <v>3095</v>
      </c>
    </row>
    <row r="404" spans="1:7" ht="14.25" thickBot="1">
      <c r="A404" s="3006" t="s">
        <v>3390</v>
      </c>
      <c r="B404" s="3007" t="s">
        <v>3378</v>
      </c>
      <c r="C404" s="3007">
        <v>102</v>
      </c>
      <c r="D404" s="3007">
        <v>387.06</v>
      </c>
      <c r="E404" s="3007">
        <v>259.19</v>
      </c>
      <c r="F404" s="3007">
        <v>127.87</v>
      </c>
      <c r="G404" s="3005" t="s">
        <v>3095</v>
      </c>
    </row>
    <row r="405" spans="1:7" ht="14.25" thickBot="1">
      <c r="A405" s="3006" t="s">
        <v>3390</v>
      </c>
      <c r="B405" s="3007" t="s">
        <v>3378</v>
      </c>
      <c r="C405" s="3007">
        <v>301</v>
      </c>
      <c r="D405" s="3007">
        <v>206.62</v>
      </c>
      <c r="E405" s="3007">
        <v>206.62</v>
      </c>
      <c r="F405" s="3007">
        <v>0</v>
      </c>
      <c r="G405" s="3005" t="s">
        <v>3095</v>
      </c>
    </row>
    <row r="406" spans="1:7" ht="14.25" thickBot="1">
      <c r="A406" s="3006" t="s">
        <v>3390</v>
      </c>
      <c r="B406" s="3007" t="s">
        <v>3378</v>
      </c>
      <c r="C406" s="3007">
        <v>302</v>
      </c>
      <c r="D406" s="3007">
        <v>288.04000000000002</v>
      </c>
      <c r="E406" s="3007">
        <v>288.04000000000002</v>
      </c>
      <c r="F406" s="3007">
        <v>0</v>
      </c>
      <c r="G406" s="3005" t="s">
        <v>3095</v>
      </c>
    </row>
    <row r="407" spans="1:7" ht="14.25" thickBot="1">
      <c r="A407" s="3006" t="s">
        <v>3391</v>
      </c>
      <c r="B407" s="3007" t="s">
        <v>3374</v>
      </c>
      <c r="C407" s="3007">
        <v>-101</v>
      </c>
      <c r="D407" s="3007">
        <v>98.16</v>
      </c>
      <c r="E407" s="3007">
        <v>0</v>
      </c>
      <c r="F407" s="3007">
        <v>98.16</v>
      </c>
      <c r="G407" s="3005" t="s">
        <v>3095</v>
      </c>
    </row>
    <row r="408" spans="1:7" ht="14.25" thickBot="1">
      <c r="A408" s="3006" t="s">
        <v>3391</v>
      </c>
      <c r="B408" s="3007" t="s">
        <v>3374</v>
      </c>
      <c r="C408" s="3007">
        <v>-102</v>
      </c>
      <c r="D408" s="3007">
        <v>99.18</v>
      </c>
      <c r="E408" s="3007">
        <v>0</v>
      </c>
      <c r="F408" s="3007">
        <v>99.18</v>
      </c>
      <c r="G408" s="3005" t="s">
        <v>3095</v>
      </c>
    </row>
    <row r="409" spans="1:7" ht="14.25" thickBot="1">
      <c r="A409" s="3006" t="s">
        <v>3391</v>
      </c>
      <c r="B409" s="3007" t="s">
        <v>3374</v>
      </c>
      <c r="C409" s="3007">
        <v>101</v>
      </c>
      <c r="D409" s="3007">
        <v>288.20999999999998</v>
      </c>
      <c r="E409" s="3007">
        <v>184.54</v>
      </c>
      <c r="F409" s="3007">
        <v>103.67</v>
      </c>
      <c r="G409" s="3005" t="s">
        <v>3095</v>
      </c>
    </row>
    <row r="410" spans="1:7" ht="14.25" thickBot="1">
      <c r="A410" s="3006" t="s">
        <v>3391</v>
      </c>
      <c r="B410" s="3007" t="s">
        <v>3374</v>
      </c>
      <c r="C410" s="3007">
        <v>102</v>
      </c>
      <c r="D410" s="3007">
        <v>286.77</v>
      </c>
      <c r="E410" s="3007">
        <v>183.23</v>
      </c>
      <c r="F410" s="3007">
        <v>103.54</v>
      </c>
      <c r="G410" s="3005" t="s">
        <v>3095</v>
      </c>
    </row>
    <row r="411" spans="1:7" ht="14.25" thickBot="1">
      <c r="A411" s="3006" t="s">
        <v>3391</v>
      </c>
      <c r="B411" s="3007" t="s">
        <v>3374</v>
      </c>
      <c r="C411" s="3007">
        <v>301</v>
      </c>
      <c r="D411" s="3007">
        <v>208.42</v>
      </c>
      <c r="E411" s="3007">
        <v>208.42</v>
      </c>
      <c r="F411" s="3007">
        <v>0</v>
      </c>
      <c r="G411" s="3005" t="s">
        <v>3095</v>
      </c>
    </row>
    <row r="412" spans="1:7" ht="14.25" thickBot="1">
      <c r="A412" s="3006" t="s">
        <v>3391</v>
      </c>
      <c r="B412" s="3007" t="s">
        <v>3374</v>
      </c>
      <c r="C412" s="3007">
        <v>302</v>
      </c>
      <c r="D412" s="3007">
        <v>206.64</v>
      </c>
      <c r="E412" s="3007">
        <v>206.64</v>
      </c>
      <c r="F412" s="3007">
        <v>0</v>
      </c>
      <c r="G412" s="3005" t="s">
        <v>3095</v>
      </c>
    </row>
    <row r="413" spans="1:7" ht="14.25" thickBot="1">
      <c r="A413" s="3006" t="s">
        <v>3391</v>
      </c>
      <c r="B413" s="3007" t="s">
        <v>3375</v>
      </c>
      <c r="C413" s="3007">
        <v>-101</v>
      </c>
      <c r="D413" s="3007">
        <v>98.16</v>
      </c>
      <c r="E413" s="3007">
        <v>0</v>
      </c>
      <c r="F413" s="3007">
        <v>98.16</v>
      </c>
      <c r="G413" s="3005" t="s">
        <v>3095</v>
      </c>
    </row>
    <row r="414" spans="1:7" ht="14.25" thickBot="1">
      <c r="A414" s="3006" t="s">
        <v>3391</v>
      </c>
      <c r="B414" s="3007" t="s">
        <v>3375</v>
      </c>
      <c r="C414" s="3007">
        <v>-102</v>
      </c>
      <c r="D414" s="3007">
        <v>99.18</v>
      </c>
      <c r="E414" s="3007">
        <v>0</v>
      </c>
      <c r="F414" s="3007">
        <v>99.18</v>
      </c>
      <c r="G414" s="3005" t="s">
        <v>3095</v>
      </c>
    </row>
    <row r="415" spans="1:7" ht="14.25" thickBot="1">
      <c r="A415" s="3006" t="s">
        <v>3391</v>
      </c>
      <c r="B415" s="3007" t="s">
        <v>3375</v>
      </c>
      <c r="C415" s="3007">
        <v>101</v>
      </c>
      <c r="D415" s="3007">
        <v>286.77</v>
      </c>
      <c r="E415" s="3007">
        <v>183.23</v>
      </c>
      <c r="F415" s="3007">
        <v>103.54</v>
      </c>
      <c r="G415" s="3005" t="s">
        <v>3095</v>
      </c>
    </row>
    <row r="416" spans="1:7" ht="14.25" thickBot="1">
      <c r="A416" s="3006" t="s">
        <v>3391</v>
      </c>
      <c r="B416" s="3007" t="s">
        <v>3375</v>
      </c>
      <c r="C416" s="3007">
        <v>102</v>
      </c>
      <c r="D416" s="3007">
        <v>286.77</v>
      </c>
      <c r="E416" s="3007">
        <v>183.23</v>
      </c>
      <c r="F416" s="3007">
        <v>103.54</v>
      </c>
      <c r="G416" s="3005" t="s">
        <v>3095</v>
      </c>
    </row>
    <row r="417" spans="1:7" ht="14.25" thickBot="1">
      <c r="A417" s="3006" t="s">
        <v>3391</v>
      </c>
      <c r="B417" s="3007" t="s">
        <v>3375</v>
      </c>
      <c r="C417" s="3007">
        <v>301</v>
      </c>
      <c r="D417" s="3007">
        <v>206.62</v>
      </c>
      <c r="E417" s="3007">
        <v>206.62</v>
      </c>
      <c r="F417" s="3007">
        <v>0</v>
      </c>
      <c r="G417" s="3005" t="s">
        <v>3095</v>
      </c>
    </row>
    <row r="418" spans="1:7" ht="14.25" thickBot="1">
      <c r="A418" s="3006" t="s">
        <v>3391</v>
      </c>
      <c r="B418" s="3007" t="s">
        <v>3375</v>
      </c>
      <c r="C418" s="3007">
        <v>302</v>
      </c>
      <c r="D418" s="3007">
        <v>206.62</v>
      </c>
      <c r="E418" s="3007">
        <v>206.62</v>
      </c>
      <c r="F418" s="3007">
        <v>0</v>
      </c>
      <c r="G418" s="3005" t="s">
        <v>3095</v>
      </c>
    </row>
    <row r="419" spans="1:7" ht="14.25" thickBot="1">
      <c r="A419" s="3006" t="s">
        <v>3391</v>
      </c>
      <c r="B419" s="3007" t="s">
        <v>3376</v>
      </c>
      <c r="C419" s="3007">
        <v>-101</v>
      </c>
      <c r="D419" s="3007">
        <v>98.16</v>
      </c>
      <c r="E419" s="3007">
        <v>0</v>
      </c>
      <c r="F419" s="3007">
        <v>98.16</v>
      </c>
      <c r="G419" s="3005" t="s">
        <v>3095</v>
      </c>
    </row>
    <row r="420" spans="1:7" ht="14.25" thickBot="1">
      <c r="A420" s="3006" t="s">
        <v>3391</v>
      </c>
      <c r="B420" s="3007" t="s">
        <v>3376</v>
      </c>
      <c r="C420" s="3007">
        <v>-102</v>
      </c>
      <c r="D420" s="3007">
        <v>101.12</v>
      </c>
      <c r="E420" s="3007">
        <v>0</v>
      </c>
      <c r="F420" s="3007">
        <v>101.12</v>
      </c>
      <c r="G420" s="3005" t="s">
        <v>3095</v>
      </c>
    </row>
    <row r="421" spans="1:7" ht="14.25" thickBot="1">
      <c r="A421" s="3006" t="s">
        <v>3391</v>
      </c>
      <c r="B421" s="3007" t="s">
        <v>3376</v>
      </c>
      <c r="C421" s="3007">
        <v>101</v>
      </c>
      <c r="D421" s="3007">
        <v>286.77</v>
      </c>
      <c r="E421" s="3007">
        <v>183.23</v>
      </c>
      <c r="F421" s="3007">
        <v>103.54</v>
      </c>
      <c r="G421" s="3005" t="s">
        <v>3095</v>
      </c>
    </row>
    <row r="422" spans="1:7" ht="14.25" thickBot="1">
      <c r="A422" s="3006" t="s">
        <v>3391</v>
      </c>
      <c r="B422" s="3007" t="s">
        <v>3376</v>
      </c>
      <c r="C422" s="3007">
        <v>102</v>
      </c>
      <c r="D422" s="3007">
        <v>289.60000000000002</v>
      </c>
      <c r="E422" s="3007">
        <v>183.23</v>
      </c>
      <c r="F422" s="3007">
        <v>106.37</v>
      </c>
      <c r="G422" s="3005" t="s">
        <v>3095</v>
      </c>
    </row>
    <row r="423" spans="1:7" ht="14.25" thickBot="1">
      <c r="A423" s="3006" t="s">
        <v>3391</v>
      </c>
      <c r="B423" s="3007" t="s">
        <v>3376</v>
      </c>
      <c r="C423" s="3007">
        <v>301</v>
      </c>
      <c r="D423" s="3007">
        <v>206.62</v>
      </c>
      <c r="E423" s="3007">
        <v>206.62</v>
      </c>
      <c r="F423" s="3007">
        <v>0</v>
      </c>
      <c r="G423" s="3005" t="s">
        <v>3095</v>
      </c>
    </row>
    <row r="424" spans="1:7" ht="14.25" thickBot="1">
      <c r="A424" s="3006" t="s">
        <v>3391</v>
      </c>
      <c r="B424" s="3007" t="s">
        <v>3376</v>
      </c>
      <c r="C424" s="3007">
        <v>302</v>
      </c>
      <c r="D424" s="3007">
        <v>206.62</v>
      </c>
      <c r="E424" s="3007">
        <v>206.62</v>
      </c>
      <c r="F424" s="3007">
        <v>0</v>
      </c>
      <c r="G424" s="3005" t="s">
        <v>3095</v>
      </c>
    </row>
    <row r="425" spans="1:7" ht="14.25" thickBot="1">
      <c r="A425" s="3006" t="s">
        <v>3391</v>
      </c>
      <c r="B425" s="3007" t="s">
        <v>3377</v>
      </c>
      <c r="C425" s="3007">
        <v>-101</v>
      </c>
      <c r="D425" s="3007">
        <v>100.11</v>
      </c>
      <c r="E425" s="3007">
        <v>0</v>
      </c>
      <c r="F425" s="3007">
        <v>100.11</v>
      </c>
      <c r="G425" s="3005" t="s">
        <v>3095</v>
      </c>
    </row>
    <row r="426" spans="1:7" ht="14.25" thickBot="1">
      <c r="A426" s="3006" t="s">
        <v>3391</v>
      </c>
      <c r="B426" s="3007" t="s">
        <v>3377</v>
      </c>
      <c r="C426" s="3007">
        <v>-102</v>
      </c>
      <c r="D426" s="3007">
        <v>99.18</v>
      </c>
      <c r="E426" s="3007">
        <v>0</v>
      </c>
      <c r="F426" s="3007">
        <v>99.18</v>
      </c>
      <c r="G426" s="3005" t="s">
        <v>3095</v>
      </c>
    </row>
    <row r="427" spans="1:7" ht="14.25" thickBot="1">
      <c r="A427" s="3006" t="s">
        <v>3391</v>
      </c>
      <c r="B427" s="3007" t="s">
        <v>3377</v>
      </c>
      <c r="C427" s="3007">
        <v>101</v>
      </c>
      <c r="D427" s="3007">
        <v>289.60000000000002</v>
      </c>
      <c r="E427" s="3007">
        <v>183.23</v>
      </c>
      <c r="F427" s="3007">
        <v>106.37</v>
      </c>
      <c r="G427" s="3005" t="s">
        <v>3095</v>
      </c>
    </row>
    <row r="428" spans="1:7" ht="14.25" thickBot="1">
      <c r="A428" s="3006" t="s">
        <v>3391</v>
      </c>
      <c r="B428" s="3007" t="s">
        <v>3377</v>
      </c>
      <c r="C428" s="3007">
        <v>102</v>
      </c>
      <c r="D428" s="3007">
        <v>286.77</v>
      </c>
      <c r="E428" s="3007">
        <v>183.23</v>
      </c>
      <c r="F428" s="3007">
        <v>103.54</v>
      </c>
      <c r="G428" s="3005" t="s">
        <v>3095</v>
      </c>
    </row>
    <row r="429" spans="1:7" ht="14.25" thickBot="1">
      <c r="A429" s="3006" t="s">
        <v>3391</v>
      </c>
      <c r="B429" s="3007" t="s">
        <v>3377</v>
      </c>
      <c r="C429" s="3007">
        <v>301</v>
      </c>
      <c r="D429" s="3007">
        <v>206.62</v>
      </c>
      <c r="E429" s="3007">
        <v>206.62</v>
      </c>
      <c r="F429" s="3007">
        <v>0</v>
      </c>
      <c r="G429" s="3005" t="s">
        <v>3095</v>
      </c>
    </row>
    <row r="430" spans="1:7" ht="14.25" thickBot="1">
      <c r="A430" s="3006" t="s">
        <v>3391</v>
      </c>
      <c r="B430" s="3007" t="s">
        <v>3377</v>
      </c>
      <c r="C430" s="3007">
        <v>302</v>
      </c>
      <c r="D430" s="3007">
        <v>206.62</v>
      </c>
      <c r="E430" s="3007">
        <v>206.62</v>
      </c>
      <c r="F430" s="3007">
        <v>0</v>
      </c>
      <c r="G430" s="3005" t="s">
        <v>3095</v>
      </c>
    </row>
    <row r="431" spans="1:7" ht="14.25" thickBot="1">
      <c r="A431" s="3006" t="s">
        <v>3391</v>
      </c>
      <c r="B431" s="3007" t="s">
        <v>3378</v>
      </c>
      <c r="C431" s="3007">
        <v>-101</v>
      </c>
      <c r="D431" s="3007">
        <v>98.16</v>
      </c>
      <c r="E431" s="3007">
        <v>0</v>
      </c>
      <c r="F431" s="3007">
        <v>98.16</v>
      </c>
      <c r="G431" s="3005" t="s">
        <v>3095</v>
      </c>
    </row>
    <row r="432" spans="1:7" ht="14.25" thickBot="1">
      <c r="A432" s="3006" t="s">
        <v>3391</v>
      </c>
      <c r="B432" s="3007" t="s">
        <v>3378</v>
      </c>
      <c r="C432" s="3007">
        <v>-102</v>
      </c>
      <c r="D432" s="3007">
        <v>153.72</v>
      </c>
      <c r="E432" s="3007">
        <v>0</v>
      </c>
      <c r="F432" s="3007">
        <v>153.72</v>
      </c>
      <c r="G432" s="3005" t="s">
        <v>3095</v>
      </c>
    </row>
    <row r="433" spans="1:7" ht="14.25" thickBot="1">
      <c r="A433" s="3006" t="s">
        <v>3391</v>
      </c>
      <c r="B433" s="3007" t="s">
        <v>3378</v>
      </c>
      <c r="C433" s="3007">
        <v>101</v>
      </c>
      <c r="D433" s="3007">
        <v>286.77</v>
      </c>
      <c r="E433" s="3007">
        <v>183.23</v>
      </c>
      <c r="F433" s="3007">
        <v>103.54</v>
      </c>
      <c r="G433" s="3005" t="s">
        <v>3095</v>
      </c>
    </row>
    <row r="434" spans="1:7" ht="14.25" thickBot="1">
      <c r="A434" s="3006" t="s">
        <v>3391</v>
      </c>
      <c r="B434" s="3007" t="s">
        <v>3378</v>
      </c>
      <c r="C434" s="3007">
        <v>102</v>
      </c>
      <c r="D434" s="3007">
        <v>387.06</v>
      </c>
      <c r="E434" s="3007">
        <v>259.19</v>
      </c>
      <c r="F434" s="3007">
        <v>127.87</v>
      </c>
      <c r="G434" s="3005" t="s">
        <v>3095</v>
      </c>
    </row>
    <row r="435" spans="1:7" ht="14.25" thickBot="1">
      <c r="A435" s="3006" t="s">
        <v>3391</v>
      </c>
      <c r="B435" s="3007" t="s">
        <v>3378</v>
      </c>
      <c r="C435" s="3007">
        <v>301</v>
      </c>
      <c r="D435" s="3007">
        <v>206.62</v>
      </c>
      <c r="E435" s="3007">
        <v>206.62</v>
      </c>
      <c r="F435" s="3007">
        <v>0</v>
      </c>
      <c r="G435" s="3005" t="s">
        <v>3095</v>
      </c>
    </row>
    <row r="436" spans="1:7" ht="14.25" thickBot="1">
      <c r="A436" s="3006" t="s">
        <v>3391</v>
      </c>
      <c r="B436" s="3007" t="s">
        <v>3378</v>
      </c>
      <c r="C436" s="3007">
        <v>302</v>
      </c>
      <c r="D436" s="3007">
        <v>288.04000000000002</v>
      </c>
      <c r="E436" s="3007">
        <v>288.04000000000002</v>
      </c>
      <c r="F436" s="3007">
        <v>0</v>
      </c>
      <c r="G436" s="3005" t="s">
        <v>3095</v>
      </c>
    </row>
    <row r="437" spans="1:7" ht="14.25" thickBot="1">
      <c r="A437" s="3006" t="s">
        <v>3392</v>
      </c>
      <c r="B437" s="3007" t="s">
        <v>3374</v>
      </c>
      <c r="C437" s="3007">
        <v>101</v>
      </c>
      <c r="D437" s="3007">
        <v>341.54</v>
      </c>
      <c r="E437" s="3007">
        <v>155.28</v>
      </c>
      <c r="F437" s="3007">
        <v>186.26</v>
      </c>
      <c r="G437" s="3005" t="s">
        <v>3372</v>
      </c>
    </row>
    <row r="438" spans="1:7" ht="14.25" thickBot="1">
      <c r="A438" s="3006" t="s">
        <v>3392</v>
      </c>
      <c r="B438" s="3007" t="s">
        <v>3374</v>
      </c>
      <c r="C438" s="3007">
        <v>102</v>
      </c>
      <c r="D438" s="3007">
        <v>294.39</v>
      </c>
      <c r="E438" s="3007">
        <v>133.53</v>
      </c>
      <c r="F438" s="3007">
        <v>160.86000000000001</v>
      </c>
      <c r="G438" s="3005" t="s">
        <v>3372</v>
      </c>
    </row>
    <row r="439" spans="1:7" ht="14.25" thickBot="1">
      <c r="A439" s="3006" t="s">
        <v>3392</v>
      </c>
      <c r="B439" s="3007" t="s">
        <v>3374</v>
      </c>
      <c r="C439" s="3007">
        <v>202</v>
      </c>
      <c r="D439" s="3007">
        <v>153.55000000000001</v>
      </c>
      <c r="E439" s="3007">
        <v>153.55000000000001</v>
      </c>
      <c r="F439" s="3007">
        <v>0</v>
      </c>
      <c r="G439" s="3005" t="s">
        <v>3372</v>
      </c>
    </row>
    <row r="440" spans="1:7" ht="14.25" thickBot="1">
      <c r="A440" s="3006" t="s">
        <v>3392</v>
      </c>
      <c r="B440" s="3007" t="s">
        <v>3374</v>
      </c>
      <c r="C440" s="3007">
        <v>402</v>
      </c>
      <c r="D440" s="3007">
        <v>154.16</v>
      </c>
      <c r="E440" s="3007">
        <v>154.16</v>
      </c>
      <c r="F440" s="3007">
        <v>0</v>
      </c>
      <c r="G440" s="3005" t="s">
        <v>3372</v>
      </c>
    </row>
    <row r="441" spans="1:7" ht="14.25" thickBot="1">
      <c r="A441" s="3006" t="s">
        <v>3392</v>
      </c>
      <c r="B441" s="3007" t="s">
        <v>3374</v>
      </c>
      <c r="C441" s="3007">
        <v>501</v>
      </c>
      <c r="D441" s="3007">
        <v>184.17</v>
      </c>
      <c r="E441" s="3007">
        <v>184.17</v>
      </c>
      <c r="F441" s="3007">
        <v>0</v>
      </c>
      <c r="G441" s="3005" t="s">
        <v>3372</v>
      </c>
    </row>
    <row r="442" spans="1:7" ht="14.25" thickBot="1">
      <c r="A442" s="3006" t="s">
        <v>3392</v>
      </c>
      <c r="B442" s="3007" t="s">
        <v>3374</v>
      </c>
      <c r="C442" s="3007">
        <v>502</v>
      </c>
      <c r="D442" s="3007">
        <v>154.16</v>
      </c>
      <c r="E442" s="3007">
        <v>154.16</v>
      </c>
      <c r="F442" s="3007">
        <v>0</v>
      </c>
      <c r="G442" s="3005" t="s">
        <v>3372</v>
      </c>
    </row>
    <row r="443" spans="1:7" ht="14.25" thickBot="1">
      <c r="A443" s="3006" t="s">
        <v>3392</v>
      </c>
      <c r="B443" s="3007" t="s">
        <v>3374</v>
      </c>
      <c r="C443" s="3007">
        <v>602</v>
      </c>
      <c r="D443" s="3007">
        <v>154.16</v>
      </c>
      <c r="E443" s="3007">
        <v>154.16</v>
      </c>
      <c r="F443" s="3007">
        <v>0</v>
      </c>
      <c r="G443" s="3005" t="s">
        <v>3372</v>
      </c>
    </row>
    <row r="444" spans="1:7" ht="14.25" thickBot="1">
      <c r="A444" s="3006" t="s">
        <v>3392</v>
      </c>
      <c r="B444" s="3007" t="s">
        <v>3374</v>
      </c>
      <c r="C444" s="3007">
        <v>701</v>
      </c>
      <c r="D444" s="3007">
        <v>184.17</v>
      </c>
      <c r="E444" s="3007">
        <v>184.17</v>
      </c>
      <c r="F444" s="3007">
        <v>0</v>
      </c>
      <c r="G444" s="3005" t="s">
        <v>3372</v>
      </c>
    </row>
    <row r="445" spans="1:7" ht="14.25" thickBot="1">
      <c r="A445" s="3006" t="s">
        <v>3392</v>
      </c>
      <c r="B445" s="3007" t="s">
        <v>3374</v>
      </c>
      <c r="C445" s="3007">
        <v>702</v>
      </c>
      <c r="D445" s="3007">
        <v>154.16</v>
      </c>
      <c r="E445" s="3007">
        <v>154.16</v>
      </c>
      <c r="F445" s="3007">
        <v>0</v>
      </c>
      <c r="G445" s="3005" t="s">
        <v>3372</v>
      </c>
    </row>
    <row r="446" spans="1:7" ht="14.25" thickBot="1">
      <c r="A446" s="3006" t="s">
        <v>3392</v>
      </c>
      <c r="B446" s="3007" t="s">
        <v>3374</v>
      </c>
      <c r="C446" s="3007">
        <v>801</v>
      </c>
      <c r="D446" s="3007">
        <v>184.17</v>
      </c>
      <c r="E446" s="3007">
        <v>184.17</v>
      </c>
      <c r="F446" s="3007">
        <v>0</v>
      </c>
      <c r="G446" s="3005" t="s">
        <v>3372</v>
      </c>
    </row>
    <row r="447" spans="1:7" ht="14.25" thickBot="1">
      <c r="A447" s="3006" t="s">
        <v>3392</v>
      </c>
      <c r="B447" s="3007" t="s">
        <v>3374</v>
      </c>
      <c r="C447" s="3007">
        <v>802</v>
      </c>
      <c r="D447" s="3007">
        <v>154.16</v>
      </c>
      <c r="E447" s="3007">
        <v>154.16</v>
      </c>
      <c r="F447" s="3007">
        <v>0</v>
      </c>
      <c r="G447" s="3005" t="s">
        <v>3372</v>
      </c>
    </row>
    <row r="448" spans="1:7" ht="14.25" thickBot="1">
      <c r="A448" s="3006" t="s">
        <v>3392</v>
      </c>
      <c r="B448" s="3007" t="s">
        <v>3374</v>
      </c>
      <c r="C448" s="3007">
        <v>1001</v>
      </c>
      <c r="D448" s="3007">
        <v>184.17</v>
      </c>
      <c r="E448" s="3007">
        <v>184.17</v>
      </c>
      <c r="F448" s="3007">
        <v>0</v>
      </c>
      <c r="G448" s="3005" t="s">
        <v>3372</v>
      </c>
    </row>
    <row r="449" spans="1:7" ht="14.25" thickBot="1">
      <c r="A449" s="3006" t="s">
        <v>3392</v>
      </c>
      <c r="B449" s="3007" t="s">
        <v>3374</v>
      </c>
      <c r="C449" s="3007">
        <v>1102</v>
      </c>
      <c r="D449" s="3007">
        <v>154.16</v>
      </c>
      <c r="E449" s="3007">
        <v>154.16</v>
      </c>
      <c r="F449" s="3007">
        <v>0</v>
      </c>
      <c r="G449" s="3005" t="s">
        <v>3372</v>
      </c>
    </row>
    <row r="450" spans="1:7" ht="14.25" thickBot="1">
      <c r="A450" s="3006" t="s">
        <v>3392</v>
      </c>
      <c r="B450" s="3007" t="s">
        <v>3374</v>
      </c>
      <c r="C450" s="3007">
        <v>1201</v>
      </c>
      <c r="D450" s="3007">
        <v>184.17</v>
      </c>
      <c r="E450" s="3007">
        <v>184.17</v>
      </c>
      <c r="F450" s="3007">
        <v>0</v>
      </c>
      <c r="G450" s="3005" t="s">
        <v>3372</v>
      </c>
    </row>
    <row r="451" spans="1:7" ht="14.25" thickBot="1">
      <c r="A451" s="3006" t="s">
        <v>3392</v>
      </c>
      <c r="B451" s="3007" t="s">
        <v>3374</v>
      </c>
      <c r="C451" s="3007">
        <v>1202</v>
      </c>
      <c r="D451" s="3007">
        <v>154.16</v>
      </c>
      <c r="E451" s="3007">
        <v>154.16</v>
      </c>
      <c r="F451" s="3007">
        <v>0</v>
      </c>
      <c r="G451" s="3005" t="s">
        <v>3372</v>
      </c>
    </row>
    <row r="452" spans="1:7" ht="14.25" thickBot="1">
      <c r="A452" s="3006" t="s">
        <v>3392</v>
      </c>
      <c r="B452" s="3007" t="s">
        <v>3374</v>
      </c>
      <c r="C452" s="3007">
        <v>1302</v>
      </c>
      <c r="D452" s="3007">
        <v>154.16</v>
      </c>
      <c r="E452" s="3007">
        <v>154.16</v>
      </c>
      <c r="F452" s="3007">
        <v>0</v>
      </c>
      <c r="G452" s="3005" t="s">
        <v>3372</v>
      </c>
    </row>
    <row r="453" spans="1:7" ht="14.25" thickBot="1">
      <c r="A453" s="3006" t="s">
        <v>3392</v>
      </c>
      <c r="B453" s="3007" t="s">
        <v>3374</v>
      </c>
      <c r="C453" s="3007">
        <v>1402</v>
      </c>
      <c r="D453" s="3007">
        <v>154.16</v>
      </c>
      <c r="E453" s="3007">
        <v>154.16</v>
      </c>
      <c r="F453" s="3007">
        <v>0</v>
      </c>
      <c r="G453" s="3005" t="s">
        <v>3372</v>
      </c>
    </row>
    <row r="454" spans="1:7" ht="14.25" thickBot="1">
      <c r="A454" s="3006" t="s">
        <v>3392</v>
      </c>
      <c r="B454" s="3007" t="s">
        <v>3374</v>
      </c>
      <c r="C454" s="3007">
        <v>1502</v>
      </c>
      <c r="D454" s="3007">
        <v>154.16</v>
      </c>
      <c r="E454" s="3007">
        <v>154.16</v>
      </c>
      <c r="F454" s="3007">
        <v>0</v>
      </c>
      <c r="G454" s="3005" t="s">
        <v>3372</v>
      </c>
    </row>
    <row r="455" spans="1:7" ht="14.25" thickBot="1">
      <c r="A455" s="3006" t="s">
        <v>3392</v>
      </c>
      <c r="B455" s="3007" t="s">
        <v>3374</v>
      </c>
      <c r="C455" s="3007">
        <v>1701</v>
      </c>
      <c r="D455" s="3007">
        <v>184.17</v>
      </c>
      <c r="E455" s="3007">
        <v>184.17</v>
      </c>
      <c r="F455" s="3007">
        <v>0</v>
      </c>
      <c r="G455" s="3005" t="s">
        <v>3372</v>
      </c>
    </row>
    <row r="456" spans="1:7" ht="14.25" thickBot="1">
      <c r="A456" s="3006" t="s">
        <v>3392</v>
      </c>
      <c r="B456" s="3007" t="s">
        <v>3374</v>
      </c>
      <c r="C456" s="3007">
        <v>1702</v>
      </c>
      <c r="D456" s="3007">
        <v>154.16</v>
      </c>
      <c r="E456" s="3007">
        <v>154.16</v>
      </c>
      <c r="F456" s="3007">
        <v>0</v>
      </c>
      <c r="G456" s="3005" t="s">
        <v>3372</v>
      </c>
    </row>
    <row r="457" spans="1:7" ht="14.25" thickBot="1">
      <c r="A457" s="3006" t="s">
        <v>3392</v>
      </c>
      <c r="B457" s="3007" t="s">
        <v>3374</v>
      </c>
      <c r="C457" s="3007">
        <v>1801</v>
      </c>
      <c r="D457" s="3007">
        <v>280.74</v>
      </c>
      <c r="E457" s="3007">
        <v>280.74</v>
      </c>
      <c r="F457" s="3007">
        <v>0</v>
      </c>
      <c r="G457" s="3005" t="s">
        <v>3372</v>
      </c>
    </row>
    <row r="458" spans="1:7" ht="14.25" thickBot="1">
      <c r="A458" s="3006" t="s">
        <v>3392</v>
      </c>
      <c r="B458" s="3007" t="s">
        <v>3374</v>
      </c>
      <c r="C458" s="3007">
        <v>1802</v>
      </c>
      <c r="D458" s="3007">
        <v>235.94</v>
      </c>
      <c r="E458" s="3007">
        <v>235.94</v>
      </c>
      <c r="F458" s="3007">
        <v>0</v>
      </c>
      <c r="G458" s="3005" t="s">
        <v>3372</v>
      </c>
    </row>
    <row r="459" spans="1:7" ht="14.25" thickBot="1">
      <c r="A459" s="3006" t="s">
        <v>3392</v>
      </c>
      <c r="B459" s="3007" t="s">
        <v>3375</v>
      </c>
      <c r="C459" s="3007">
        <v>101</v>
      </c>
      <c r="D459" s="3007">
        <v>294.39</v>
      </c>
      <c r="E459" s="3007">
        <v>133.53</v>
      </c>
      <c r="F459" s="3007">
        <v>160.86000000000001</v>
      </c>
      <c r="G459" s="3005" t="s">
        <v>3372</v>
      </c>
    </row>
    <row r="460" spans="1:7" ht="14.25" thickBot="1">
      <c r="A460" s="3006" t="s">
        <v>3392</v>
      </c>
      <c r="B460" s="3007" t="s">
        <v>3375</v>
      </c>
      <c r="C460" s="3007">
        <v>102</v>
      </c>
      <c r="D460" s="3007">
        <v>346.91</v>
      </c>
      <c r="E460" s="3007">
        <v>155.28</v>
      </c>
      <c r="F460" s="3007">
        <v>191.63</v>
      </c>
      <c r="G460" s="3005" t="s">
        <v>3372</v>
      </c>
    </row>
    <row r="461" spans="1:7" ht="14.25" thickBot="1">
      <c r="A461" s="3006" t="s">
        <v>3392</v>
      </c>
      <c r="B461" s="3007" t="s">
        <v>3375</v>
      </c>
      <c r="C461" s="3007">
        <v>201</v>
      </c>
      <c r="D461" s="3007">
        <v>153.55000000000001</v>
      </c>
      <c r="E461" s="3007">
        <v>153.55000000000001</v>
      </c>
      <c r="F461" s="3007">
        <v>0</v>
      </c>
      <c r="G461" s="3005" t="s">
        <v>3372</v>
      </c>
    </row>
    <row r="462" spans="1:7" ht="14.25" thickBot="1">
      <c r="A462" s="3006" t="s">
        <v>3392</v>
      </c>
      <c r="B462" s="3007" t="s">
        <v>3375</v>
      </c>
      <c r="C462" s="3007">
        <v>301</v>
      </c>
      <c r="D462" s="3007">
        <v>154.16</v>
      </c>
      <c r="E462" s="3007">
        <v>154.16</v>
      </c>
      <c r="F462" s="3007">
        <v>0</v>
      </c>
      <c r="G462" s="3005" t="s">
        <v>3372</v>
      </c>
    </row>
    <row r="463" spans="1:7" ht="14.25" thickBot="1">
      <c r="A463" s="3006" t="s">
        <v>3392</v>
      </c>
      <c r="B463" s="3007" t="s">
        <v>3375</v>
      </c>
      <c r="C463" s="3007">
        <v>401</v>
      </c>
      <c r="D463" s="3007">
        <v>154.16</v>
      </c>
      <c r="E463" s="3007">
        <v>154.16</v>
      </c>
      <c r="F463" s="3007">
        <v>0</v>
      </c>
      <c r="G463" s="3005" t="s">
        <v>3372</v>
      </c>
    </row>
    <row r="464" spans="1:7" ht="14.25" thickBot="1">
      <c r="A464" s="3006" t="s">
        <v>3392</v>
      </c>
      <c r="B464" s="3007" t="s">
        <v>3375</v>
      </c>
      <c r="C464" s="3007">
        <v>402</v>
      </c>
      <c r="D464" s="3007">
        <v>184.17</v>
      </c>
      <c r="E464" s="3007">
        <v>184.17</v>
      </c>
      <c r="F464" s="3007">
        <v>0</v>
      </c>
      <c r="G464" s="3005" t="s">
        <v>3372</v>
      </c>
    </row>
    <row r="465" spans="1:7" ht="14.25" thickBot="1">
      <c r="A465" s="3006" t="s">
        <v>3392</v>
      </c>
      <c r="B465" s="3007" t="s">
        <v>3375</v>
      </c>
      <c r="C465" s="3007">
        <v>501</v>
      </c>
      <c r="D465" s="3007">
        <v>154.16</v>
      </c>
      <c r="E465" s="3007">
        <v>154.16</v>
      </c>
      <c r="F465" s="3007">
        <v>0</v>
      </c>
      <c r="G465" s="3005" t="s">
        <v>3372</v>
      </c>
    </row>
    <row r="466" spans="1:7" ht="14.25" thickBot="1">
      <c r="A466" s="3006" t="s">
        <v>3392</v>
      </c>
      <c r="B466" s="3007" t="s">
        <v>3375</v>
      </c>
      <c r="C466" s="3007">
        <v>601</v>
      </c>
      <c r="D466" s="3007">
        <v>154.16</v>
      </c>
      <c r="E466" s="3007">
        <v>154.16</v>
      </c>
      <c r="F466" s="3007">
        <v>0</v>
      </c>
      <c r="G466" s="3005" t="s">
        <v>3372</v>
      </c>
    </row>
    <row r="467" spans="1:7" ht="14.25" thickBot="1">
      <c r="A467" s="3006" t="s">
        <v>3392</v>
      </c>
      <c r="B467" s="3007" t="s">
        <v>3375</v>
      </c>
      <c r="C467" s="3007">
        <v>701</v>
      </c>
      <c r="D467" s="3007">
        <v>154.16</v>
      </c>
      <c r="E467" s="3007">
        <v>154.16</v>
      </c>
      <c r="F467" s="3007">
        <v>0</v>
      </c>
      <c r="G467" s="3005" t="s">
        <v>3372</v>
      </c>
    </row>
    <row r="468" spans="1:7" ht="14.25" thickBot="1">
      <c r="A468" s="3006" t="s">
        <v>3392</v>
      </c>
      <c r="B468" s="3007" t="s">
        <v>3375</v>
      </c>
      <c r="C468" s="3007">
        <v>702</v>
      </c>
      <c r="D468" s="3007">
        <v>184.17</v>
      </c>
      <c r="E468" s="3007">
        <v>184.17</v>
      </c>
      <c r="F468" s="3007">
        <v>0</v>
      </c>
      <c r="G468" s="3005" t="s">
        <v>3372</v>
      </c>
    </row>
    <row r="469" spans="1:7" ht="14.25" thickBot="1">
      <c r="A469" s="3006" t="s">
        <v>3392</v>
      </c>
      <c r="B469" s="3007" t="s">
        <v>3375</v>
      </c>
      <c r="C469" s="3007">
        <v>801</v>
      </c>
      <c r="D469" s="3007">
        <v>154.16</v>
      </c>
      <c r="E469" s="3007">
        <v>154.16</v>
      </c>
      <c r="F469" s="3007">
        <v>0</v>
      </c>
      <c r="G469" s="3005" t="s">
        <v>3372</v>
      </c>
    </row>
    <row r="470" spans="1:7" ht="14.25" thickBot="1">
      <c r="A470" s="3006" t="s">
        <v>3392</v>
      </c>
      <c r="B470" s="3007" t="s">
        <v>3375</v>
      </c>
      <c r="C470" s="3007">
        <v>901</v>
      </c>
      <c r="D470" s="3007">
        <v>154.16</v>
      </c>
      <c r="E470" s="3007">
        <v>154.16</v>
      </c>
      <c r="F470" s="3007">
        <v>0</v>
      </c>
      <c r="G470" s="3005" t="s">
        <v>3372</v>
      </c>
    </row>
    <row r="471" spans="1:7" ht="14.25" thickBot="1">
      <c r="A471" s="3006" t="s">
        <v>3392</v>
      </c>
      <c r="B471" s="3007" t="s">
        <v>3375</v>
      </c>
      <c r="C471" s="3007">
        <v>1002</v>
      </c>
      <c r="D471" s="3007">
        <v>184.17</v>
      </c>
      <c r="E471" s="3007">
        <v>184.17</v>
      </c>
      <c r="F471" s="3007">
        <v>0</v>
      </c>
      <c r="G471" s="3005" t="s">
        <v>3372</v>
      </c>
    </row>
    <row r="472" spans="1:7" ht="14.25" thickBot="1">
      <c r="A472" s="3006" t="s">
        <v>3392</v>
      </c>
      <c r="B472" s="3007" t="s">
        <v>3375</v>
      </c>
      <c r="C472" s="3007">
        <v>1102</v>
      </c>
      <c r="D472" s="3007">
        <v>184.17</v>
      </c>
      <c r="E472" s="3007">
        <v>184.17</v>
      </c>
      <c r="F472" s="3007">
        <v>0</v>
      </c>
      <c r="G472" s="3005" t="s">
        <v>3372</v>
      </c>
    </row>
    <row r="473" spans="1:7" ht="14.25" thickBot="1">
      <c r="A473" s="3006" t="s">
        <v>3392</v>
      </c>
      <c r="B473" s="3007" t="s">
        <v>3375</v>
      </c>
      <c r="C473" s="3007">
        <v>1201</v>
      </c>
      <c r="D473" s="3007">
        <v>154.16</v>
      </c>
      <c r="E473" s="3007">
        <v>154.16</v>
      </c>
      <c r="F473" s="3007">
        <v>0</v>
      </c>
      <c r="G473" s="3005" t="s">
        <v>3372</v>
      </c>
    </row>
    <row r="474" spans="1:7" ht="14.25" thickBot="1">
      <c r="A474" s="3006" t="s">
        <v>3392</v>
      </c>
      <c r="B474" s="3007" t="s">
        <v>3375</v>
      </c>
      <c r="C474" s="3007">
        <v>1301</v>
      </c>
      <c r="D474" s="3007">
        <v>154.16</v>
      </c>
      <c r="E474" s="3007">
        <v>154.16</v>
      </c>
      <c r="F474" s="3007">
        <v>0</v>
      </c>
      <c r="G474" s="3005" t="s">
        <v>3372</v>
      </c>
    </row>
    <row r="475" spans="1:7" ht="14.25" thickBot="1">
      <c r="A475" s="3006" t="s">
        <v>3392</v>
      </c>
      <c r="B475" s="3007" t="s">
        <v>3375</v>
      </c>
      <c r="C475" s="3007">
        <v>1302</v>
      </c>
      <c r="D475" s="3007">
        <v>184.17</v>
      </c>
      <c r="E475" s="3007">
        <v>184.17</v>
      </c>
      <c r="F475" s="3007">
        <v>0</v>
      </c>
      <c r="G475" s="3005" t="s">
        <v>3372</v>
      </c>
    </row>
    <row r="476" spans="1:7" ht="14.25" thickBot="1">
      <c r="A476" s="3006" t="s">
        <v>3392</v>
      </c>
      <c r="B476" s="3007" t="s">
        <v>3375</v>
      </c>
      <c r="C476" s="3007">
        <v>1401</v>
      </c>
      <c r="D476" s="3007">
        <v>154.16</v>
      </c>
      <c r="E476" s="3007">
        <v>154.16</v>
      </c>
      <c r="F476" s="3007">
        <v>0</v>
      </c>
      <c r="G476" s="3005" t="s">
        <v>3372</v>
      </c>
    </row>
    <row r="477" spans="1:7" ht="14.25" thickBot="1">
      <c r="A477" s="3006" t="s">
        <v>3392</v>
      </c>
      <c r="B477" s="3007" t="s">
        <v>3375</v>
      </c>
      <c r="C477" s="3007">
        <v>1501</v>
      </c>
      <c r="D477" s="3007">
        <v>154.16</v>
      </c>
      <c r="E477" s="3007">
        <v>154.16</v>
      </c>
      <c r="F477" s="3007">
        <v>0</v>
      </c>
      <c r="G477" s="3005" t="s">
        <v>3372</v>
      </c>
    </row>
    <row r="478" spans="1:7" ht="14.25" thickBot="1">
      <c r="A478" s="3006" t="s">
        <v>3392</v>
      </c>
      <c r="B478" s="3007" t="s">
        <v>3375</v>
      </c>
      <c r="C478" s="3007">
        <v>1601</v>
      </c>
      <c r="D478" s="3007">
        <v>154.16</v>
      </c>
      <c r="E478" s="3007">
        <v>154.16</v>
      </c>
      <c r="F478" s="3007">
        <v>0</v>
      </c>
      <c r="G478" s="3005" t="s">
        <v>3372</v>
      </c>
    </row>
    <row r="479" spans="1:7" ht="14.25" thickBot="1">
      <c r="A479" s="3006" t="s">
        <v>3392</v>
      </c>
      <c r="B479" s="3007" t="s">
        <v>3375</v>
      </c>
      <c r="C479" s="3007">
        <v>1701</v>
      </c>
      <c r="D479" s="3007">
        <v>154.16</v>
      </c>
      <c r="E479" s="3007">
        <v>154.16</v>
      </c>
      <c r="F479" s="3007">
        <v>0</v>
      </c>
      <c r="G479" s="3005" t="s">
        <v>3372</v>
      </c>
    </row>
    <row r="480" spans="1:7" ht="14.25" thickBot="1">
      <c r="A480" s="3006" t="s">
        <v>3392</v>
      </c>
      <c r="B480" s="3007" t="s">
        <v>3375</v>
      </c>
      <c r="C480" s="3007">
        <v>1801</v>
      </c>
      <c r="D480" s="3007">
        <v>235.94</v>
      </c>
      <c r="E480" s="3007">
        <v>235.94</v>
      </c>
      <c r="F480" s="3007">
        <v>0</v>
      </c>
      <c r="G480" s="3005" t="s">
        <v>3372</v>
      </c>
    </row>
    <row r="481" spans="1:7" ht="14.25" thickBot="1">
      <c r="A481" s="3006" t="s">
        <v>3392</v>
      </c>
      <c r="B481" s="3007" t="s">
        <v>3375</v>
      </c>
      <c r="C481" s="3007">
        <v>1802</v>
      </c>
      <c r="D481" s="3007">
        <v>280.74</v>
      </c>
      <c r="E481" s="3007">
        <v>280.74</v>
      </c>
      <c r="F481" s="3007">
        <v>0</v>
      </c>
      <c r="G481" s="3005" t="s">
        <v>3372</v>
      </c>
    </row>
    <row r="482" spans="1:7" ht="14.25" thickBot="1">
      <c r="A482" s="3006" t="s">
        <v>3393</v>
      </c>
      <c r="B482" s="3007" t="s">
        <v>70</v>
      </c>
      <c r="C482" s="3007">
        <v>101</v>
      </c>
      <c r="D482" s="3007">
        <v>285.06</v>
      </c>
      <c r="E482" s="3007">
        <v>139.79</v>
      </c>
      <c r="F482" s="3007">
        <v>145.27000000000001</v>
      </c>
      <c r="G482" s="3005" t="s">
        <v>3372</v>
      </c>
    </row>
    <row r="483" spans="1:7" ht="14.25" thickBot="1">
      <c r="A483" s="3006" t="s">
        <v>3393</v>
      </c>
      <c r="B483" s="3007" t="s">
        <v>70</v>
      </c>
      <c r="C483" s="3007">
        <v>102</v>
      </c>
      <c r="D483" s="3007">
        <v>220.8</v>
      </c>
      <c r="E483" s="3007">
        <v>110.88</v>
      </c>
      <c r="F483" s="3007">
        <v>109.92</v>
      </c>
      <c r="G483" s="3005" t="s">
        <v>3372</v>
      </c>
    </row>
    <row r="484" spans="1:7" ht="14.25" thickBot="1">
      <c r="A484" s="3006" t="s">
        <v>3393</v>
      </c>
      <c r="B484" s="3007" t="s">
        <v>70</v>
      </c>
      <c r="C484" s="3007">
        <v>401</v>
      </c>
      <c r="D484" s="3007">
        <v>139.93</v>
      </c>
      <c r="E484" s="3007">
        <v>139.93</v>
      </c>
      <c r="F484" s="3007">
        <v>0</v>
      </c>
      <c r="G484" s="3005" t="s">
        <v>3372</v>
      </c>
    </row>
    <row r="485" spans="1:7" ht="14.25" thickBot="1">
      <c r="A485" s="3008" t="s">
        <v>3398</v>
      </c>
      <c r="B485" s="3008"/>
      <c r="C485" s="3008"/>
      <c r="D485" s="3008">
        <f>SUM(D3:D484)</f>
        <v>90943.81000000007</v>
      </c>
      <c r="E485" s="3008">
        <f>SUM(E3:E484)</f>
        <v>72809.220000000219</v>
      </c>
      <c r="F485" s="3008">
        <f>SUM(F3:F484)</f>
        <v>18134.590000000015</v>
      </c>
      <c r="G485" s="3008"/>
    </row>
    <row r="486" spans="1:7">
      <c r="E486" s="3004">
        <f>COUNTIF(E3:E484,"&gt;0")</f>
        <v>423</v>
      </c>
      <c r="F486" s="3004">
        <f>COUNTIF(F3:F484,"&gt;0")</f>
        <v>150</v>
      </c>
    </row>
    <row r="487" spans="1:7" ht="28.5" customHeight="1">
      <c r="A487" s="3093" t="s">
        <v>3399</v>
      </c>
      <c r="B487" s="3093"/>
      <c r="C487" s="3093"/>
      <c r="D487" s="3093"/>
      <c r="E487" s="3093"/>
      <c r="F487" s="3093"/>
      <c r="G487" s="3093"/>
    </row>
    <row r="488" spans="1:7">
      <c r="F488" s="3012">
        <f>D485+32796.45</f>
        <v>123740.26000000007</v>
      </c>
    </row>
  </sheetData>
  <autoFilter ref="A1:G487"/>
  <mergeCells count="5">
    <mergeCell ref="A1:A2"/>
    <mergeCell ref="B1:B2"/>
    <mergeCell ref="C1:C2"/>
    <mergeCell ref="G1:G2"/>
    <mergeCell ref="A487:G487"/>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2153" customWidth="1"/>
    <col min="2" max="2" width="10.5" style="2153" customWidth="1"/>
    <col min="3" max="3" width="14.8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1" width="10.875" style="2153" bestFit="1" customWidth="1"/>
    <col min="52"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1832</v>
      </c>
      <c r="B2" s="11" t="s">
        <v>1833</v>
      </c>
      <c r="C2" s="11" t="s">
        <v>1834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1835</v>
      </c>
      <c r="AZ2" s="1269" t="s">
        <v>1836</v>
      </c>
      <c r="BA2" s="11" t="s">
        <v>1837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52559.71</v>
      </c>
      <c r="B3" s="14">
        <f>IF(C3="否",G5-AT5,G5)</f>
        <v>133438.75</v>
      </c>
      <c r="C3" s="2162" t="s">
        <v>3013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f>ROUND(52559.71*(G13+G31-AT31)/预测面积!M23,2)</f>
        <v>34567.79</v>
      </c>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1838</v>
      </c>
      <c r="B5" s="1801"/>
      <c r="C5" s="1801"/>
      <c r="D5" s="1804"/>
      <c r="E5" s="16" t="s">
        <v>1</v>
      </c>
      <c r="F5" s="16">
        <f>SUM(F13:F587)</f>
        <v>0</v>
      </c>
      <c r="G5" s="16">
        <f>SUM(G13:G587)</f>
        <v>133438.75</v>
      </c>
      <c r="H5" s="16">
        <f t="shared" ref="H5:AT5" si="0">SUM(H13:H656)</f>
        <v>121502.29999999999</v>
      </c>
      <c r="I5" s="16">
        <f t="shared" si="0"/>
        <v>49341.37</v>
      </c>
      <c r="J5" s="16">
        <f t="shared" si="0"/>
        <v>0</v>
      </c>
      <c r="K5" s="16">
        <f t="shared" si="0"/>
        <v>23467.85</v>
      </c>
      <c r="L5" s="16">
        <f t="shared" si="0"/>
        <v>0</v>
      </c>
      <c r="M5" s="16">
        <f t="shared" si="0"/>
        <v>5238.1899999999996</v>
      </c>
      <c r="N5" s="16">
        <f t="shared" si="0"/>
        <v>0</v>
      </c>
      <c r="O5" s="16">
        <f t="shared" si="0"/>
        <v>12896.4</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2495.5500000000002</v>
      </c>
      <c r="AD5" s="16">
        <f t="shared" si="0"/>
        <v>20</v>
      </c>
      <c r="AE5" s="16">
        <f t="shared" si="0"/>
        <v>0</v>
      </c>
      <c r="AF5" s="16">
        <f t="shared" si="0"/>
        <v>76.760000000000005</v>
      </c>
      <c r="AG5" s="16">
        <f t="shared" si="0"/>
        <v>0</v>
      </c>
      <c r="AH5" s="16">
        <f t="shared" si="0"/>
        <v>100</v>
      </c>
      <c r="AI5" s="16">
        <f t="shared" si="0"/>
        <v>0</v>
      </c>
      <c r="AJ5" s="16">
        <f t="shared" si="0"/>
        <v>60.83</v>
      </c>
      <c r="AK5" s="16">
        <f t="shared" si="0"/>
        <v>0</v>
      </c>
      <c r="AL5" s="16">
        <f t="shared" si="0"/>
        <v>17.55</v>
      </c>
      <c r="AM5" s="16">
        <f t="shared" si="0"/>
        <v>0</v>
      </c>
      <c r="AN5" s="16">
        <f t="shared" si="0"/>
        <v>2220.41</v>
      </c>
      <c r="AO5" s="16">
        <f t="shared" si="0"/>
        <v>0</v>
      </c>
      <c r="AP5" s="16">
        <f t="shared" si="0"/>
        <v>0</v>
      </c>
      <c r="AQ5" s="16">
        <f t="shared" si="0"/>
        <v>0</v>
      </c>
      <c r="AR5" s="16">
        <f t="shared" si="0"/>
        <v>0</v>
      </c>
      <c r="AS5" s="16">
        <f t="shared" si="0"/>
        <v>0</v>
      </c>
      <c r="AT5" s="16">
        <f t="shared" si="0"/>
        <v>9440.9</v>
      </c>
      <c r="AU5" s="1800"/>
      <c r="AV5" s="15" t="s">
        <v>1838</v>
      </c>
      <c r="AW5" s="1801"/>
      <c r="AX5" s="1801"/>
      <c r="AY5" s="17" t="s">
        <v>3</v>
      </c>
      <c r="AZ5" s="18">
        <f t="shared" ref="AZ5:BT5" si="1">SUM(AZ13:AZ656)</f>
        <v>123740.26</v>
      </c>
      <c r="BA5" s="18">
        <f t="shared" si="1"/>
        <v>121502.29999999999</v>
      </c>
      <c r="BB5" s="18">
        <f t="shared" si="1"/>
        <v>49341.37</v>
      </c>
      <c r="BC5" s="18">
        <f t="shared" si="1"/>
        <v>23467.85</v>
      </c>
      <c r="BD5" s="18">
        <f t="shared" si="1"/>
        <v>5238.1899999999996</v>
      </c>
      <c r="BE5" s="18">
        <f t="shared" si="1"/>
        <v>12896.4</v>
      </c>
      <c r="BF5" s="18">
        <f t="shared" si="1"/>
        <v>30558.489999999998</v>
      </c>
      <c r="BG5" s="18">
        <f t="shared" si="1"/>
        <v>0</v>
      </c>
      <c r="BH5" s="18">
        <f t="shared" si="1"/>
        <v>0</v>
      </c>
      <c r="BI5" s="18">
        <f t="shared" si="1"/>
        <v>0</v>
      </c>
      <c r="BJ5" s="18">
        <f t="shared" si="1"/>
        <v>0</v>
      </c>
      <c r="BK5" s="18">
        <f t="shared" si="1"/>
        <v>0</v>
      </c>
      <c r="BL5" s="18">
        <f t="shared" si="1"/>
        <v>2237.96</v>
      </c>
      <c r="BM5" s="18">
        <f t="shared" si="1"/>
        <v>0</v>
      </c>
      <c r="BN5" s="18">
        <f t="shared" si="1"/>
        <v>0</v>
      </c>
      <c r="BO5" s="18">
        <f t="shared" si="1"/>
        <v>0</v>
      </c>
      <c r="BP5" s="18">
        <f t="shared" si="1"/>
        <v>0</v>
      </c>
      <c r="BQ5" s="18">
        <f t="shared" si="1"/>
        <v>17.55</v>
      </c>
      <c r="BR5" s="18">
        <f t="shared" si="1"/>
        <v>2220.41</v>
      </c>
      <c r="BS5" s="18">
        <f t="shared" si="1"/>
        <v>0</v>
      </c>
      <c r="BT5" s="19">
        <f t="shared" si="1"/>
        <v>0</v>
      </c>
    </row>
    <row r="6" spans="1:72" s="2171" customFormat="1" ht="12.75">
      <c r="A6" s="15" t="s">
        <v>1839</v>
      </c>
      <c r="B6" s="2168"/>
      <c r="C6" s="2168"/>
      <c r="D6" s="2169"/>
      <c r="E6" s="16">
        <f>H6+AC6+AT6</f>
        <v>52559.71</v>
      </c>
      <c r="F6" s="16" t="s">
        <v>1</v>
      </c>
      <c r="G6" s="16" t="s">
        <v>2</v>
      </c>
      <c r="H6" s="20">
        <f>SUMIF(I$12:AB$12,"总值",I6:AB6)</f>
        <v>47858.11</v>
      </c>
      <c r="I6" s="16">
        <f t="shared" ref="I6:AB6" si="2">ROUND($A$3*I5/$B$3,2)</f>
        <v>19434.900000000001</v>
      </c>
      <c r="J6" s="16">
        <f t="shared" si="2"/>
        <v>0</v>
      </c>
      <c r="K6" s="16">
        <f t="shared" si="2"/>
        <v>9243.67</v>
      </c>
      <c r="L6" s="16">
        <f t="shared" si="2"/>
        <v>0</v>
      </c>
      <c r="M6" s="16">
        <f t="shared" si="2"/>
        <v>2063.25</v>
      </c>
      <c r="N6" s="16">
        <f t="shared" si="2"/>
        <v>0</v>
      </c>
      <c r="O6" s="16">
        <f t="shared" si="2"/>
        <v>5079.72</v>
      </c>
      <c r="P6" s="16">
        <f t="shared" si="2"/>
        <v>0</v>
      </c>
      <c r="Q6" s="16">
        <f t="shared" si="2"/>
        <v>12036.57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982.96</v>
      </c>
      <c r="AD6" s="16">
        <f t="shared" ref="AD6:AS6" si="3">ROUND($A$3*AD5/$B$3,2)</f>
        <v>7.88</v>
      </c>
      <c r="AE6" s="16">
        <f t="shared" si="3"/>
        <v>0</v>
      </c>
      <c r="AF6" s="16">
        <f t="shared" si="3"/>
        <v>30.23</v>
      </c>
      <c r="AG6" s="16">
        <f t="shared" si="3"/>
        <v>0</v>
      </c>
      <c r="AH6" s="16">
        <f t="shared" si="3"/>
        <v>39.39</v>
      </c>
      <c r="AI6" s="16">
        <f t="shared" si="3"/>
        <v>0</v>
      </c>
      <c r="AJ6" s="16">
        <f t="shared" si="3"/>
        <v>23.96</v>
      </c>
      <c r="AK6" s="16">
        <f t="shared" si="3"/>
        <v>0</v>
      </c>
      <c r="AL6" s="16">
        <f t="shared" si="3"/>
        <v>6.91</v>
      </c>
      <c r="AM6" s="16">
        <f t="shared" si="3"/>
        <v>0</v>
      </c>
      <c r="AN6" s="16">
        <f t="shared" si="3"/>
        <v>874.59</v>
      </c>
      <c r="AO6" s="16">
        <f t="shared" si="3"/>
        <v>0</v>
      </c>
      <c r="AP6" s="16">
        <f t="shared" si="3"/>
        <v>0</v>
      </c>
      <c r="AQ6" s="16">
        <f t="shared" si="3"/>
        <v>0</v>
      </c>
      <c r="AR6" s="16">
        <f t="shared" si="3"/>
        <v>0</v>
      </c>
      <c r="AS6" s="16">
        <f t="shared" si="3"/>
        <v>0</v>
      </c>
      <c r="AT6" s="20">
        <f>IF(C3="是",ROUND($A$3*AT5/$B$3,2),0)</f>
        <v>3718.64</v>
      </c>
      <c r="AU6" s="2170"/>
      <c r="AV6" s="15" t="s">
        <v>1839</v>
      </c>
      <c r="AW6" s="2168"/>
      <c r="AX6" s="2168"/>
      <c r="AY6" s="21">
        <f>IF(AY3&gt;0,AY3,ROUND($A$3*AZ5/$B$3,2))</f>
        <v>34567.79</v>
      </c>
      <c r="AZ6" s="16" t="s">
        <v>3</v>
      </c>
      <c r="BA6" s="16">
        <f>ROUND($AY$6*BA5/$AZ$5,2)</f>
        <v>33942.6</v>
      </c>
      <c r="BB6" s="16">
        <f>ROUND($AY$6*BB5/$AZ$5,2)</f>
        <v>13783.89</v>
      </c>
      <c r="BC6" s="16">
        <f t="shared" ref="BC6:BH6" si="4">ROUND($AY$6*BC5/$AZ$5,2)</f>
        <v>6555.92</v>
      </c>
      <c r="BD6" s="16">
        <f t="shared" si="4"/>
        <v>1463.33</v>
      </c>
      <c r="BE6" s="16">
        <f t="shared" si="4"/>
        <v>3602.71</v>
      </c>
      <c r="BF6" s="16">
        <f t="shared" si="4"/>
        <v>8536.75</v>
      </c>
      <c r="BG6" s="16">
        <f t="shared" si="4"/>
        <v>0</v>
      </c>
      <c r="BH6" s="16">
        <f t="shared" si="4"/>
        <v>0</v>
      </c>
      <c r="BI6" s="16">
        <f t="shared" ref="BI6:BT6" si="5">ROUND($AY$6*BI5/$AZ$5,2)</f>
        <v>0</v>
      </c>
      <c r="BJ6" s="16">
        <f t="shared" si="5"/>
        <v>0</v>
      </c>
      <c r="BK6" s="16">
        <f t="shared" si="5"/>
        <v>0</v>
      </c>
      <c r="BL6" s="16">
        <f t="shared" si="5"/>
        <v>625.19000000000005</v>
      </c>
      <c r="BM6" s="16">
        <f t="shared" si="5"/>
        <v>0</v>
      </c>
      <c r="BN6" s="16">
        <f t="shared" si="5"/>
        <v>0</v>
      </c>
      <c r="BO6" s="16">
        <f t="shared" si="5"/>
        <v>0</v>
      </c>
      <c r="BP6" s="16">
        <f t="shared" si="5"/>
        <v>0</v>
      </c>
      <c r="BQ6" s="16">
        <f t="shared" si="5"/>
        <v>4.9000000000000004</v>
      </c>
      <c r="BR6" s="16">
        <f t="shared" si="5"/>
        <v>620.29</v>
      </c>
      <c r="BS6" s="16">
        <f t="shared" si="5"/>
        <v>0</v>
      </c>
      <c r="BT6" s="22">
        <f t="shared" si="5"/>
        <v>0</v>
      </c>
    </row>
    <row r="7" spans="1:72" s="2161" customFormat="1" ht="24.75">
      <c r="A7" s="2103" t="s">
        <v>1840</v>
      </c>
      <c r="B7" s="2103" t="s">
        <v>1841</v>
      </c>
      <c r="C7" s="2103" t="s">
        <v>1842</v>
      </c>
      <c r="D7" s="2103" t="s">
        <v>1843</v>
      </c>
      <c r="E7" s="2103" t="s">
        <v>1844</v>
      </c>
      <c r="F7" s="2103" t="s">
        <v>1845</v>
      </c>
      <c r="G7" s="2172" t="s">
        <v>1846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1847</v>
      </c>
      <c r="AV7" s="23" t="s">
        <v>1848</v>
      </c>
      <c r="AW7" s="2160" t="s">
        <v>1849</v>
      </c>
      <c r="AX7" s="23" t="s">
        <v>1842</v>
      </c>
      <c r="AY7" s="1801" t="s">
        <v>1850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1851</v>
      </c>
      <c r="H8" s="2178" t="s">
        <v>1852</v>
      </c>
      <c r="I8" s="2179"/>
      <c r="J8" s="1816"/>
      <c r="K8" s="1816"/>
      <c r="L8" s="1816"/>
      <c r="M8" s="1816"/>
      <c r="N8" s="1816"/>
      <c r="O8" s="1816"/>
      <c r="P8" s="1816"/>
      <c r="Q8" s="1816"/>
      <c r="R8" s="1816"/>
      <c r="S8" s="1816"/>
      <c r="T8" s="1816"/>
      <c r="U8" s="1816"/>
      <c r="V8" s="2180"/>
      <c r="W8" s="1816"/>
      <c r="X8" s="1816"/>
      <c r="Y8" s="1816"/>
      <c r="Z8" s="1816"/>
      <c r="AA8" s="2180"/>
      <c r="AB8" s="2181"/>
      <c r="AC8" s="980" t="s">
        <v>1853</v>
      </c>
      <c r="AD8" s="2182"/>
      <c r="AE8" s="2174"/>
      <c r="AF8" s="1816"/>
      <c r="AG8" s="1816"/>
      <c r="AH8" s="1816"/>
      <c r="AI8" s="1816"/>
      <c r="AJ8" s="1816"/>
      <c r="AK8" s="1816"/>
      <c r="AL8" s="1816"/>
      <c r="AM8" s="1816"/>
      <c r="AN8" s="1816"/>
      <c r="AO8" s="1816"/>
      <c r="AP8" s="1816"/>
      <c r="AQ8" s="1816"/>
      <c r="AR8" s="1816"/>
      <c r="AS8" s="1816"/>
      <c r="AT8" s="1291" t="s">
        <v>1854</v>
      </c>
      <c r="AU8" s="2176" t="s">
        <v>1855</v>
      </c>
      <c r="AV8" s="1291"/>
      <c r="AW8" s="2159"/>
      <c r="AX8" s="1291"/>
      <c r="AY8" s="2160" t="s">
        <v>1856</v>
      </c>
      <c r="AZ8" s="1815" t="s">
        <v>1857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1858</v>
      </c>
      <c r="I9" s="2185" t="s">
        <v>3034</v>
      </c>
      <c r="J9" s="980"/>
      <c r="K9" s="2185" t="s">
        <v>3034</v>
      </c>
      <c r="L9" s="980"/>
      <c r="M9" s="2185" t="s">
        <v>3036</v>
      </c>
      <c r="N9" s="980"/>
      <c r="O9" s="2185" t="s">
        <v>3036</v>
      </c>
      <c r="P9" s="980"/>
      <c r="Q9" s="2185" t="s">
        <v>3036</v>
      </c>
      <c r="R9" s="980"/>
      <c r="S9" s="2185"/>
      <c r="T9" s="980"/>
      <c r="U9" s="2185"/>
      <c r="V9" s="980"/>
      <c r="W9" s="2185"/>
      <c r="X9" s="2186"/>
      <c r="Y9" s="2185"/>
      <c r="Z9" s="980"/>
      <c r="AA9" s="2185"/>
      <c r="AB9" s="980"/>
      <c r="AC9" s="2177" t="s">
        <v>1858</v>
      </c>
      <c r="AD9" s="15" t="s">
        <v>1859</v>
      </c>
      <c r="AE9" s="1297"/>
      <c r="AF9" s="15" t="s">
        <v>1860</v>
      </c>
      <c r="AG9" s="1297"/>
      <c r="AH9" s="15" t="s">
        <v>1859</v>
      </c>
      <c r="AI9" s="1297"/>
      <c r="AJ9" s="15" t="s">
        <v>1860</v>
      </c>
      <c r="AK9" s="1297"/>
      <c r="AL9" s="15" t="s">
        <v>1859</v>
      </c>
      <c r="AM9" s="1297"/>
      <c r="AN9" s="15" t="s">
        <v>1860</v>
      </c>
      <c r="AO9" s="1297"/>
      <c r="AP9" s="15" t="s">
        <v>1859</v>
      </c>
      <c r="AQ9" s="1297"/>
      <c r="AR9" s="15" t="s">
        <v>1860</v>
      </c>
      <c r="AS9" s="2187"/>
      <c r="AT9" s="2176"/>
      <c r="AU9" s="2176" t="s">
        <v>1861</v>
      </c>
      <c r="AV9" s="1291"/>
      <c r="AW9" s="2159"/>
      <c r="AX9" s="1291"/>
      <c r="AY9" s="28"/>
      <c r="AZ9" s="28" t="s">
        <v>1851</v>
      </c>
      <c r="BA9" s="2188" t="s">
        <v>1862</v>
      </c>
      <c r="BB9" s="2189"/>
      <c r="BC9" s="1337"/>
      <c r="BD9" s="1337"/>
      <c r="BE9" s="1337"/>
      <c r="BF9" s="1337"/>
      <c r="BG9" s="1337"/>
      <c r="BH9" s="1337"/>
      <c r="BI9" s="1337"/>
      <c r="BJ9" s="1337"/>
      <c r="BK9" s="2190"/>
      <c r="BL9" s="15" t="s">
        <v>1863</v>
      </c>
      <c r="BM9" s="1816"/>
      <c r="BN9" s="2179"/>
      <c r="BO9" s="1816"/>
      <c r="BP9" s="1816"/>
      <c r="BQ9" s="1816"/>
      <c r="BR9" s="1816"/>
      <c r="BS9" s="1816"/>
      <c r="BT9" s="26"/>
    </row>
    <row r="10" spans="1:72" s="2183" customFormat="1" ht="12.75">
      <c r="A10" s="2176"/>
      <c r="B10" s="2176"/>
      <c r="C10" s="2176"/>
      <c r="D10" s="2176"/>
      <c r="E10" s="2176"/>
      <c r="F10" s="2176"/>
      <c r="G10" s="1291"/>
      <c r="H10" s="28"/>
      <c r="I10" s="2185" t="s">
        <v>3035</v>
      </c>
      <c r="J10" s="980"/>
      <c r="K10" s="2191" t="s">
        <v>3035</v>
      </c>
      <c r="L10" s="980"/>
      <c r="M10" s="2191" t="s">
        <v>3037</v>
      </c>
      <c r="N10" s="980"/>
      <c r="O10" s="2191" t="s">
        <v>3037</v>
      </c>
      <c r="P10" s="980"/>
      <c r="Q10" s="2191" t="s">
        <v>3038</v>
      </c>
      <c r="R10" s="980"/>
      <c r="S10" s="2191"/>
      <c r="T10" s="980"/>
      <c r="U10" s="2191"/>
      <c r="V10" s="980"/>
      <c r="W10" s="2191"/>
      <c r="X10" s="980"/>
      <c r="Y10" s="2191"/>
      <c r="Z10" s="980"/>
      <c r="AA10" s="2191"/>
      <c r="AB10" s="980"/>
      <c r="AC10" s="1291"/>
      <c r="AD10" s="15" t="s">
        <v>1864</v>
      </c>
      <c r="AE10" s="2192"/>
      <c r="AF10" s="15" t="s">
        <v>1864</v>
      </c>
      <c r="AG10" s="2192"/>
      <c r="AH10" s="15" t="s">
        <v>1865</v>
      </c>
      <c r="AI10" s="2192"/>
      <c r="AJ10" s="15" t="s">
        <v>1865</v>
      </c>
      <c r="AK10" s="2192"/>
      <c r="AL10" s="15" t="s">
        <v>1866</v>
      </c>
      <c r="AM10" s="1297"/>
      <c r="AN10" s="15" t="s">
        <v>1866</v>
      </c>
      <c r="AO10" s="1297"/>
      <c r="AP10" s="15" t="s">
        <v>1867</v>
      </c>
      <c r="AQ10" s="1297"/>
      <c r="AR10" s="15" t="s">
        <v>1867</v>
      </c>
      <c r="AS10" s="1297"/>
      <c r="AT10" s="2176"/>
      <c r="AU10" s="2176"/>
      <c r="AV10" s="1291"/>
      <c r="AW10" s="2159"/>
      <c r="AX10" s="1291"/>
      <c r="AY10" s="28"/>
      <c r="AZ10" s="28"/>
      <c r="BA10" s="2193" t="s">
        <v>1858</v>
      </c>
      <c r="BB10" s="2194"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1858</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t="s">
        <v>3004</v>
      </c>
      <c r="J11" s="2197"/>
      <c r="K11" s="2196" t="s">
        <v>3006</v>
      </c>
      <c r="L11" s="2197"/>
      <c r="M11" s="2196" t="s">
        <v>3043</v>
      </c>
      <c r="N11" s="2197"/>
      <c r="O11" s="2196" t="s">
        <v>3041</v>
      </c>
      <c r="P11" s="2197"/>
      <c r="Q11" s="2196" t="s">
        <v>3002</v>
      </c>
      <c r="R11" s="2197"/>
      <c r="S11" s="2196"/>
      <c r="T11" s="2197"/>
      <c r="U11" s="2196"/>
      <c r="V11" s="2197"/>
      <c r="W11" s="2196"/>
      <c r="X11" s="2197"/>
      <c r="Y11" s="2196"/>
      <c r="Z11" s="2197"/>
      <c r="AA11" s="2196"/>
      <c r="AB11" s="2197"/>
      <c r="AC11" s="1291"/>
      <c r="AD11" s="2198" t="s">
        <v>1868</v>
      </c>
      <c r="AE11" s="1817"/>
      <c r="AF11" s="2198" t="s">
        <v>1868</v>
      </c>
      <c r="AG11" s="1817"/>
      <c r="AH11" s="2198" t="s">
        <v>1869</v>
      </c>
      <c r="AI11" s="2199"/>
      <c r="AJ11" s="2198" t="s">
        <v>1869</v>
      </c>
      <c r="AK11" s="1817"/>
      <c r="AL11" s="1815"/>
      <c r="AM11" s="1817"/>
      <c r="AN11" s="1815"/>
      <c r="AO11" s="1817"/>
      <c r="AP11" s="1815"/>
      <c r="AQ11" s="1817"/>
      <c r="AR11" s="1815"/>
      <c r="AS11" s="1817"/>
      <c r="AT11" s="2159"/>
      <c r="AU11" s="2176"/>
      <c r="AV11" s="1291"/>
      <c r="AW11" s="2159"/>
      <c r="AX11" s="1291"/>
      <c r="AY11" s="28"/>
      <c r="AZ11" s="28"/>
      <c r="BA11" s="28"/>
      <c r="BB11" s="2181" t="str">
        <f>I10</f>
        <v>住宅</v>
      </c>
      <c r="BC11" s="2181" t="str">
        <f>K10</f>
        <v>住宅</v>
      </c>
      <c r="BD11" s="2181" t="str">
        <f>M10</f>
        <v>仓储</v>
      </c>
      <c r="BE11" s="2181" t="str">
        <f>O10</f>
        <v>仓储</v>
      </c>
      <c r="BF11" s="2181" t="str">
        <f>Q10</f>
        <v>车库</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0" t="s">
        <v>1871</v>
      </c>
      <c r="W12" s="11" t="s">
        <v>1870</v>
      </c>
      <c r="X12" s="11" t="s">
        <v>1871</v>
      </c>
      <c r="Y12" s="11" t="s">
        <v>1870</v>
      </c>
      <c r="Z12" s="11" t="s">
        <v>1871</v>
      </c>
      <c r="AA12" s="11" t="s">
        <v>1870</v>
      </c>
      <c r="AB12" s="11" t="s">
        <v>1871</v>
      </c>
      <c r="AC12" s="2203"/>
      <c r="AD12" s="1804"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1" t="s">
        <v>1871</v>
      </c>
      <c r="AT12" s="2204"/>
      <c r="AU12" s="2201"/>
      <c r="AV12" s="31"/>
      <c r="AW12" s="2160"/>
      <c r="AX12" s="31"/>
      <c r="AY12" s="2205"/>
      <c r="AZ12" s="28"/>
      <c r="BA12" s="2193"/>
      <c r="BB12" s="24" t="str">
        <f>I11</f>
        <v>平层住宅用房</v>
      </c>
      <c r="BC12" s="2206" t="str">
        <f>K11</f>
        <v>叠拼住宅用房</v>
      </c>
      <c r="BD12" s="2206" t="str">
        <f>M11</f>
        <v>地下普通仓储用房</v>
      </c>
      <c r="BE12" s="2181" t="str">
        <f>O11</f>
        <v>地下叠拼仓储用房</v>
      </c>
      <c r="BF12" s="2181" t="str">
        <f>Q11</f>
        <v>地下车库用房</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6.5" customHeight="1">
      <c r="A13" s="1271"/>
      <c r="B13" s="2961" t="s">
        <v>3350</v>
      </c>
      <c r="C13" s="2984" t="s">
        <v>3355</v>
      </c>
      <c r="D13" s="2207" t="s">
        <v>3013</v>
      </c>
      <c r="E13" s="16">
        <f>IF($C$3="是",ROUND($A$3*G13/$B$3,2),ROUND($A$3*(G13-AT13)/$B$3,2))</f>
        <v>35821.53</v>
      </c>
      <c r="F13" s="32"/>
      <c r="G13" s="33">
        <f>H13+AC13+AT13</f>
        <v>90943.81</v>
      </c>
      <c r="H13" s="20">
        <f>SUMIF(I$12:AB$12,"总值",I13:AB13)</f>
        <v>90943.81</v>
      </c>
      <c r="I13" s="2208">
        <f>新抵押面积!J1</f>
        <v>49341.37</v>
      </c>
      <c r="J13" s="2208"/>
      <c r="K13" s="2208">
        <f>新抵押面积!L1</f>
        <v>23467.85</v>
      </c>
      <c r="L13" s="2208"/>
      <c r="M13" s="2208">
        <f>新抵押面积!P1</f>
        <v>5238.1899999999996</v>
      </c>
      <c r="N13" s="2208"/>
      <c r="O13" s="2208">
        <f>新抵押面积!N1</f>
        <v>12896.4</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预测报告</v>
      </c>
      <c r="AX13" s="11" t="str">
        <f t="shared" si="6"/>
        <v>1-18（不含4）</v>
      </c>
      <c r="AY13" s="1804">
        <f>ROUND($AY$6*AZ13/$AZ$5,2)</f>
        <v>25405.85</v>
      </c>
      <c r="AZ13" s="16">
        <f>BA13+BL13</f>
        <v>90943.81</v>
      </c>
      <c r="BA13" s="16">
        <f>SUM(BB13:BK13)</f>
        <v>90943.81</v>
      </c>
      <c r="BB13" s="16">
        <f>IF($D13="是",I13-J13,0)</f>
        <v>49341.37</v>
      </c>
      <c r="BC13" s="16">
        <f>IF($D13="是",K13-L13,0)</f>
        <v>23467.85</v>
      </c>
      <c r="BD13" s="16">
        <f>IF($D13="是",M13-N13,0)</f>
        <v>5238.1899999999996</v>
      </c>
      <c r="BE13" s="16">
        <f>IF($D13="是",O13-P13,0)</f>
        <v>12896.4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2961"/>
      <c r="C14" s="2984"/>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2961"/>
      <c r="C15" s="2984"/>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1"/>
      <c r="B16" s="2961" t="s">
        <v>3040</v>
      </c>
      <c r="C16" s="2984" t="s">
        <v>3039</v>
      </c>
      <c r="D16" s="2207" t="s">
        <v>3014</v>
      </c>
      <c r="E16" s="16">
        <f>IF($C$3="是",ROUND($A$3*G16/$B$3,2),ROUND($A$3*(G16-AT16)/$B$3,2))</f>
        <v>101.46</v>
      </c>
      <c r="F16" s="32"/>
      <c r="G16" s="33">
        <f>H16+AC16+AT16</f>
        <v>257.58999999999997</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257.58999999999997</v>
      </c>
      <c r="AD16" s="2209">
        <v>20</v>
      </c>
      <c r="AE16" s="2209"/>
      <c r="AF16" s="2209">
        <v>76.760000000000005</v>
      </c>
      <c r="AG16" s="2209"/>
      <c r="AH16" s="2209">
        <v>100</v>
      </c>
      <c r="AI16" s="2209"/>
      <c r="AJ16" s="2209">
        <v>60.83</v>
      </c>
      <c r="AK16" s="2209"/>
      <c r="AL16" s="2209"/>
      <c r="AM16" s="2209"/>
      <c r="AN16" s="2209"/>
      <c r="AO16" s="2209"/>
      <c r="AP16" s="2209"/>
      <c r="AQ16" s="2209"/>
      <c r="AR16" s="2209"/>
      <c r="AS16" s="2209"/>
      <c r="AT16" s="2210"/>
      <c r="AU16" s="2211"/>
      <c r="AV16" s="11">
        <f t="shared" si="6"/>
        <v>0</v>
      </c>
      <c r="AW16" s="11" t="str">
        <f t="shared" si="6"/>
        <v>规证</v>
      </c>
      <c r="AX16" s="11" t="str">
        <f t="shared" si="6"/>
        <v>4#配套楼</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hidden="1">
      <c r="A17" s="1271"/>
      <c r="B17" s="2961"/>
      <c r="C17" s="2984"/>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2961"/>
      <c r="C18" s="298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2961"/>
      <c r="C19" s="298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2961"/>
      <c r="C20" s="298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2961"/>
      <c r="C21" s="298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2961"/>
      <c r="C22" s="298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2961"/>
      <c r="C23" s="298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2961"/>
      <c r="C24" s="298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2961"/>
      <c r="C25" s="298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2961"/>
      <c r="C26" s="298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2961"/>
      <c r="C27" s="298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2961"/>
      <c r="C28" s="298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2961"/>
      <c r="C29" s="298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2961"/>
      <c r="C30" s="298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1" t="s">
        <v>3040</v>
      </c>
      <c r="C31" s="2994" t="s">
        <v>3045</v>
      </c>
      <c r="D31" s="2212" t="s">
        <v>3013</v>
      </c>
      <c r="E31" s="35">
        <f t="shared" si="7"/>
        <v>16636.72</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3"/>
      <c r="AV31" s="1793">
        <f t="shared" si="11"/>
        <v>0</v>
      </c>
      <c r="AW31" s="1793" t="str">
        <f t="shared" si="12"/>
        <v>规证</v>
      </c>
      <c r="AX31" s="1793" t="str">
        <f t="shared" si="13"/>
        <v>住宅地下车库</v>
      </c>
      <c r="AY31" s="42">
        <f t="shared" si="14"/>
        <v>9161.94</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1897</v>
      </c>
      <c r="B1" s="1391"/>
      <c r="C1" s="1391"/>
      <c r="D1" s="1391"/>
      <c r="E1" s="1391"/>
      <c r="F1" s="1391"/>
      <c r="G1" s="1391"/>
      <c r="H1" s="1391"/>
      <c r="I1" s="1391"/>
      <c r="J1" s="1391"/>
      <c r="K1" s="1391"/>
      <c r="L1" s="1391"/>
      <c r="M1" s="1391"/>
      <c r="N1" s="1391"/>
      <c r="O1" s="1391"/>
      <c r="P1" s="1391"/>
    </row>
    <row r="2" spans="1:16" ht="15">
      <c r="A2" s="3105" t="s">
        <v>1898</v>
      </c>
      <c r="B2" s="3105"/>
      <c r="C2" s="3105"/>
      <c r="D2" s="966" t="s">
        <v>1874</v>
      </c>
      <c r="E2" s="2221" t="s">
        <v>1875</v>
      </c>
      <c r="F2" s="1391"/>
      <c r="G2" s="2222"/>
      <c r="H2" s="2223"/>
      <c r="I2" s="2224" t="s">
        <v>1899</v>
      </c>
      <c r="J2" s="1391"/>
      <c r="K2" s="1391"/>
      <c r="L2" s="1391"/>
      <c r="M2" s="1391"/>
      <c r="N2" s="1426"/>
      <c r="O2" s="1391"/>
      <c r="P2" s="1391"/>
    </row>
    <row r="3" spans="1:16" ht="15.75" thickBot="1">
      <c r="A3" s="3106" t="s">
        <v>1872</v>
      </c>
      <c r="B3" s="3106"/>
      <c r="C3" s="3106"/>
      <c r="D3" s="46">
        <f>'数据-基础表'!AY6</f>
        <v>34567.79</v>
      </c>
      <c r="E3" s="46">
        <f>'数据-基础表'!AZ5</f>
        <v>123740.26</v>
      </c>
      <c r="F3" s="1391"/>
      <c r="G3" s="1398"/>
      <c r="H3" s="1246" t="s">
        <v>1873</v>
      </c>
      <c r="I3" s="55">
        <f>ROUND('数据-基础表'!B3/'数据-基础表'!A3,2)</f>
        <v>2.54</v>
      </c>
      <c r="J3" s="1391"/>
      <c r="K3" s="1391"/>
      <c r="L3" s="1391"/>
      <c r="M3" s="1391"/>
      <c r="N3" s="1426"/>
      <c r="O3" s="1391"/>
      <c r="P3" s="1391"/>
    </row>
    <row r="4" spans="1:16" ht="15">
      <c r="A4" s="3107"/>
      <c r="B4" s="3108"/>
      <c r="C4" s="3109"/>
      <c r="D4" s="2225" t="s">
        <v>1874</v>
      </c>
      <c r="E4" s="2226" t="s">
        <v>1875</v>
      </c>
      <c r="F4" s="1391"/>
      <c r="G4" s="2227" t="s">
        <v>1900</v>
      </c>
      <c r="H4" s="1246" t="s">
        <v>1880</v>
      </c>
      <c r="I4" s="55">
        <f>ROUND(SUMIF('数据-基础表'!I9:AS9,"地上",'数据-基础表'!I5:AS5)/'数据-基础表'!A3,2)</f>
        <v>1.39</v>
      </c>
      <c r="J4" s="1391"/>
      <c r="K4" s="1391"/>
      <c r="L4" s="1391"/>
      <c r="M4" s="1391"/>
      <c r="N4" s="1426"/>
      <c r="O4" s="1391"/>
      <c r="P4" s="1391"/>
    </row>
    <row r="5" spans="1:16">
      <c r="A5" s="47" t="s">
        <v>1876</v>
      </c>
      <c r="B5" s="3110" t="s">
        <v>1877</v>
      </c>
      <c r="C5" s="3110"/>
      <c r="D5" s="48">
        <f>ROUND($D$3*E5/$E$3,2)</f>
        <v>20339.810000000001</v>
      </c>
      <c r="E5" s="49">
        <f>SUMIF('数据-基础表'!$11:$11,"住宅",'数据-基础表'!$5:$5)</f>
        <v>72809.22</v>
      </c>
      <c r="F5" s="1391"/>
      <c r="G5" s="1398"/>
      <c r="H5" s="1246" t="s">
        <v>1873</v>
      </c>
      <c r="I5" s="55">
        <f>ROUND(E31/D31,2)</f>
        <v>3.58</v>
      </c>
      <c r="J5" s="1391"/>
      <c r="K5" s="1391"/>
      <c r="L5" s="1391"/>
      <c r="M5" s="1391"/>
      <c r="N5" s="1391"/>
      <c r="O5" s="1391"/>
      <c r="P5" s="1391"/>
    </row>
    <row r="6" spans="1:16" ht="15" thickBot="1">
      <c r="A6" s="2228"/>
      <c r="B6" s="3110" t="s">
        <v>1878</v>
      </c>
      <c r="C6" s="3110"/>
      <c r="D6" s="48">
        <f>ROUND($D$3*E6/$E$3,2)</f>
        <v>14227.98</v>
      </c>
      <c r="E6" s="49">
        <f>E3-E5</f>
        <v>50931.039999999994</v>
      </c>
      <c r="F6" s="1391"/>
      <c r="G6" s="2229" t="s">
        <v>1879</v>
      </c>
      <c r="H6" s="1398" t="s">
        <v>1880</v>
      </c>
      <c r="I6" s="938">
        <f>ROUND(F31/D31,2)</f>
        <v>2.11</v>
      </c>
      <c r="J6" s="1391"/>
      <c r="K6" s="1391"/>
      <c r="L6" s="1391"/>
      <c r="M6" s="1391"/>
      <c r="N6" s="1391"/>
      <c r="O6" s="1391"/>
      <c r="P6" s="1391"/>
    </row>
    <row r="7" spans="1:16" ht="15">
      <c r="A7" s="3102"/>
      <c r="B7" s="3103"/>
      <c r="C7" s="3104"/>
      <c r="D7" s="2225" t="s">
        <v>1874</v>
      </c>
      <c r="E7" s="2230" t="s">
        <v>1881</v>
      </c>
      <c r="F7" s="1391"/>
      <c r="G7" s="2222" t="s">
        <v>1882</v>
      </c>
      <c r="H7" s="64"/>
      <c r="I7" s="419"/>
      <c r="J7" s="1391"/>
      <c r="K7" s="1391"/>
      <c r="L7" s="1391"/>
      <c r="M7" s="1391"/>
      <c r="N7" s="1391"/>
      <c r="O7" s="1391"/>
      <c r="P7" s="1391"/>
    </row>
    <row r="8" spans="1:16">
      <c r="A8" s="47" t="s">
        <v>1883</v>
      </c>
      <c r="B8" s="50" t="s">
        <v>1884</v>
      </c>
      <c r="C8" s="48" t="s">
        <v>1885</v>
      </c>
      <c r="D8" s="48">
        <f t="shared" ref="D8:D15" si="0">ROUND($D$3*E8/$E$3,2)</f>
        <v>20339.810000000001</v>
      </c>
      <c r="E8" s="51">
        <f>SUMIF('数据-基础表'!BB10:BK10,"地上",'数据-基础表'!BB5:BK5)</f>
        <v>72809.22</v>
      </c>
      <c r="F8" s="1391"/>
      <c r="G8" s="2231"/>
      <c r="H8" s="2231"/>
      <c r="I8" s="1391"/>
      <c r="J8" s="1391"/>
      <c r="K8" s="1391"/>
      <c r="L8" s="1391"/>
      <c r="M8" s="1391"/>
      <c r="N8" s="1391"/>
      <c r="O8" s="1391"/>
      <c r="P8" s="1391"/>
    </row>
    <row r="9" spans="1:16">
      <c r="A9" s="2232"/>
      <c r="B9" s="2233"/>
      <c r="C9" s="48" t="s">
        <v>1886</v>
      </c>
      <c r="D9" s="48">
        <f t="shared" si="0"/>
        <v>0</v>
      </c>
      <c r="E9" s="52">
        <v>0</v>
      </c>
      <c r="F9" s="1391"/>
      <c r="G9" s="2231"/>
      <c r="H9" s="2231"/>
      <c r="I9" s="1391"/>
      <c r="J9" s="1391"/>
      <c r="K9" s="1391"/>
      <c r="L9" s="1391"/>
      <c r="M9" s="1391"/>
      <c r="N9" s="1391"/>
      <c r="O9" s="1391"/>
      <c r="P9" s="1391"/>
    </row>
    <row r="10" spans="1:16">
      <c r="A10" s="2232"/>
      <c r="B10" s="2233"/>
      <c r="C10" s="48" t="s">
        <v>1895</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1887</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1888</v>
      </c>
      <c r="D12" s="48">
        <f t="shared" si="0"/>
        <v>5066.04</v>
      </c>
      <c r="E12" s="51">
        <f>SUMPRODUCT(('数据-基础表'!BB10:BK10="地下")*('数据-基础表'!BB11:BK11="仓储")*('数据-基础表'!BB5:BK5))</f>
        <v>18134.59</v>
      </c>
      <c r="F12" s="1391"/>
      <c r="G12" s="2231"/>
      <c r="H12" s="2231"/>
      <c r="I12" s="1391"/>
      <c r="J12" s="1391"/>
      <c r="K12" s="1391"/>
      <c r="L12" s="1391"/>
      <c r="M12" s="1391"/>
      <c r="N12" s="1391"/>
      <c r="O12" s="1391"/>
      <c r="P12" s="1391"/>
    </row>
    <row r="13" spans="1:16">
      <c r="A13" s="2232"/>
      <c r="B13" s="2233"/>
      <c r="C13" s="48" t="s">
        <v>1889</v>
      </c>
      <c r="D13" s="48">
        <f t="shared" si="0"/>
        <v>8536.75</v>
      </c>
      <c r="E13" s="51">
        <f>SUMPRODUCT(('数据-基础表'!BB10:BK10="地下")*('数据-基础表'!BB11:BK11="车库")*('数据-基础表'!BB5:BK5))</f>
        <v>30558.489999999998</v>
      </c>
      <c r="F13" s="1391"/>
      <c r="G13" s="2231"/>
      <c r="H13" s="2231"/>
      <c r="I13" s="1391"/>
      <c r="J13" s="1391"/>
      <c r="K13" s="1391"/>
      <c r="L13" s="1391"/>
      <c r="M13" s="1391"/>
      <c r="N13" s="1391"/>
      <c r="O13" s="1391"/>
      <c r="P13" s="1391"/>
    </row>
    <row r="14" spans="1:16">
      <c r="A14" s="2232"/>
      <c r="B14" s="2233"/>
      <c r="C14" s="48" t="s">
        <v>1901</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1896</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1890</v>
      </c>
      <c r="D16" s="50">
        <f>SUM(D8:D15)</f>
        <v>33942.600000000006</v>
      </c>
      <c r="E16" s="53">
        <f>SUM(E8:E15)</f>
        <v>121502.29999999999</v>
      </c>
      <c r="F16" s="1391"/>
      <c r="G16" s="2231"/>
      <c r="H16" s="2234" t="s">
        <v>1902</v>
      </c>
      <c r="I16" s="2235"/>
      <c r="J16" s="1391"/>
      <c r="K16" s="3099" t="s">
        <v>1902</v>
      </c>
      <c r="L16" s="3100"/>
      <c r="M16" s="3100"/>
      <c r="N16" s="3100"/>
      <c r="O16" s="3100"/>
      <c r="P16" s="3101"/>
    </row>
    <row r="17" spans="1:19" ht="15">
      <c r="A17" s="2236" t="s">
        <v>1903</v>
      </c>
      <c r="B17" s="2237" t="s">
        <v>1904</v>
      </c>
      <c r="C17" s="2238" t="s">
        <v>1905</v>
      </c>
      <c r="D17" s="2239" t="s">
        <v>1893</v>
      </c>
      <c r="E17" s="2240" t="s">
        <v>1894</v>
      </c>
      <c r="F17" s="2241"/>
      <c r="G17" s="2242"/>
      <c r="H17" s="2243" t="s">
        <v>1906</v>
      </c>
      <c r="I17" s="2244" t="s">
        <v>1891</v>
      </c>
      <c r="J17" s="1391"/>
      <c r="K17" s="3096" t="s">
        <v>1907</v>
      </c>
      <c r="L17" s="3097"/>
      <c r="M17" s="3098"/>
      <c r="N17" s="3096" t="s">
        <v>1908</v>
      </c>
      <c r="O17" s="3097"/>
      <c r="P17" s="3098"/>
      <c r="R17" s="2222" t="s">
        <v>1909</v>
      </c>
      <c r="S17" s="64"/>
    </row>
    <row r="18" spans="1:19" ht="15">
      <c r="A18" s="2232"/>
      <c r="B18" s="2245"/>
      <c r="C18" s="2246"/>
      <c r="D18" s="2247"/>
      <c r="E18" s="2248" t="s">
        <v>1910</v>
      </c>
      <c r="F18" s="2249" t="s">
        <v>1911</v>
      </c>
      <c r="G18" s="2250" t="s">
        <v>1912</v>
      </c>
      <c r="H18" s="1261" t="s">
        <v>1913</v>
      </c>
      <c r="I18" s="2251" t="s">
        <v>1914</v>
      </c>
      <c r="J18" s="1391"/>
      <c r="K18" s="1261" t="s">
        <v>1915</v>
      </c>
      <c r="L18" s="2252" t="s">
        <v>1916</v>
      </c>
      <c r="M18" s="1045" t="s">
        <v>1917</v>
      </c>
      <c r="N18" s="1261" t="s">
        <v>1915</v>
      </c>
      <c r="O18" s="2252" t="s">
        <v>1916</v>
      </c>
      <c r="P18" s="1045" t="s">
        <v>1917</v>
      </c>
      <c r="R18" s="1246" t="s">
        <v>1918</v>
      </c>
      <c r="S18" s="1246" t="s">
        <v>1919</v>
      </c>
    </row>
    <row r="19" spans="1:19">
      <c r="A19" s="2253"/>
      <c r="B19" s="50" t="s">
        <v>1892</v>
      </c>
      <c r="C19" s="2254" t="str">
        <f>定义!A3</f>
        <v>平层住宅用房</v>
      </c>
      <c r="D19" s="48">
        <f>ROUND($D$3*E19/$E$3,2)</f>
        <v>13783.89</v>
      </c>
      <c r="E19" s="56">
        <f t="shared" ref="E19:E26" si="1">SUM(F19:G19)</f>
        <v>49341.37</v>
      </c>
      <c r="F19" s="57">
        <f>'数据-基础表'!I13</f>
        <v>49341.37</v>
      </c>
      <c r="G19" s="58"/>
      <c r="H19" s="722">
        <f>ROUND($D$3*I19/$E$3,2)</f>
        <v>253.89</v>
      </c>
      <c r="I19" s="51">
        <f t="shared" ref="I19:I26" si="2">IF($I$17="自定义",P19,M19)</f>
        <v>908.82</v>
      </c>
      <c r="J19" s="1391"/>
      <c r="K19" s="1390">
        <f t="shared" ref="K19:K26" si="3">ROUND(E$28*E19/E$27,2)</f>
        <v>908.82</v>
      </c>
      <c r="L19" s="1246">
        <f t="shared" ref="L19:L26" si="4">ROUND(IF(COUNTIF(C19,"*住宅*")&gt;0,E$29*E19/E$32,0),2)</f>
        <v>0</v>
      </c>
      <c r="M19" s="1402">
        <f>K19+L19</f>
        <v>908.82</v>
      </c>
      <c r="N19" s="2255"/>
      <c r="O19" s="2256"/>
      <c r="P19" s="1402">
        <f>N19+O19</f>
        <v>0</v>
      </c>
      <c r="R19" s="1246">
        <f t="shared" ref="R19:S26" si="5">D19+H19</f>
        <v>14037.779999999999</v>
      </c>
      <c r="S19" s="1247">
        <f t="shared" si="5"/>
        <v>50250.19</v>
      </c>
    </row>
    <row r="20" spans="1:19">
      <c r="A20" s="2257"/>
      <c r="B20" s="50" t="s">
        <v>1920</v>
      </c>
      <c r="C20" s="2254" t="str">
        <f>定义!A4</f>
        <v>叠拼住宅用房</v>
      </c>
      <c r="D20" s="48">
        <f t="shared" ref="D20:D26" si="6">ROUND($D$3*E20/$E$3,2)</f>
        <v>6555.92</v>
      </c>
      <c r="E20" s="56">
        <f t="shared" si="1"/>
        <v>23467.85</v>
      </c>
      <c r="F20" s="57">
        <f>'数据-基础表'!K13</f>
        <v>23467.85</v>
      </c>
      <c r="G20" s="58"/>
      <c r="H20" s="722">
        <f t="shared" ref="H20:H26" si="7">ROUND($D$3*I20/$E$3,2)</f>
        <v>120.76</v>
      </c>
      <c r="I20" s="51">
        <f t="shared" si="2"/>
        <v>432.26</v>
      </c>
      <c r="J20" s="1391"/>
      <c r="K20" s="1390">
        <f t="shared" si="3"/>
        <v>432.26</v>
      </c>
      <c r="L20" s="1246">
        <f t="shared" si="4"/>
        <v>0</v>
      </c>
      <c r="M20" s="1402">
        <f t="shared" ref="M20:M26" si="8">K20+L20</f>
        <v>432.26</v>
      </c>
      <c r="N20" s="2255"/>
      <c r="O20" s="2256"/>
      <c r="P20" s="1402">
        <f t="shared" ref="P20:P26" si="9">N20+O20</f>
        <v>0</v>
      </c>
      <c r="R20" s="1246">
        <f t="shared" si="5"/>
        <v>6676.68</v>
      </c>
      <c r="S20" s="1247">
        <f t="shared" si="5"/>
        <v>23900.109999999997</v>
      </c>
    </row>
    <row r="21" spans="1:19">
      <c r="A21" s="2257"/>
      <c r="B21" s="50" t="s">
        <v>1920</v>
      </c>
      <c r="C21" s="2962" t="str">
        <f>定义!A6</f>
        <v>地下普通仓储用房</v>
      </c>
      <c r="D21" s="48">
        <f t="shared" si="6"/>
        <v>1463.33</v>
      </c>
      <c r="E21" s="56">
        <f t="shared" si="1"/>
        <v>5238.1899999999996</v>
      </c>
      <c r="F21" s="57"/>
      <c r="G21" s="58">
        <f>'数据-基础表'!M13</f>
        <v>5238.1899999999996</v>
      </c>
      <c r="H21" s="722">
        <f t="shared" si="7"/>
        <v>26.95</v>
      </c>
      <c r="I21" s="51">
        <f t="shared" si="2"/>
        <v>96.48</v>
      </c>
      <c r="J21" s="1391"/>
      <c r="K21" s="1390">
        <f t="shared" si="3"/>
        <v>96.48</v>
      </c>
      <c r="L21" s="1246">
        <f t="shared" si="4"/>
        <v>0</v>
      </c>
      <c r="M21" s="1402">
        <f t="shared" si="8"/>
        <v>96.48</v>
      </c>
      <c r="N21" s="2255"/>
      <c r="O21" s="2256"/>
      <c r="P21" s="1402">
        <f t="shared" si="9"/>
        <v>0</v>
      </c>
      <c r="R21" s="1246">
        <f t="shared" si="5"/>
        <v>1490.28</v>
      </c>
      <c r="S21" s="1247">
        <f t="shared" si="5"/>
        <v>5334.6699999999992</v>
      </c>
    </row>
    <row r="22" spans="1:19">
      <c r="A22" s="2257"/>
      <c r="B22" s="50" t="s">
        <v>1920</v>
      </c>
      <c r="C22" s="60" t="str">
        <f>定义!A7</f>
        <v>地下车库用房</v>
      </c>
      <c r="D22" s="48">
        <f t="shared" si="6"/>
        <v>8536.75</v>
      </c>
      <c r="E22" s="56">
        <f t="shared" si="1"/>
        <v>30558.489999999998</v>
      </c>
      <c r="F22" s="61"/>
      <c r="G22" s="62">
        <f>'数据-基础表'!Q31</f>
        <v>30558.489999999998</v>
      </c>
      <c r="H22" s="722">
        <f t="shared" si="7"/>
        <v>157.24</v>
      </c>
      <c r="I22" s="51">
        <f t="shared" si="2"/>
        <v>562.86</v>
      </c>
      <c r="J22" s="1391"/>
      <c r="K22" s="1390">
        <f t="shared" si="3"/>
        <v>562.86</v>
      </c>
      <c r="L22" s="1246">
        <f t="shared" si="4"/>
        <v>0</v>
      </c>
      <c r="M22" s="1402">
        <f t="shared" si="8"/>
        <v>562.86</v>
      </c>
      <c r="N22" s="2255"/>
      <c r="O22" s="2256"/>
      <c r="P22" s="1402">
        <f t="shared" si="9"/>
        <v>0</v>
      </c>
      <c r="R22" s="1246">
        <f t="shared" si="5"/>
        <v>8693.99</v>
      </c>
      <c r="S22" s="1247">
        <f t="shared" si="5"/>
        <v>31121.35</v>
      </c>
    </row>
    <row r="23" spans="1:19">
      <c r="A23" s="2257"/>
      <c r="B23" s="50" t="s">
        <v>1920</v>
      </c>
      <c r="C23" s="60" t="str">
        <f>定义!A5</f>
        <v>地下叠拼仓储用房</v>
      </c>
      <c r="D23" s="48">
        <f>ROUND($D$3*E23/$E$3,2)</f>
        <v>3602.71</v>
      </c>
      <c r="E23" s="56">
        <f>SUM(F23:G23)</f>
        <v>12896.4</v>
      </c>
      <c r="F23" s="61"/>
      <c r="G23" s="62">
        <f>'数据-基础表'!O13</f>
        <v>12896.4</v>
      </c>
      <c r="H23" s="722">
        <f>ROUND($D$3*I23/$E$3,2)</f>
        <v>66.36</v>
      </c>
      <c r="I23" s="51">
        <f t="shared" si="2"/>
        <v>237.54</v>
      </c>
      <c r="J23" s="1391"/>
      <c r="K23" s="1390">
        <f t="shared" si="3"/>
        <v>237.54</v>
      </c>
      <c r="L23" s="1246">
        <f t="shared" si="4"/>
        <v>0</v>
      </c>
      <c r="M23" s="1402">
        <f t="shared" si="8"/>
        <v>237.54</v>
      </c>
      <c r="N23" s="2255"/>
      <c r="O23" s="2256"/>
      <c r="P23" s="1402">
        <f t="shared" si="9"/>
        <v>0</v>
      </c>
      <c r="R23" s="1246">
        <f t="shared" si="5"/>
        <v>3669.07</v>
      </c>
      <c r="S23" s="1247">
        <f t="shared" si="5"/>
        <v>13133.94</v>
      </c>
    </row>
    <row r="24" spans="1:19">
      <c r="A24" s="2257"/>
      <c r="B24" s="50" t="s">
        <v>1920</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1920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1920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29.25" thickBot="1">
      <c r="A27" s="2257"/>
      <c r="B27" s="48"/>
      <c r="C27" s="2260" t="s">
        <v>1921</v>
      </c>
      <c r="D27" s="1392">
        <f>SUM(D19:D26)</f>
        <v>33942.6</v>
      </c>
      <c r="E27" s="1393">
        <f>IF(SUM(E19:E26)='数据-基础表'!BA5,SUM(E19:E26),IF(F27="地上面积有误","面积有误","地下面积有误"))</f>
        <v>121502.29999999999</v>
      </c>
      <c r="F27" s="1392">
        <f>IF(SUM(F19:F26)=E8,SUM(F19:F26),"地上面积有误")</f>
        <v>72809.22</v>
      </c>
      <c r="G27" s="1394">
        <f>SUM(G19:G26)</f>
        <v>48693.08</v>
      </c>
      <c r="H27" s="1395">
        <f>SUM(H19:H26)</f>
        <v>625.19999999999993</v>
      </c>
      <c r="I27" s="1396">
        <f>SUM(I19:I26)</f>
        <v>2237.96</v>
      </c>
      <c r="J27" s="1391"/>
      <c r="K27" s="1399">
        <f>SUM(K19:K26)</f>
        <v>2237.96</v>
      </c>
      <c r="L27" s="1400">
        <f>SUM(L19:L26)</f>
        <v>0</v>
      </c>
      <c r="M27" s="1403">
        <f>SUM(M19:M26)</f>
        <v>2237.96</v>
      </c>
      <c r="N27" s="1399">
        <f t="shared" ref="N27:O27" si="10">SUM(N19:N26)</f>
        <v>0</v>
      </c>
      <c r="O27" s="1400">
        <f t="shared" si="10"/>
        <v>0</v>
      </c>
      <c r="P27" s="1401">
        <f>SUM(P19:P26)</f>
        <v>0</v>
      </c>
      <c r="R27" s="1248" t="str">
        <f>IF(SUM(R19:R26)=$D$3,SUM(R19:R26),SUM(R19:R26)&amp;"误差"&amp;ROUND(SUM(R19:R26)-$D$3,2))</f>
        <v>34567.8误差0.01</v>
      </c>
      <c r="S27" s="1246">
        <f>IF(SUM(S19:S26)=$E$3,SUM(S19:S26),SUM(S19:S26)&amp;"误差"&amp;ROUND(SUM(S19:S26)-E3,2))</f>
        <v>123740.26000000001</v>
      </c>
    </row>
    <row r="28" spans="1:19">
      <c r="A28" s="2257"/>
      <c r="B28" s="50" t="s">
        <v>1922</v>
      </c>
      <c r="C28" s="1258" t="s">
        <v>1923</v>
      </c>
      <c r="D28" s="48">
        <f>ROUND($D$3*E28/$E$3,2)</f>
        <v>625.19000000000005</v>
      </c>
      <c r="E28" s="56">
        <f>SUM(F28:G28)</f>
        <v>2237.96</v>
      </c>
      <c r="F28" s="64">
        <f>'数据-基础表'!BQ5+'数据-基础表'!BS5</f>
        <v>17.55</v>
      </c>
      <c r="G28" s="65">
        <f>'数据-基础表'!BR5+'数据-基础表'!BT5</f>
        <v>2220.41</v>
      </c>
      <c r="H28" s="1391"/>
      <c r="I28" s="1391"/>
      <c r="J28" s="1391"/>
      <c r="K28" s="1391"/>
      <c r="L28" s="1391"/>
      <c r="M28" s="1391"/>
      <c r="N28" s="1391"/>
      <c r="O28" s="1391"/>
      <c r="P28" s="1391"/>
    </row>
    <row r="29" spans="1:19">
      <c r="A29" s="2257"/>
      <c r="B29" s="50" t="s">
        <v>1922</v>
      </c>
      <c r="C29" s="2261" t="s">
        <v>1924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1921</v>
      </c>
      <c r="D30" s="1392">
        <f>SUM(D28:D29)</f>
        <v>625.19000000000005</v>
      </c>
      <c r="E30" s="1392">
        <f>SUM(E28:E29)</f>
        <v>2237.96</v>
      </c>
      <c r="F30" s="1392">
        <f>SUM(F28:F29)</f>
        <v>17.55</v>
      </c>
      <c r="G30" s="1394">
        <f>SUM(G28:G29)</f>
        <v>2220.41</v>
      </c>
      <c r="H30" s="1391"/>
      <c r="I30" s="1391"/>
      <c r="J30" s="1391"/>
      <c r="K30" s="1391"/>
      <c r="L30" s="1391"/>
      <c r="M30" s="1391"/>
      <c r="N30" s="1391"/>
      <c r="O30" s="1391"/>
      <c r="P30" s="1391"/>
    </row>
    <row r="31" spans="1:19" ht="15.75" thickBot="1">
      <c r="A31" s="2263"/>
      <c r="B31" s="2264"/>
      <c r="C31" s="1006" t="s">
        <v>1925</v>
      </c>
      <c r="D31" s="728">
        <f>D27+D30</f>
        <v>34567.79</v>
      </c>
      <c r="E31" s="728">
        <f>E27+E30</f>
        <v>123740.26</v>
      </c>
      <c r="F31" s="729">
        <f>F27+F30</f>
        <v>72826.77</v>
      </c>
      <c r="G31" s="730">
        <f>G27+G30</f>
        <v>50913.490000000005</v>
      </c>
      <c r="H31" s="1391"/>
      <c r="I31" s="1391"/>
      <c r="J31" s="1391"/>
      <c r="K31" s="1391"/>
      <c r="L31" s="1391"/>
      <c r="M31" s="1391"/>
      <c r="N31" s="1391"/>
      <c r="O31" s="1391"/>
      <c r="P31" s="1391"/>
    </row>
    <row r="32" spans="1:19">
      <c r="A32" s="2227"/>
      <c r="B32" s="2227" t="s">
        <v>1926</v>
      </c>
      <c r="C32" s="2227"/>
      <c r="D32" s="2227"/>
      <c r="E32" s="1273">
        <f>SUMIF(C19:C26,"*住宅*",E19:E26)</f>
        <v>72809.22</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4" width="6.75" style="2269" customWidth="1"/>
    <col min="25" max="25" width="8.87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1927</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1928</v>
      </c>
      <c r="B2" s="1265">
        <f>项目基本情况!D3</f>
        <v>43926</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1929</v>
      </c>
      <c r="B4" s="2275"/>
      <c r="C4" s="2276"/>
      <c r="D4" s="2277"/>
      <c r="E4" s="2276" t="s">
        <v>1930</v>
      </c>
      <c r="F4" s="2276"/>
      <c r="G4" s="2276"/>
      <c r="H4" s="2276"/>
      <c r="I4" s="2276"/>
      <c r="J4" s="2278"/>
      <c r="K4" s="2279"/>
      <c r="L4" s="2280"/>
      <c r="M4" s="2276"/>
      <c r="N4" s="2276" t="s">
        <v>1931</v>
      </c>
      <c r="O4" s="2276"/>
      <c r="P4" s="2276"/>
      <c r="Q4" s="2276"/>
      <c r="R4" s="2276"/>
      <c r="S4" s="2278"/>
      <c r="T4" s="2281" t="str">
        <f>'数据-汇总表'!I17</f>
        <v>按面积比例</v>
      </c>
      <c r="U4" s="2275" t="s">
        <v>1932</v>
      </c>
      <c r="V4" s="2276"/>
      <c r="W4" s="2276"/>
      <c r="X4" s="2276"/>
      <c r="Y4" s="2278"/>
      <c r="Z4" s="2238" t="s">
        <v>1933</v>
      </c>
      <c r="AA4" s="2238"/>
      <c r="AB4" s="2238"/>
      <c r="AC4" s="2238"/>
      <c r="AD4" s="2238"/>
      <c r="AE4" s="2236" t="s">
        <v>1934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1935</v>
      </c>
      <c r="B5" s="2284" t="s">
        <v>1936</v>
      </c>
      <c r="C5" s="2285" t="s">
        <v>1937</v>
      </c>
      <c r="D5" s="2286" t="s">
        <v>1938</v>
      </c>
      <c r="E5" s="1267" t="s">
        <v>1939</v>
      </c>
      <c r="F5" s="2287" t="s">
        <v>1940</v>
      </c>
      <c r="G5" s="1267" t="s">
        <v>1941</v>
      </c>
      <c r="H5" s="1267" t="s">
        <v>1942</v>
      </c>
      <c r="I5" s="1267" t="s">
        <v>1943</v>
      </c>
      <c r="J5" s="2288" t="s">
        <v>1944</v>
      </c>
      <c r="K5" s="2289" t="s">
        <v>1945</v>
      </c>
      <c r="L5" s="2290" t="s">
        <v>1946</v>
      </c>
      <c r="M5" s="2291" t="s">
        <v>1947</v>
      </c>
      <c r="N5" s="2292" t="s">
        <v>1948</v>
      </c>
      <c r="O5" s="2290" t="s">
        <v>1949</v>
      </c>
      <c r="P5" s="2293" t="s">
        <v>1950</v>
      </c>
      <c r="Q5" s="69" t="s">
        <v>1951</v>
      </c>
      <c r="R5" s="2294" t="s">
        <v>1952</v>
      </c>
      <c r="S5" s="2295" t="s">
        <v>1953</v>
      </c>
      <c r="T5" s="2296" t="s">
        <v>1954</v>
      </c>
      <c r="U5" s="1266" t="s">
        <v>1955</v>
      </c>
      <c r="V5" s="1267" t="s">
        <v>1956</v>
      </c>
      <c r="W5" s="1267" t="s">
        <v>1957</v>
      </c>
      <c r="X5" s="71"/>
      <c r="Y5" s="70" t="s">
        <v>1958</v>
      </c>
      <c r="Z5" s="2297" t="s">
        <v>1955</v>
      </c>
      <c r="AA5" s="1267" t="s">
        <v>1956</v>
      </c>
      <c r="AB5" s="1267" t="s">
        <v>1957</v>
      </c>
      <c r="AC5" s="71"/>
      <c r="AD5" s="71" t="s">
        <v>1958</v>
      </c>
      <c r="AE5" s="1266" t="s">
        <v>1959</v>
      </c>
      <c r="AF5" s="1267" t="s">
        <v>1960</v>
      </c>
      <c r="AG5" s="70" t="s">
        <v>1961</v>
      </c>
      <c r="AH5" s="1266" t="s">
        <v>1962</v>
      </c>
      <c r="AI5" s="2297" t="s">
        <v>1963</v>
      </c>
      <c r="AJ5" s="2297" t="s">
        <v>1964</v>
      </c>
      <c r="AK5" s="1267" t="s">
        <v>1965</v>
      </c>
      <c r="AL5" s="1267" t="s">
        <v>1966</v>
      </c>
      <c r="AM5" s="70" t="s">
        <v>1967</v>
      </c>
      <c r="AN5" s="2298" t="s">
        <v>1968</v>
      </c>
      <c r="AO5" s="2068" t="s">
        <v>1969</v>
      </c>
      <c r="AP5" s="1248" t="s">
        <v>1970</v>
      </c>
      <c r="AQ5" s="2299" t="s">
        <v>1971</v>
      </c>
      <c r="AR5" s="2299" t="s">
        <v>1972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平层住宅用房</v>
      </c>
      <c r="B6" s="2301" t="str">
        <f>IF(A6=0,"","经营性")</f>
        <v>经营性</v>
      </c>
      <c r="C6" s="2302" t="s">
        <v>3035</v>
      </c>
      <c r="D6" s="1050">
        <f>SUMIF(项目基本情况!D$12:I$12,C6,项目基本情况!D$14:I$14)</f>
        <v>70</v>
      </c>
      <c r="E6" s="1047">
        <f>IF(B6="","",SUMIF(项目基本情况!D$12:I$12,C6,项目基本情况!D$13:I$13))</f>
        <v>67954</v>
      </c>
      <c r="F6" s="72">
        <f>SUMIF(项目基本情况!D$12:I$12,C6,项目基本情况!D$15:I$15)</f>
        <v>65.83</v>
      </c>
      <c r="G6" s="73">
        <f>IF(ISERROR(ROUND(POWER(1+H6,D6-F6)*(POWER(1+H6,F6)-1)/(POWER(1+H6,D6)-1),3)),0,ROUND(POWER(1+H6,D6-F6)*(POWER(1+H6,F6)-1)/(POWER(1+H6,D6)-1),3))</f>
        <v>0.99199999999999999</v>
      </c>
      <c r="H6" s="801">
        <v>0.05</v>
      </c>
      <c r="I6" s="801">
        <v>5.5E-2</v>
      </c>
      <c r="J6" s="74">
        <v>8.5000000000000006E-2</v>
      </c>
      <c r="K6" s="1250">
        <f>SUMIF('数据-汇总表'!C$19:C$33,A6,'数据-汇总表'!E$19:E$33)</f>
        <v>49341.37</v>
      </c>
      <c r="L6" s="802">
        <v>3000</v>
      </c>
      <c r="M6" s="75">
        <f t="shared" ref="M6:M14" si="0">ROUND(K6*L6/10000,0)</f>
        <v>14802</v>
      </c>
      <c r="N6" s="800">
        <v>0.99</v>
      </c>
      <c r="O6" s="75">
        <f>IF($N$5="成新度","——",ROUND(M6*N6,0))</f>
        <v>14654</v>
      </c>
      <c r="P6" s="76">
        <f>IF($N$5="成新度","——",M6-O6)</f>
        <v>148</v>
      </c>
      <c r="Q6" s="803">
        <v>0.15</v>
      </c>
      <c r="R6" s="77">
        <f ca="1">SUMIF('数据-汇总表'!C$19:C$33,A6,'数据-汇总表'!R$19:R$27)</f>
        <v>14037.779999999999</v>
      </c>
      <c r="S6" s="54">
        <f>IF('数据-汇总表'!$I$17="按面积比例",SUMIF('数据-汇总表'!C$19:C$33,A6,'数据-汇总表'!K$19:K$33),SUMIF('数据-汇总表'!C$19:C$33,A6,'数据-汇总表'!N$19:N$33))</f>
        <v>908.82</v>
      </c>
      <c r="T6" s="1442">
        <f>ROUND($L$14*S6/10000,0)</f>
        <v>273</v>
      </c>
      <c r="U6" s="78"/>
      <c r="V6" s="79"/>
      <c r="W6" s="79"/>
      <c r="X6" s="1260"/>
      <c r="Y6" s="80"/>
      <c r="Z6" s="81"/>
      <c r="AA6" s="74"/>
      <c r="AB6" s="74"/>
      <c r="AC6" s="1260"/>
      <c r="AD6" s="82"/>
      <c r="AE6" s="1261">
        <f ca="1">IF(AN6="",0,SUMIF(INDIRECT("'"&amp;AN6&amp;"'"&amp;"!E:E"),$AE$5,INDIRECT("'"&amp;AN6&amp;"'"&amp;"!F:F")))</f>
        <v>0</v>
      </c>
      <c r="AF6" s="1802"/>
      <c r="AG6" s="146">
        <f>IF(AF6="",0,AE6-AF6)</f>
        <v>0</v>
      </c>
      <c r="AH6" s="83"/>
      <c r="AI6" s="85">
        <v>365</v>
      </c>
      <c r="AJ6" s="86"/>
      <c r="AK6" s="87">
        <v>0.02</v>
      </c>
      <c r="AL6" s="88">
        <v>2E-3</v>
      </c>
      <c r="AM6" s="89">
        <v>0.02</v>
      </c>
      <c r="AN6" s="2303"/>
      <c r="AO6" s="55" t="e">
        <f ca="1">SUMIF(INDIRECT("'"&amp;AN6&amp;"'"&amp;"!A:A"),"总价",INDIRECT("'"&amp;AN6&amp;"'"&amp;"!B:B"))</f>
        <v>#REF!</v>
      </c>
      <c r="AP6" s="2304">
        <f>IF(C6="住宅",K6*L6,0)</f>
        <v>148024110</v>
      </c>
      <c r="AQ6" s="55">
        <f>ROUND($L$14*$N$14*S6/10000,0)</f>
        <v>270</v>
      </c>
      <c r="AR6" s="55">
        <f>ROUND($L$14*(1-$N$14)*S6/10000,0)</f>
        <v>3</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叠拼住宅用房</v>
      </c>
      <c r="B7" s="2301" t="str">
        <f t="shared" ref="B7:B13" si="1">IF(A7=0,"","经营性")</f>
        <v>经营性</v>
      </c>
      <c r="C7" s="2302" t="s">
        <v>3035</v>
      </c>
      <c r="D7" s="1050">
        <f>SUMIF(项目基本情况!D$12:I$12,C7,项目基本情况!D$14:I$14)</f>
        <v>70</v>
      </c>
      <c r="E7" s="1047">
        <f>IF(B7="","",SUMIF(项目基本情况!D$12:I$12,C7,项目基本情况!D$13:I$13))</f>
        <v>67954</v>
      </c>
      <c r="F7" s="72">
        <f>SUMIF(项目基本情况!D$12:I$12,C7,项目基本情况!D$15:I$15)</f>
        <v>65.83</v>
      </c>
      <c r="G7" s="73">
        <f t="shared" ref="G7:G11" si="2">IF(ISERROR(ROUND(POWER(1+H7,D7-F7)*(POWER(1+H7,F7)-1)/(POWER(1+H7,D7)-1),3)),0,ROUND(POWER(1+H7,D7-F7)*(POWER(1+H7,F7)-1)/(POWER(1+H7,D7)-1),3))</f>
        <v>0.99199999999999999</v>
      </c>
      <c r="H7" s="801">
        <v>0.05</v>
      </c>
      <c r="I7" s="801">
        <v>5.5E-2</v>
      </c>
      <c r="J7" s="74">
        <v>8.5000000000000006E-2</v>
      </c>
      <c r="K7" s="1250">
        <f>SUMIF('数据-汇总表'!C$19:C$33,A7,'数据-汇总表'!E$19:E$33)</f>
        <v>23467.85</v>
      </c>
      <c r="L7" s="802">
        <v>3000</v>
      </c>
      <c r="M7" s="75">
        <f t="shared" si="0"/>
        <v>7040</v>
      </c>
      <c r="N7" s="800">
        <f>N6</f>
        <v>0.99</v>
      </c>
      <c r="O7" s="75">
        <f t="shared" ref="O7:O14" si="3">IF($N$5="成新度","——",ROUND(M7*N7,0))</f>
        <v>6970</v>
      </c>
      <c r="P7" s="76">
        <f t="shared" ref="P7:P14" si="4">IF($N$5="成新度","——",M7-O7)</f>
        <v>70</v>
      </c>
      <c r="Q7" s="803">
        <v>0.2</v>
      </c>
      <c r="R7" s="77">
        <f ca="1">SUMIF('数据-汇总表'!C$19:C$33,A7,'数据-汇总表'!R$19:R$27)</f>
        <v>6676.68</v>
      </c>
      <c r="S7" s="54">
        <f>IF('数据-汇总表'!$I$17="按面积比例",SUMIF('数据-汇总表'!C$19:C$33,A7,'数据-汇总表'!K$19:K$33),SUMIF('数据-汇总表'!C$19:C$33,A7,'数据-汇总表'!N$19:N$33))</f>
        <v>432.26</v>
      </c>
      <c r="T7" s="1442">
        <f t="shared" ref="T7:T13" si="5">ROUND($L$14*S7/10000,0)</f>
        <v>130</v>
      </c>
      <c r="U7" s="78"/>
      <c r="V7" s="79"/>
      <c r="W7" s="79"/>
      <c r="X7" s="1260"/>
      <c r="Y7" s="80"/>
      <c r="Z7" s="81"/>
      <c r="AA7" s="74"/>
      <c r="AB7" s="74"/>
      <c r="AC7" s="1260"/>
      <c r="AD7" s="82"/>
      <c r="AE7" s="1261">
        <f t="shared" ref="AE7:AE13" ca="1" si="6">IF(AN7="",0,SUMIF(INDIRECT("'"&amp;AN7&amp;"'"&amp;"!E:E"),$AE$5,INDIRECT("'"&amp;AN7&amp;"'"&amp;"!F:F")))</f>
        <v>0</v>
      </c>
      <c r="AF7" s="1802"/>
      <c r="AG7" s="146">
        <f t="shared" ref="AG7:AG13" si="7">IF(AF7="",0,AE7-AF7)</f>
        <v>0</v>
      </c>
      <c r="AH7" s="83"/>
      <c r="AI7" s="85">
        <v>365</v>
      </c>
      <c r="AJ7" s="86"/>
      <c r="AK7" s="87">
        <v>0.02</v>
      </c>
      <c r="AL7" s="88">
        <v>2E-3</v>
      </c>
      <c r="AM7" s="89">
        <v>0.02</v>
      </c>
      <c r="AN7" s="2303"/>
      <c r="AO7" s="55" t="e">
        <f t="shared" ref="AO7:AO13" ca="1" si="8">SUMIF(INDIRECT("'"&amp;AN7&amp;"'"&amp;"!A:A"),"总价",INDIRECT("'"&amp;AN7&amp;"'"&amp;"!B:B"))</f>
        <v>#REF!</v>
      </c>
      <c r="AP7" s="2304">
        <f t="shared" ref="AP7:AP13" si="9">IF(C7="住宅",K7*L7,0)</f>
        <v>70403550</v>
      </c>
      <c r="AQ7" s="55">
        <f t="shared" ref="AQ7:AQ13" si="10">ROUND($L$14*$N$14*S7/10000,0)</f>
        <v>128</v>
      </c>
      <c r="AR7" s="55">
        <f t="shared" ref="AR7:AR13" si="11">ROUND($L$14*(1-$N$14)*S7/10000,0)</f>
        <v>1</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地下普通仓储用房</v>
      </c>
      <c r="B8" s="2301" t="str">
        <f t="shared" si="1"/>
        <v>经营性</v>
      </c>
      <c r="C8" s="2302" t="s">
        <v>3037</v>
      </c>
      <c r="D8" s="1050">
        <f>SUMIF(项目基本情况!D$12:I$12,C8,项目基本情况!D$14:I$14)</f>
        <v>50</v>
      </c>
      <c r="E8" s="1047">
        <f>IF(B8="","",SUMIF(项目基本情况!D$12:I$12,C8,项目基本情况!D$13:I$13))</f>
        <v>60649</v>
      </c>
      <c r="F8" s="72">
        <f>SUMIF(项目基本情况!D$12:I$12,C8,项目基本情况!D$15:I$15)</f>
        <v>45.81</v>
      </c>
      <c r="G8" s="73">
        <f t="shared" si="2"/>
        <v>0.97499999999999998</v>
      </c>
      <c r="H8" s="801">
        <v>4.4999999999999998E-2</v>
      </c>
      <c r="I8" s="801">
        <v>0.05</v>
      </c>
      <c r="J8" s="74">
        <v>8.5000000000000006E-2</v>
      </c>
      <c r="K8" s="1250">
        <f>SUMIF('数据-汇总表'!C$19:C$33,A8,'数据-汇总表'!E$19:E$33)</f>
        <v>5238.1899999999996</v>
      </c>
      <c r="L8" s="802">
        <v>3000</v>
      </c>
      <c r="M8" s="75">
        <f>ROUND(K8*L8/10000,0)</f>
        <v>1571</v>
      </c>
      <c r="N8" s="800">
        <f>N6</f>
        <v>0.99</v>
      </c>
      <c r="O8" s="75">
        <f t="shared" si="3"/>
        <v>1555</v>
      </c>
      <c r="P8" s="76">
        <f t="shared" si="4"/>
        <v>16</v>
      </c>
      <c r="Q8" s="803">
        <v>0.1</v>
      </c>
      <c r="R8" s="77">
        <f ca="1">SUMIF('数据-汇总表'!C$19:C$33,A8,'数据-汇总表'!R$19:R$27)</f>
        <v>1490.28</v>
      </c>
      <c r="S8" s="54">
        <f>IF('数据-汇总表'!$I$17="按面积比例",SUMIF('数据-汇总表'!C$19:C$33,A8,'数据-汇总表'!K$19:K$33),SUMIF('数据-汇总表'!C$19:C$33,A8,'数据-汇总表'!N$19:N$33))</f>
        <v>96.48</v>
      </c>
      <c r="T8" s="1442">
        <f t="shared" si="5"/>
        <v>29</v>
      </c>
      <c r="U8" s="804">
        <v>3.5</v>
      </c>
      <c r="V8" s="805">
        <v>0.02</v>
      </c>
      <c r="W8" s="805">
        <v>0.1</v>
      </c>
      <c r="X8" s="1260"/>
      <c r="Y8" s="806">
        <v>1</v>
      </c>
      <c r="Z8" s="81"/>
      <c r="AA8" s="74"/>
      <c r="AB8" s="74"/>
      <c r="AC8" s="1260"/>
      <c r="AD8" s="82"/>
      <c r="AE8" s="1261">
        <f t="shared" ca="1" si="6"/>
        <v>45.71</v>
      </c>
      <c r="AF8" s="1802"/>
      <c r="AG8" s="146">
        <f t="shared" si="7"/>
        <v>0</v>
      </c>
      <c r="AH8" s="807"/>
      <c r="AI8" s="85">
        <v>365</v>
      </c>
      <c r="AJ8" s="86"/>
      <c r="AK8" s="87">
        <v>1.4999999999999999E-2</v>
      </c>
      <c r="AL8" s="88">
        <v>1.5E-3</v>
      </c>
      <c r="AM8" s="89">
        <v>0.01</v>
      </c>
      <c r="AN8" s="2303" t="s">
        <v>3255</v>
      </c>
      <c r="AO8" s="55">
        <f t="shared" ca="1" si="8"/>
        <v>11111</v>
      </c>
      <c r="AP8" s="2304">
        <f t="shared" si="9"/>
        <v>0</v>
      </c>
      <c r="AQ8" s="55">
        <f t="shared" si="10"/>
        <v>29</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地下车库用房</v>
      </c>
      <c r="B9" s="2301" t="str">
        <f t="shared" si="1"/>
        <v>经营性</v>
      </c>
      <c r="C9" s="2302" t="s">
        <v>3038</v>
      </c>
      <c r="D9" s="1050">
        <f>SUMIF(项目基本情况!D$12:I$12,C9,项目基本情况!D$14:I$14)</f>
        <v>50</v>
      </c>
      <c r="E9" s="1047">
        <f>IF(B9="","",SUMIF(项目基本情况!D$12:I$12,C9,项目基本情况!D$13:I$13))</f>
        <v>60649</v>
      </c>
      <c r="F9" s="72">
        <f>SUMIF(项目基本情况!D$12:I$12,C9,项目基本情况!D$15:I$15)</f>
        <v>45.81</v>
      </c>
      <c r="G9" s="73">
        <f t="shared" si="2"/>
        <v>0.97499999999999998</v>
      </c>
      <c r="H9" s="801">
        <v>4.4999999999999998E-2</v>
      </c>
      <c r="I9" s="74">
        <v>0.05</v>
      </c>
      <c r="J9" s="74">
        <v>8.5000000000000006E-2</v>
      </c>
      <c r="K9" s="1250">
        <f>SUMIF('数据-汇总表'!C$19:C$33,A9,'数据-汇总表'!E$19:E$33)</f>
        <v>30558.489999999998</v>
      </c>
      <c r="L9" s="802">
        <v>3000</v>
      </c>
      <c r="M9" s="75">
        <f t="shared" si="0"/>
        <v>9168</v>
      </c>
      <c r="N9" s="800">
        <f>N6</f>
        <v>0.99</v>
      </c>
      <c r="O9" s="75">
        <f t="shared" si="3"/>
        <v>9076</v>
      </c>
      <c r="P9" s="76">
        <f t="shared" si="4"/>
        <v>92</v>
      </c>
      <c r="Q9" s="803">
        <v>0.05</v>
      </c>
      <c r="R9" s="77">
        <f ca="1">SUMIF('数据-汇总表'!C$19:C$33,A9,'数据-汇总表'!R$19:R$27)</f>
        <v>8693.99</v>
      </c>
      <c r="S9" s="54">
        <f>IF('数据-汇总表'!$I$17="按面积比例",SUMIF('数据-汇总表'!C$19:C$33,A9,'数据-汇总表'!K$19:K$33),SUMIF('数据-汇总表'!C$19:C$33,A9,'数据-汇总表'!N$19:N$33))</f>
        <v>562.86</v>
      </c>
      <c r="T9" s="1442">
        <f t="shared" si="5"/>
        <v>169</v>
      </c>
      <c r="U9" s="78"/>
      <c r="V9" s="79"/>
      <c r="W9" s="79"/>
      <c r="X9" s="1260"/>
      <c r="Y9" s="80"/>
      <c r="Z9" s="81"/>
      <c r="AA9" s="74"/>
      <c r="AB9" s="74"/>
      <c r="AC9" s="1260"/>
      <c r="AD9" s="82"/>
      <c r="AE9" s="1261">
        <f t="shared" ca="1" si="6"/>
        <v>0</v>
      </c>
      <c r="AF9" s="1802"/>
      <c r="AG9" s="146">
        <f t="shared" si="7"/>
        <v>0</v>
      </c>
      <c r="AH9" s="83">
        <f>ROUND('数据-基础表'!Q31/45,0)</f>
        <v>679</v>
      </c>
      <c r="AI9" s="85">
        <v>12</v>
      </c>
      <c r="AJ9" s="86"/>
      <c r="AK9" s="87">
        <v>1.4999999999999999E-2</v>
      </c>
      <c r="AL9" s="88">
        <v>1.5E-3</v>
      </c>
      <c r="AM9" s="89">
        <v>0.01</v>
      </c>
      <c r="AN9" s="2303"/>
      <c r="AO9" s="55" t="e">
        <f t="shared" ca="1" si="8"/>
        <v>#REF!</v>
      </c>
      <c r="AP9" s="2304">
        <f t="shared" si="9"/>
        <v>0</v>
      </c>
      <c r="AQ9" s="55">
        <f t="shared" si="10"/>
        <v>167</v>
      </c>
      <c r="AR9" s="55">
        <f t="shared" si="11"/>
        <v>2</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地下叠拼仓储用房</v>
      </c>
      <c r="B10" s="2301" t="str">
        <f t="shared" si="1"/>
        <v>经营性</v>
      </c>
      <c r="C10" s="2302" t="s">
        <v>3037</v>
      </c>
      <c r="D10" s="1050">
        <f>SUMIF(项目基本情况!D$12:I$12,C10,项目基本情况!D$14:I$14)</f>
        <v>50</v>
      </c>
      <c r="E10" s="1047">
        <f>IF(B10="","",SUMIF(项目基本情况!D$12:I$12,C10,项目基本情况!D$13:I$13))</f>
        <v>60649</v>
      </c>
      <c r="F10" s="72">
        <f>SUMIF(项目基本情况!D$12:I$12,C10,项目基本情况!D$15:I$15)</f>
        <v>45.81</v>
      </c>
      <c r="G10" s="73">
        <f t="shared" si="2"/>
        <v>0.97499999999999998</v>
      </c>
      <c r="H10" s="801">
        <v>4.4999999999999998E-2</v>
      </c>
      <c r="I10" s="74">
        <v>0.05</v>
      </c>
      <c r="J10" s="74">
        <v>8.5000000000000006E-2</v>
      </c>
      <c r="K10" s="1250">
        <f>SUMIF('数据-汇总表'!C$19:C$33,A10,'数据-汇总表'!E$19:E$33)</f>
        <v>12896.4</v>
      </c>
      <c r="L10" s="802">
        <v>3000</v>
      </c>
      <c r="M10" s="75">
        <f t="shared" si="0"/>
        <v>3869</v>
      </c>
      <c r="N10" s="800">
        <f>N6</f>
        <v>0.99</v>
      </c>
      <c r="O10" s="75">
        <f t="shared" si="3"/>
        <v>3830</v>
      </c>
      <c r="P10" s="76">
        <f t="shared" si="4"/>
        <v>39</v>
      </c>
      <c r="Q10" s="90">
        <v>0.1</v>
      </c>
      <c r="R10" s="77">
        <f ca="1">SUMIF('数据-汇总表'!C$19:C$33,A10,'数据-汇总表'!R$19:R$27)</f>
        <v>3669.07</v>
      </c>
      <c r="S10" s="54">
        <f>IF('数据-汇总表'!$I$17="按面积比例",SUMIF('数据-汇总表'!C$19:C$33,A10,'数据-汇总表'!K$19:K$33),SUMIF('数据-汇总表'!C$19:C$33,A10,'数据-汇总表'!N$19:N$33))</f>
        <v>237.54</v>
      </c>
      <c r="T10" s="1442">
        <f t="shared" si="5"/>
        <v>71</v>
      </c>
      <c r="U10" s="78">
        <v>4</v>
      </c>
      <c r="V10" s="79">
        <v>0.02</v>
      </c>
      <c r="W10" s="79">
        <v>0.1</v>
      </c>
      <c r="X10" s="1260"/>
      <c r="Y10" s="80">
        <v>1</v>
      </c>
      <c r="Z10" s="81"/>
      <c r="AA10" s="74"/>
      <c r="AB10" s="74"/>
      <c r="AC10" s="1260"/>
      <c r="AD10" s="82"/>
      <c r="AE10" s="1261">
        <f t="shared" ca="1" si="6"/>
        <v>45.71</v>
      </c>
      <c r="AF10" s="1802"/>
      <c r="AG10" s="146">
        <f t="shared" si="7"/>
        <v>0</v>
      </c>
      <c r="AH10" s="83"/>
      <c r="AI10" s="85">
        <v>365</v>
      </c>
      <c r="AJ10" s="86"/>
      <c r="AK10" s="87">
        <v>1.4999999999999999E-2</v>
      </c>
      <c r="AL10" s="88">
        <v>1.5E-3</v>
      </c>
      <c r="AM10" s="89">
        <v>0.01</v>
      </c>
      <c r="AN10" s="2303" t="s">
        <v>3257</v>
      </c>
      <c r="AO10" s="55">
        <f t="shared" ca="1" si="8"/>
        <v>31620</v>
      </c>
      <c r="AP10" s="2304">
        <f t="shared" si="9"/>
        <v>0</v>
      </c>
      <c r="AQ10" s="55">
        <f t="shared" si="10"/>
        <v>71</v>
      </c>
      <c r="AR10" s="55">
        <f t="shared" si="11"/>
        <v>1</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1973</v>
      </c>
      <c r="B14" s="2301" t="s">
        <v>1974</v>
      </c>
      <c r="C14" s="2306" t="s">
        <v>1973</v>
      </c>
      <c r="D14" s="1050"/>
      <c r="E14" s="1047"/>
      <c r="F14" s="72"/>
      <c r="G14" s="73"/>
      <c r="H14" s="1249"/>
      <c r="I14" s="1249"/>
      <c r="J14" s="1249"/>
      <c r="K14" s="1250">
        <f>SUMIF('数据-汇总表'!C$19:C$33,A14,'数据-汇总表'!E$19:E$33)</f>
        <v>2237.96</v>
      </c>
      <c r="L14" s="91">
        <v>3000</v>
      </c>
      <c r="M14" s="75">
        <f t="shared" si="0"/>
        <v>671</v>
      </c>
      <c r="N14" s="92">
        <f>N6</f>
        <v>0.99</v>
      </c>
      <c r="O14" s="75">
        <f t="shared" si="3"/>
        <v>664</v>
      </c>
      <c r="P14" s="76">
        <f t="shared" si="4"/>
        <v>7</v>
      </c>
      <c r="Q14" s="1253"/>
      <c r="R14" s="77"/>
      <c r="S14" s="54"/>
      <c r="T14" s="1442"/>
      <c r="U14" s="722"/>
      <c r="V14" s="1255"/>
      <c r="W14" s="1255"/>
      <c r="X14" s="1256"/>
      <c r="Y14" s="1257"/>
      <c r="Z14" s="1258"/>
      <c r="AA14" s="1259"/>
      <c r="AB14" s="1259"/>
      <c r="AC14" s="1260"/>
      <c r="AD14" s="1256"/>
      <c r="AE14" s="1261"/>
      <c r="AF14" s="55"/>
      <c r="AG14" s="146"/>
      <c r="AH14" s="1261"/>
      <c r="AI14" s="1813"/>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1975</v>
      </c>
      <c r="B15" s="2301" t="s">
        <v>1974</v>
      </c>
      <c r="C15" s="2306" t="s">
        <v>1976</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3"/>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1977</v>
      </c>
      <c r="B16" s="97"/>
      <c r="C16" s="1004"/>
      <c r="D16" s="2308"/>
      <c r="E16" s="97"/>
      <c r="F16" s="97"/>
      <c r="G16" s="98">
        <f>ROUND(SUMPRODUCT(G6:G13,K6:K13)/SUMPRODUCT((G6:G13&gt;0)*(K6:K13)),3)</f>
        <v>0.98499999999999999</v>
      </c>
      <c r="H16" s="99">
        <f>ROUND(SUMPRODUCT(H6:H13,K6:K13)/SUMPRODUCT((H6:H13&gt;0)*(K6:K13)),3)</f>
        <v>4.8000000000000001E-2</v>
      </c>
      <c r="I16" s="100"/>
      <c r="J16" s="100"/>
      <c r="K16" s="101">
        <f>SUM(K6:K15)</f>
        <v>123740.26</v>
      </c>
      <c r="L16" s="102">
        <f>ROUND(M16*10000/SUM(K6:K14),0)</f>
        <v>3000</v>
      </c>
      <c r="M16" s="102">
        <f>SUM(M6:M14)</f>
        <v>37121</v>
      </c>
      <c r="N16" s="103">
        <f>ROUND(SUMPRODUCT(M6:M14,N6:N14)/M16,3)</f>
        <v>0.99</v>
      </c>
      <c r="O16" s="102">
        <f>SUM(O6:O14)</f>
        <v>36749</v>
      </c>
      <c r="P16" s="102">
        <f>SUM(P6:P14)</f>
        <v>372</v>
      </c>
      <c r="Q16" s="104">
        <f>ROUND(SUMPRODUCT(Q6:Q13,K6:K13)/SUMPRODUCT((Q6:Q13&gt;0)*(K6:K13)),2)</f>
        <v>0.13</v>
      </c>
      <c r="R16" s="1254">
        <f ca="1">SUM(R6:R13)</f>
        <v>34567.799999999996</v>
      </c>
      <c r="S16" s="105">
        <f>SUM(S6:S13)</f>
        <v>2237.96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1978</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1979</v>
      </c>
      <c r="B19" s="112">
        <v>0</v>
      </c>
      <c r="C19" s="2271" t="s">
        <v>1980</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1981</v>
      </c>
      <c r="B20" s="113">
        <v>2</v>
      </c>
      <c r="C20" s="2271" t="s">
        <v>1982</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1983</v>
      </c>
      <c r="B21" s="113">
        <v>1.9</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1984</v>
      </c>
      <c r="B22" s="114">
        <f>B19+B20</f>
        <v>2</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1985</v>
      </c>
      <c r="B23" s="114">
        <f>B19+B21</f>
        <v>1.9</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1986</v>
      </c>
      <c r="B24" s="115">
        <f>B20-B21</f>
        <v>0.10000000000000009</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1987</v>
      </c>
      <c r="B26" s="2314" t="s">
        <v>1988</v>
      </c>
      <c r="C26" s="2315" t="s">
        <v>1989</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1990</v>
      </c>
      <c r="B27" s="116">
        <v>160</v>
      </c>
      <c r="C27" s="1762" t="s">
        <v>1991</v>
      </c>
      <c r="D27" s="2317"/>
      <c r="E27" s="1426"/>
      <c r="F27" s="1426"/>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1992</v>
      </c>
      <c r="B28" s="119">
        <v>200</v>
      </c>
      <c r="C28" s="2320"/>
      <c r="D28" s="2317"/>
      <c r="E28" s="1426"/>
      <c r="F28" s="1426"/>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1993</v>
      </c>
      <c r="B29" s="3015">
        <f ca="1">成本法!C9+成本法!C10</f>
        <v>2184</v>
      </c>
      <c r="C29" s="1762" t="s">
        <v>1994</v>
      </c>
      <c r="D29" s="2317"/>
      <c r="E29" s="1426"/>
      <c r="F29" s="1426"/>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1995</v>
      </c>
      <c r="B30" s="723">
        <v>200</v>
      </c>
      <c r="C30" s="2320"/>
      <c r="D30" s="2317"/>
      <c r="E30" s="1426"/>
      <c r="F30" s="1426"/>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1996</v>
      </c>
      <c r="B31" s="120">
        <f>B30-B32</f>
        <v>200</v>
      </c>
      <c r="C31" s="1762"/>
      <c r="D31" s="2317"/>
      <c r="E31" s="1426"/>
      <c r="F31" s="1426"/>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1997</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1998</v>
      </c>
      <c r="B33" s="725">
        <v>0.05</v>
      </c>
      <c r="C33" s="1761" t="s">
        <v>1999</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2000</v>
      </c>
      <c r="B34" s="121">
        <v>0.1</v>
      </c>
      <c r="C34" s="1761" t="s">
        <v>2001</v>
      </c>
      <c r="D34" s="2272" t="s">
        <v>2002</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2003</v>
      </c>
      <c r="B35" s="119">
        <v>200</v>
      </c>
      <c r="C35" s="1761" t="s">
        <v>2004</v>
      </c>
      <c r="D35" s="2317"/>
      <c r="E35" s="1426"/>
      <c r="F35" s="1426"/>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2005</v>
      </c>
      <c r="B36" s="122">
        <v>1.4999999999999999E-2</v>
      </c>
      <c r="C36" s="1761" t="s">
        <v>2006</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2007</v>
      </c>
      <c r="B37" s="123">
        <v>0.02</v>
      </c>
      <c r="C37" s="1761" t="s">
        <v>2008</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2009</v>
      </c>
      <c r="B38" s="121">
        <v>0.02</v>
      </c>
      <c r="C38" s="1761" t="s">
        <v>2008</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2010</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2011</v>
      </c>
      <c r="B40" s="1299">
        <f ca="1">存贷款利率!G1</f>
        <v>4.7500000000000001E-2</v>
      </c>
      <c r="C40" s="1761" t="s">
        <v>2012</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2013</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2014</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2015</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2016</v>
      </c>
      <c r="B44" s="127">
        <v>7.0000000000000007E-2</v>
      </c>
      <c r="C44" s="1761" t="s">
        <v>2017</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2018</v>
      </c>
      <c r="B45" s="125">
        <v>0.03</v>
      </c>
      <c r="C45" s="1762" t="s">
        <v>2019</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2020</v>
      </c>
      <c r="B46" s="125">
        <v>0.02</v>
      </c>
      <c r="C46" s="1762" t="s">
        <v>2021</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2022</v>
      </c>
      <c r="B47" s="128">
        <v>0</v>
      </c>
      <c r="C47" s="1762" t="s">
        <v>2023</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2024</v>
      </c>
      <c r="B48" s="129">
        <v>0.03</v>
      </c>
      <c r="C48" s="1769" t="s">
        <v>2025</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2026</v>
      </c>
      <c r="B49" s="125">
        <v>5.0000000000000001E-4</v>
      </c>
      <c r="C49" s="1769" t="s">
        <v>2027</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2028</v>
      </c>
      <c r="B50" s="130">
        <v>1.2E-2</v>
      </c>
      <c r="C50" s="1426"/>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2029</v>
      </c>
      <c r="B51" s="131">
        <v>0.12</v>
      </c>
      <c r="C51" s="1426"/>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2030</v>
      </c>
      <c r="B52" s="132">
        <f>SUMIF(A54:A63,B53,B54:B63)</f>
        <v>1.5</v>
      </c>
      <c r="C52" s="1426"/>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2031</v>
      </c>
      <c r="B53" s="2330" t="s">
        <v>56</v>
      </c>
      <c r="C53" s="1426" t="s">
        <v>2032</v>
      </c>
      <c r="D53" s="2331" t="s">
        <v>2033</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2034</v>
      </c>
      <c r="B54" s="84"/>
      <c r="C54" s="1426">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2035</v>
      </c>
      <c r="B55" s="84"/>
      <c r="C55" s="1426">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2036</v>
      </c>
      <c r="B56" s="84"/>
      <c r="C56" s="1426">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2037</v>
      </c>
      <c r="B57" s="84"/>
      <c r="C57" s="1426">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2038</v>
      </c>
      <c r="B58" s="84"/>
      <c r="C58" s="1426">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2039</v>
      </c>
      <c r="B59" s="84">
        <v>1.5</v>
      </c>
      <c r="C59" s="1426">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2040</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2041</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2042</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2043</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11" t="s">
        <v>2044</v>
      </c>
      <c r="B1" s="3112"/>
      <c r="C1" s="3112"/>
      <c r="D1" s="3112"/>
      <c r="E1" s="3112"/>
      <c r="F1" s="3112"/>
      <c r="G1" s="311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2045</v>
      </c>
      <c r="D2" s="2360"/>
      <c r="E2" s="2361"/>
      <c r="F2" s="2280"/>
      <c r="G2" s="2359" t="s">
        <v>2046</v>
      </c>
      <c r="H2" s="2362"/>
      <c r="I2" s="2362"/>
      <c r="J2" s="2362"/>
      <c r="K2" s="2362"/>
      <c r="L2" s="2362"/>
      <c r="M2" s="2362"/>
      <c r="N2" s="2362"/>
      <c r="O2" s="2362"/>
      <c r="P2" s="2362"/>
      <c r="Q2" s="2362"/>
      <c r="R2" s="2362"/>
    </row>
    <row r="3" spans="1:29" ht="81">
      <c r="A3" s="414" t="s">
        <v>2047</v>
      </c>
      <c r="B3" s="1267" t="s">
        <v>2048</v>
      </c>
      <c r="C3" s="2963" t="s">
        <v>3049</v>
      </c>
      <c r="D3" s="2364"/>
      <c r="E3" s="430" t="s">
        <v>2047</v>
      </c>
      <c r="F3" s="2365" t="s">
        <v>2049</v>
      </c>
      <c r="G3" s="2366"/>
      <c r="H3" s="2362"/>
      <c r="I3" s="2362"/>
      <c r="J3" s="2362"/>
      <c r="K3" s="2362"/>
      <c r="L3" s="2362"/>
      <c r="M3" s="2362"/>
      <c r="N3" s="2362"/>
      <c r="O3" s="2362"/>
      <c r="P3" s="2362"/>
      <c r="Q3" s="2362"/>
      <c r="R3" s="2362"/>
    </row>
    <row r="4" spans="1:29" ht="15">
      <c r="A4" s="430"/>
      <c r="B4" s="1793" t="s">
        <v>2050</v>
      </c>
      <c r="C4" s="2367"/>
      <c r="D4" s="2364"/>
      <c r="E4" s="2368"/>
      <c r="F4" s="42" t="s">
        <v>2051</v>
      </c>
      <c r="G4" s="2369"/>
      <c r="H4" s="2362"/>
      <c r="I4" s="2362"/>
      <c r="J4" s="2362"/>
      <c r="K4" s="2362"/>
      <c r="L4" s="2362"/>
      <c r="M4" s="2362"/>
      <c r="N4" s="2362"/>
      <c r="O4" s="2362"/>
      <c r="P4" s="2362"/>
      <c r="Q4" s="2362"/>
      <c r="R4" s="2362"/>
    </row>
    <row r="5" spans="1:29" ht="15">
      <c r="A5" s="430"/>
      <c r="B5" s="1793" t="s">
        <v>2052</v>
      </c>
      <c r="C5" s="2367"/>
      <c r="D5" s="2364"/>
      <c r="E5" s="2368"/>
      <c r="F5" s="1793" t="s">
        <v>2053</v>
      </c>
      <c r="G5" s="2369"/>
      <c r="H5" s="2362"/>
      <c r="I5" s="2362"/>
      <c r="J5" s="2362"/>
      <c r="K5" s="2362"/>
      <c r="L5" s="2362"/>
      <c r="M5" s="2362"/>
      <c r="N5" s="2362"/>
      <c r="O5" s="2362"/>
      <c r="P5" s="2362"/>
      <c r="Q5" s="2362"/>
      <c r="R5" s="2362"/>
    </row>
    <row r="6" spans="1:29" ht="81">
      <c r="A6" s="430"/>
      <c r="B6" s="1793" t="s">
        <v>2054</v>
      </c>
      <c r="C6" s="2964" t="s">
        <v>3052</v>
      </c>
      <c r="D6" s="2364"/>
      <c r="E6" s="2368"/>
      <c r="F6" s="1793" t="s">
        <v>2055</v>
      </c>
      <c r="G6" s="2369"/>
      <c r="H6" s="2362"/>
      <c r="I6" s="2362"/>
      <c r="J6" s="2362"/>
      <c r="K6" s="2362"/>
      <c r="L6" s="2362"/>
      <c r="M6" s="2362"/>
      <c r="N6" s="2362"/>
      <c r="O6" s="2362"/>
      <c r="P6" s="2362"/>
      <c r="Q6" s="2362"/>
      <c r="R6" s="2362"/>
    </row>
    <row r="7" spans="1:29" ht="27.75" thickBot="1">
      <c r="A7" s="430"/>
      <c r="B7" s="1793" t="s">
        <v>2053</v>
      </c>
      <c r="C7" s="2964" t="s">
        <v>3054</v>
      </c>
      <c r="D7" s="2370"/>
      <c r="E7" s="2371"/>
      <c r="F7" s="2372" t="s">
        <v>2056</v>
      </c>
      <c r="G7" s="2373"/>
      <c r="H7" s="2362"/>
      <c r="I7" s="2362"/>
      <c r="J7" s="2362"/>
      <c r="K7" s="2362"/>
      <c r="L7" s="2362"/>
      <c r="M7" s="2362"/>
      <c r="N7" s="2362"/>
      <c r="O7" s="2362"/>
      <c r="P7" s="2362"/>
      <c r="Q7" s="2362"/>
      <c r="R7" s="2362"/>
    </row>
    <row r="8" spans="1:29" ht="27">
      <c r="A8" s="430"/>
      <c r="B8" s="1793" t="s">
        <v>2055</v>
      </c>
      <c r="C8" s="2964" t="s">
        <v>3056</v>
      </c>
      <c r="D8" s="2370"/>
      <c r="E8" s="2370"/>
      <c r="F8" s="1132"/>
      <c r="G8" s="1132"/>
      <c r="H8" s="2362"/>
      <c r="I8" s="2362"/>
      <c r="J8" s="2362"/>
      <c r="K8" s="2362"/>
      <c r="L8" s="2362"/>
      <c r="M8" s="2362"/>
      <c r="N8" s="2362"/>
      <c r="O8" s="2362"/>
      <c r="P8" s="2362"/>
      <c r="Q8" s="2362"/>
      <c r="R8" s="2362"/>
    </row>
    <row r="9" spans="1:29" ht="40.5">
      <c r="A9" s="430"/>
      <c r="B9" s="1793" t="s">
        <v>2057</v>
      </c>
      <c r="C9" s="2965" t="s">
        <v>3058</v>
      </c>
      <c r="D9" s="2364"/>
      <c r="E9" s="2370"/>
      <c r="F9" s="1132"/>
      <c r="G9" s="1132"/>
      <c r="H9" s="2362"/>
      <c r="I9" s="2362"/>
      <c r="J9" s="2362"/>
      <c r="K9" s="2362"/>
      <c r="L9" s="2362"/>
      <c r="M9" s="2362"/>
      <c r="N9" s="2362"/>
      <c r="O9" s="2362"/>
      <c r="P9" s="2362"/>
      <c r="Q9" s="2362"/>
      <c r="R9" s="2362"/>
    </row>
    <row r="10" spans="1:29" s="117" customFormat="1" ht="15.75" thickBot="1">
      <c r="A10" s="2374"/>
      <c r="B10" s="2375" t="s">
        <v>2058</v>
      </c>
      <c r="C10" s="2376" t="s">
        <v>3059</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2059</v>
      </c>
      <c r="B13" s="2381"/>
      <c r="C13" s="2381"/>
      <c r="D13" s="2388"/>
      <c r="E13" s="2381"/>
      <c r="F13" s="2381"/>
      <c r="G13" s="2381"/>
    </row>
    <row r="14" spans="1:29" ht="15.75" thickBot="1">
      <c r="A14" s="2392"/>
      <c r="B14" s="2393"/>
      <c r="C14" s="2394" t="s">
        <v>2060</v>
      </c>
      <c r="D14" s="2364"/>
      <c r="E14" s="2395"/>
      <c r="F14" s="2395"/>
      <c r="G14" s="2359" t="s">
        <v>2061</v>
      </c>
    </row>
    <row r="15" spans="1:29" ht="85.5">
      <c r="A15" s="68" t="s">
        <v>2062</v>
      </c>
      <c r="B15" s="1266" t="s">
        <v>2048</v>
      </c>
      <c r="C15" s="2396" t="str">
        <f>C3</f>
        <v>估价对象周边居住用地比例一般、居住小区规模和社区发展完善程度一般，周边有兴盛馨苑、上林苑等小区，综合评价居住社区成熟度一般</v>
      </c>
      <c r="D15" s="2364"/>
      <c r="E15" s="2397" t="s">
        <v>2063</v>
      </c>
      <c r="F15" s="1266" t="s">
        <v>2064</v>
      </c>
      <c r="G15" s="134">
        <f>G3</f>
        <v>0</v>
      </c>
    </row>
    <row r="16" spans="1:29" ht="15">
      <c r="A16" s="644"/>
      <c r="B16" s="2398" t="s">
        <v>2050</v>
      </c>
      <c r="C16" s="2399">
        <f>C4</f>
        <v>0</v>
      </c>
      <c r="D16" s="2364"/>
      <c r="E16" s="2400"/>
      <c r="F16" s="2401" t="s">
        <v>2051</v>
      </c>
      <c r="G16" s="135">
        <f>G4</f>
        <v>0</v>
      </c>
    </row>
    <row r="17" spans="1:18" ht="15">
      <c r="A17" s="644"/>
      <c r="B17" s="2398" t="s">
        <v>2052</v>
      </c>
      <c r="C17" s="2399">
        <f>C5</f>
        <v>0</v>
      </c>
      <c r="D17" s="2370"/>
      <c r="E17" s="2400"/>
      <c r="F17" s="2401" t="s">
        <v>2065</v>
      </c>
      <c r="G17" s="1567"/>
    </row>
    <row r="18" spans="1:18" ht="85.5">
      <c r="A18" s="644"/>
      <c r="B18" s="2401" t="s">
        <v>2054</v>
      </c>
      <c r="C18" s="135" t="str">
        <f>C6</f>
        <v>估价对象周边道路状况较好、公共交通通达情况较好、停车便捷程度较好，周边临近8号线德茂站、周边有341/453等公交线路，综合评价交通便捷度较好</v>
      </c>
      <c r="D18" s="2370"/>
      <c r="E18" s="2400"/>
      <c r="F18" s="2401" t="s">
        <v>2056</v>
      </c>
      <c r="G18" s="135">
        <f>G7</f>
        <v>0</v>
      </c>
    </row>
    <row r="19" spans="1:18" ht="15">
      <c r="A19" s="644"/>
      <c r="B19" s="2401" t="s">
        <v>2066</v>
      </c>
      <c r="C19" s="2966" t="s">
        <v>3061</v>
      </c>
      <c r="D19" s="2364"/>
      <c r="E19" s="2400"/>
      <c r="F19" s="1793" t="s">
        <v>2053</v>
      </c>
      <c r="G19" s="135">
        <f>G5</f>
        <v>0</v>
      </c>
    </row>
    <row r="20" spans="1:18" ht="42.75">
      <c r="A20" s="644"/>
      <c r="B20" s="2401" t="s">
        <v>2067</v>
      </c>
      <c r="C20" s="2399" t="str">
        <f>C9</f>
        <v>区域自然环境好；人文环境较好；周边有南海子公园等，综合评价环境状况较好</v>
      </c>
      <c r="D20" s="2370"/>
      <c r="E20" s="2400"/>
      <c r="F20" s="1793" t="s">
        <v>2068</v>
      </c>
      <c r="G20" s="135">
        <f>G6</f>
        <v>0</v>
      </c>
    </row>
    <row r="21" spans="1:18" ht="28.5">
      <c r="A21" s="644"/>
      <c r="B21" s="1793" t="s">
        <v>2053</v>
      </c>
      <c r="C21" s="135" t="str">
        <f>C7</f>
        <v>估价对象所在区域公共配套设施齐备情况一般</v>
      </c>
      <c r="D21" s="2364"/>
      <c r="E21" s="2400"/>
      <c r="F21" s="2401" t="s">
        <v>2069</v>
      </c>
      <c r="G21" s="2402"/>
    </row>
    <row r="22" spans="1:18" ht="13.5" customHeight="1">
      <c r="A22" s="644"/>
      <c r="B22" s="1793" t="s">
        <v>2055</v>
      </c>
      <c r="C22" s="135" t="str">
        <f>C8</f>
        <v>估价对象所在区域基础设施水平较好</v>
      </c>
      <c r="D22" s="2364"/>
      <c r="E22" s="2400"/>
      <c r="F22" s="2401" t="s">
        <v>2058</v>
      </c>
      <c r="G22" s="1567"/>
    </row>
    <row r="23" spans="1:18" s="2362" customFormat="1" ht="15.75" thickBot="1">
      <c r="A23" s="644"/>
      <c r="B23" s="2401" t="s">
        <v>2069</v>
      </c>
      <c r="C23" s="2402" t="s">
        <v>3062</v>
      </c>
      <c r="D23" s="2389"/>
      <c r="E23" s="2403"/>
      <c r="F23" s="2404" t="s">
        <v>2070</v>
      </c>
      <c r="G23" s="2405"/>
      <c r="H23" s="2389"/>
      <c r="I23" s="2390"/>
      <c r="J23" s="2389"/>
      <c r="K23" s="2389"/>
      <c r="L23" s="2390"/>
      <c r="M23" s="2389"/>
      <c r="N23" s="2389"/>
      <c r="O23" s="2390"/>
      <c r="P23" s="2389"/>
      <c r="Q23" s="2389"/>
      <c r="R23" s="2391"/>
    </row>
    <row r="24" spans="1:18" s="2362" customFormat="1" ht="15.75" thickBot="1">
      <c r="A24" s="2406"/>
      <c r="B24" s="2404" t="s">
        <v>2071</v>
      </c>
      <c r="C24" s="136" t="str">
        <f>C10</f>
        <v>城市支路-未命名</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1357</v>
      </c>
      <c r="B1" s="1741">
        <f>SUM(B14:B23)</f>
        <v>123740.26</v>
      </c>
      <c r="C1" s="1740"/>
      <c r="D1" s="1740"/>
      <c r="E1" s="1740"/>
      <c r="F1" s="1740"/>
      <c r="G1" s="1738"/>
    </row>
    <row r="2" spans="1:10" ht="16.5">
      <c r="A2" s="1741" t="s">
        <v>1345</v>
      </c>
      <c r="B2" s="1741">
        <f>SUM(C14:C23)</f>
        <v>34567.79</v>
      </c>
      <c r="C2" s="1740"/>
      <c r="D2" s="1740"/>
      <c r="E2" s="1740"/>
      <c r="F2" s="1740"/>
      <c r="G2" s="1738"/>
    </row>
    <row r="3" spans="1:10" ht="16.5">
      <c r="A3" s="1741" t="s">
        <v>1354</v>
      </c>
      <c r="B3" s="1742">
        <f>项目基本情况!D3</f>
        <v>43926</v>
      </c>
      <c r="C3" s="1740"/>
      <c r="D3" s="1740"/>
      <c r="E3" s="1740"/>
      <c r="F3" s="1740"/>
      <c r="G3" s="1738"/>
    </row>
    <row r="4" spans="1:10" ht="33">
      <c r="A4" s="1741" t="s">
        <v>1353</v>
      </c>
      <c r="B4" s="1741" t="s">
        <v>1352</v>
      </c>
      <c r="C4" s="1741" t="s">
        <v>1351</v>
      </c>
      <c r="D4" s="1741" t="s">
        <v>1350</v>
      </c>
      <c r="E4" s="1740"/>
      <c r="F4" s="1738"/>
      <c r="G4" s="1738"/>
    </row>
    <row r="5" spans="1:10" ht="16.5">
      <c r="A5" s="1741" t="s">
        <v>1349</v>
      </c>
      <c r="B5" s="1741">
        <f ca="1">SUM(D14:D23)</f>
        <v>465317</v>
      </c>
      <c r="C5" s="1741">
        <f ca="1">ROUND(B5*10000/$B$1,0)</f>
        <v>37604</v>
      </c>
      <c r="D5" s="1741">
        <f ca="1">ROUND(B5*10000/$B$2,0)</f>
        <v>134610</v>
      </c>
      <c r="E5" s="1740"/>
      <c r="F5" s="1738"/>
      <c r="G5" s="1738"/>
    </row>
    <row r="6" spans="1:10" ht="16.5">
      <c r="A6" s="1741" t="s">
        <v>1348</v>
      </c>
      <c r="B6" s="1741">
        <f>SUM(G14:G23)</f>
        <v>0</v>
      </c>
      <c r="C6" s="1741">
        <f>ROUND(B6*10000/$B$1,0)</f>
        <v>0</v>
      </c>
      <c r="D6" s="1741">
        <f>ROUND(B6*10000/$B$2,0)</f>
        <v>0</v>
      </c>
      <c r="E6" s="1740"/>
      <c r="F6" s="1738"/>
      <c r="G6" s="1738"/>
    </row>
    <row r="7" spans="1:10" ht="16.5">
      <c r="A7" s="1741" t="s">
        <v>1356</v>
      </c>
      <c r="B7" s="1741">
        <f ca="1">SUM(H14:H23)</f>
        <v>465317</v>
      </c>
      <c r="C7" s="1741">
        <f ca="1">ROUND(B7*10000/$B$1,0)</f>
        <v>37604</v>
      </c>
      <c r="D7" s="1741">
        <f ca="1">ROUND(B7*10000/$B$2,0)</f>
        <v>134610</v>
      </c>
      <c r="E7" s="1740"/>
      <c r="F7" s="1738"/>
      <c r="G7" s="1738"/>
    </row>
    <row r="8" spans="1:10" ht="16.5">
      <c r="A8" s="1741" t="s">
        <v>1277</v>
      </c>
      <c r="B8" s="1741">
        <f>SUM(I14:I23)</f>
        <v>0</v>
      </c>
      <c r="C8" s="1741">
        <f>ROUND(B8*10000/$B$1,0)</f>
        <v>0</v>
      </c>
      <c r="D8" s="1741">
        <f>ROUND(B8*10000/$B$2,0)</f>
        <v>0</v>
      </c>
      <c r="E8" s="1740"/>
      <c r="F8" s="1738"/>
      <c r="G8" s="1738"/>
    </row>
    <row r="9" spans="1:10" ht="16.5">
      <c r="A9" s="1741" t="s">
        <v>1347</v>
      </c>
      <c r="B9" s="1743"/>
      <c r="C9" s="1740"/>
      <c r="D9" s="1740"/>
      <c r="E9" s="1740"/>
      <c r="F9" s="1738"/>
      <c r="G9" s="1738"/>
    </row>
    <row r="10" spans="1:10" ht="16.5">
      <c r="A10" s="1741" t="s">
        <v>1346</v>
      </c>
      <c r="B10" s="1743"/>
      <c r="C10" s="1740"/>
      <c r="D10" s="1740"/>
      <c r="E10" s="1740"/>
      <c r="F10" s="1738"/>
      <c r="G10" s="1738"/>
    </row>
    <row r="11" spans="1:10" ht="16.5">
      <c r="A11" s="1741" t="s">
        <v>1362</v>
      </c>
      <c r="B11" s="1743"/>
      <c r="C11" s="1740"/>
      <c r="D11" s="1740"/>
      <c r="E11" s="1740"/>
      <c r="F11" s="1738"/>
      <c r="G11" s="1738"/>
    </row>
    <row r="12" spans="1:10" ht="16.5">
      <c r="A12" s="1740"/>
      <c r="B12" s="1740"/>
      <c r="C12" s="1740"/>
      <c r="D12" s="1740"/>
      <c r="E12" s="1740"/>
      <c r="F12" s="1738"/>
      <c r="G12" s="1738"/>
    </row>
    <row r="13" spans="1:10" ht="33">
      <c r="A13" s="1746" t="s">
        <v>1361</v>
      </c>
      <c r="B13" s="1739" t="s">
        <v>1358</v>
      </c>
      <c r="C13" s="1739" t="s">
        <v>1360</v>
      </c>
      <c r="D13" s="1739" t="s">
        <v>1359</v>
      </c>
      <c r="E13" s="1741" t="s">
        <v>1351</v>
      </c>
      <c r="F13" s="1741" t="s">
        <v>1350</v>
      </c>
      <c r="G13" s="1739" t="s">
        <v>1344</v>
      </c>
      <c r="H13" s="1739" t="s">
        <v>1355</v>
      </c>
      <c r="I13" s="1739" t="s">
        <v>1343</v>
      </c>
      <c r="J13" s="1738"/>
    </row>
    <row r="14" spans="1:10" ht="16.5">
      <c r="A14" s="1737" t="s">
        <v>1342</v>
      </c>
      <c r="B14" s="1739">
        <f>结果表!B118</f>
        <v>123740.26</v>
      </c>
      <c r="C14" s="1739">
        <f>结果表!C118</f>
        <v>34567.79</v>
      </c>
      <c r="D14" s="1739">
        <f ca="1">结果表!H118</f>
        <v>465317</v>
      </c>
      <c r="E14" s="1739">
        <f ca="1">ROUND(D14*10000/B14,0)</f>
        <v>37604</v>
      </c>
      <c r="F14" s="1739">
        <f ca="1">ROUND(D14*10000/C14,0)</f>
        <v>134610</v>
      </c>
      <c r="G14" s="1739" t="str">
        <f>结果表!D122</f>
        <v>——</v>
      </c>
      <c r="H14" s="1739">
        <f ca="1">结果表!D124</f>
        <v>465317</v>
      </c>
      <c r="I14" s="1739" t="str">
        <f>结果表!D126</f>
        <v>——</v>
      </c>
      <c r="J14" s="1738"/>
    </row>
    <row r="15" spans="1:10" ht="16.5">
      <c r="A15" s="1737" t="s">
        <v>1341</v>
      </c>
      <c r="B15" s="1744"/>
      <c r="C15" s="1744"/>
      <c r="D15" s="1744"/>
      <c r="E15" s="1739" t="e">
        <f t="shared" ref="E15:E23" si="0">ROUND(D15*10000/B15,0)</f>
        <v>#DIV/0!</v>
      </c>
      <c r="F15" s="1739" t="e">
        <f t="shared" ref="F15:F23" si="1">ROUND(D15*10000/C15,0)</f>
        <v>#DIV/0!</v>
      </c>
      <c r="G15" s="1745"/>
      <c r="H15" s="1745"/>
      <c r="I15" s="1744"/>
      <c r="J15" s="1738"/>
    </row>
    <row r="16" spans="1:10" ht="16.5">
      <c r="A16" s="1737" t="s">
        <v>1340</v>
      </c>
      <c r="B16" s="1744"/>
      <c r="C16" s="1744"/>
      <c r="D16" s="1744"/>
      <c r="E16" s="1739" t="e">
        <f t="shared" si="0"/>
        <v>#DIV/0!</v>
      </c>
      <c r="F16" s="1739" t="e">
        <f t="shared" si="1"/>
        <v>#DIV/0!</v>
      </c>
      <c r="G16" s="1745"/>
      <c r="H16" s="1745"/>
      <c r="I16" s="1744"/>
    </row>
    <row r="17" spans="1:9" ht="16.5">
      <c r="A17" s="1737" t="s">
        <v>1339</v>
      </c>
      <c r="B17" s="1744"/>
      <c r="C17" s="1744"/>
      <c r="D17" s="1744"/>
      <c r="E17" s="1739" t="e">
        <f t="shared" si="0"/>
        <v>#DIV/0!</v>
      </c>
      <c r="F17" s="1739" t="e">
        <f t="shared" si="1"/>
        <v>#DIV/0!</v>
      </c>
      <c r="G17" s="1745"/>
      <c r="H17" s="1745"/>
      <c r="I17" s="1744"/>
    </row>
    <row r="18" spans="1:9" ht="16.5">
      <c r="A18" s="1737" t="s">
        <v>1338</v>
      </c>
      <c r="B18" s="1744"/>
      <c r="C18" s="1744"/>
      <c r="D18" s="1744"/>
      <c r="E18" s="1739" t="e">
        <f t="shared" si="0"/>
        <v>#DIV/0!</v>
      </c>
      <c r="F18" s="1739" t="e">
        <f t="shared" si="1"/>
        <v>#DIV/0!</v>
      </c>
      <c r="G18" s="1744"/>
      <c r="H18" s="1744"/>
      <c r="I18" s="1744"/>
    </row>
    <row r="19" spans="1:9" ht="16.5">
      <c r="A19" s="1737" t="s">
        <v>1337</v>
      </c>
      <c r="B19" s="1744"/>
      <c r="C19" s="1744"/>
      <c r="D19" s="1744"/>
      <c r="E19" s="1739" t="e">
        <f t="shared" si="0"/>
        <v>#DIV/0!</v>
      </c>
      <c r="F19" s="1739" t="e">
        <f t="shared" si="1"/>
        <v>#DIV/0!</v>
      </c>
      <c r="G19" s="1744"/>
      <c r="H19" s="1744"/>
      <c r="I19" s="1744"/>
    </row>
    <row r="20" spans="1:9" ht="16.5">
      <c r="A20" s="1737" t="s">
        <v>1336</v>
      </c>
      <c r="B20" s="1744"/>
      <c r="C20" s="1744"/>
      <c r="D20" s="1744"/>
      <c r="E20" s="1739" t="e">
        <f t="shared" si="0"/>
        <v>#DIV/0!</v>
      </c>
      <c r="F20" s="1739" t="e">
        <f t="shared" si="1"/>
        <v>#DIV/0!</v>
      </c>
      <c r="G20" s="1744"/>
      <c r="H20" s="1744"/>
      <c r="I20" s="1744"/>
    </row>
    <row r="21" spans="1:9" ht="16.5">
      <c r="A21" s="1737" t="s">
        <v>1335</v>
      </c>
      <c r="B21" s="1744"/>
      <c r="C21" s="1744"/>
      <c r="D21" s="1744"/>
      <c r="E21" s="1739" t="e">
        <f t="shared" si="0"/>
        <v>#DIV/0!</v>
      </c>
      <c r="F21" s="1739" t="e">
        <f t="shared" si="1"/>
        <v>#DIV/0!</v>
      </c>
      <c r="G21" s="1744"/>
      <c r="H21" s="1744"/>
      <c r="I21" s="1744"/>
    </row>
    <row r="22" spans="1:9" ht="16.5">
      <c r="A22" s="1737" t="s">
        <v>1334</v>
      </c>
      <c r="B22" s="1744"/>
      <c r="C22" s="1744"/>
      <c r="D22" s="1744"/>
      <c r="E22" s="1739" t="e">
        <f t="shared" si="0"/>
        <v>#DIV/0!</v>
      </c>
      <c r="F22" s="1739" t="e">
        <f t="shared" si="1"/>
        <v>#DIV/0!</v>
      </c>
      <c r="G22" s="1744"/>
      <c r="H22" s="1744"/>
      <c r="I22" s="1744"/>
    </row>
    <row r="23" spans="1:9" ht="16.5">
      <c r="A23" s="1737" t="s">
        <v>1333</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017" t="str">
        <f>项目基本情况!B1</f>
        <v>北京市大兴区旧宫镇出让国有建设用地使用权及在建建筑物房地产抵押价值预评估</v>
      </c>
      <c r="C37" s="3017"/>
      <c r="D37" s="3017"/>
      <c r="E37" s="3017"/>
      <c r="F37" s="3017"/>
      <c r="G37" s="3017"/>
      <c r="H37" s="3017"/>
      <c r="I37" s="3017"/>
    </row>
    <row r="38" spans="1:9">
      <c r="A38" s="1015"/>
      <c r="B38" s="1015"/>
    </row>
    <row r="39" spans="1:9">
      <c r="A39" s="1013" t="s">
        <v>817</v>
      </c>
      <c r="B39" s="1013" t="s">
        <v>819</v>
      </c>
    </row>
    <row r="40" spans="1:9">
      <c r="A40" s="1013"/>
      <c r="B40" s="1940" t="str">
        <f>项目基本情况!B5</f>
        <v>中信信诚资产管理公司资产管理部</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郑燚（注册号：0)、崔锴（注册号：0)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3" zoomScaleNormal="100" zoomScaleSheetLayoutView="100" zoomScalePageLayoutView="80" workbookViewId="0">
      <selection activeCell="B80" sqref="B79:B80"/>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2072</v>
      </c>
      <c r="B1" s="2412"/>
      <c r="C1" s="2413"/>
      <c r="D1" s="2412"/>
      <c r="E1" s="2412"/>
      <c r="F1" s="2414" t="s">
        <v>2073</v>
      </c>
      <c r="G1" s="2064" t="s">
        <v>2074</v>
      </c>
      <c r="H1" s="2415" t="str">
        <f>IF(G1="现房","——","估价对象范围")</f>
        <v>估价对象范围</v>
      </c>
      <c r="I1" s="2416"/>
    </row>
    <row r="2" spans="1:12" ht="21.75" customHeight="1" thickBot="1">
      <c r="A2" s="3146" t="str">
        <f>项目基本情况!S2</f>
        <v>北京市大兴区旧宫镇出让国有建设用地使用权及在建建筑物房地产</v>
      </c>
      <c r="B2" s="3147"/>
      <c r="C2" s="3147"/>
      <c r="D2" s="3147"/>
      <c r="E2" s="3147"/>
      <c r="F2" s="3147"/>
      <c r="G2" s="3147"/>
      <c r="H2" s="3147"/>
      <c r="I2" s="3148"/>
    </row>
    <row r="3" spans="1:12" ht="12.75">
      <c r="A3" s="3150" t="s">
        <v>2075</v>
      </c>
      <c r="B3" s="3151"/>
      <c r="C3" s="3151"/>
      <c r="D3" s="3151"/>
      <c r="E3" s="3151"/>
      <c r="F3" s="3151"/>
      <c r="G3" s="3151"/>
      <c r="H3" s="3151"/>
      <c r="I3" s="3151"/>
    </row>
    <row r="4" spans="1:12" ht="14.25">
      <c r="A4" s="2419" t="s">
        <v>2076</v>
      </c>
      <c r="B4" s="2420" t="s">
        <v>2077</v>
      </c>
      <c r="C4" s="2421" t="s">
        <v>3253</v>
      </c>
      <c r="D4" s="2421" t="s">
        <v>3254</v>
      </c>
      <c r="E4" s="3143" t="s">
        <v>2078</v>
      </c>
      <c r="F4" s="3144"/>
      <c r="G4" s="3144"/>
      <c r="H4" s="3144"/>
      <c r="I4" s="315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2079</v>
      </c>
      <c r="B5" s="3061">
        <v>25</v>
      </c>
      <c r="C5" s="3129"/>
      <c r="D5" s="3149"/>
      <c r="E5" s="139" t="s">
        <v>2080</v>
      </c>
      <c r="F5" s="2423"/>
      <c r="G5" s="2423"/>
      <c r="H5" s="2423"/>
      <c r="I5" s="1829"/>
    </row>
    <row r="6" spans="1:12" ht="12.75">
      <c r="A6" s="3126"/>
      <c r="B6" s="3061"/>
      <c r="C6" s="3130"/>
      <c r="D6" s="3149"/>
      <c r="E6" s="139" t="s">
        <v>2081</v>
      </c>
      <c r="F6" s="2423"/>
      <c r="G6" s="2423"/>
      <c r="H6" s="2423"/>
      <c r="I6" s="1829"/>
    </row>
    <row r="7" spans="1:12" ht="12.75">
      <c r="A7" s="3126"/>
      <c r="B7" s="3061"/>
      <c r="C7" s="3131"/>
      <c r="D7" s="3149"/>
      <c r="E7" s="139" t="s">
        <v>2082</v>
      </c>
      <c r="F7" s="2423"/>
      <c r="G7" s="2423"/>
      <c r="H7" s="2423"/>
      <c r="I7" s="1829"/>
    </row>
    <row r="8" spans="1:12" ht="12.75">
      <c r="A8" s="3126" t="s">
        <v>2083</v>
      </c>
      <c r="B8" s="3061">
        <v>15</v>
      </c>
      <c r="C8" s="3129"/>
      <c r="D8" s="3149"/>
      <c r="E8" s="139" t="s">
        <v>2084</v>
      </c>
      <c r="F8" s="2423"/>
      <c r="G8" s="2423"/>
      <c r="H8" s="2423"/>
      <c r="I8" s="1829"/>
    </row>
    <row r="9" spans="1:12" ht="12.75">
      <c r="A9" s="3126"/>
      <c r="B9" s="3061"/>
      <c r="C9" s="3131"/>
      <c r="D9" s="3149"/>
      <c r="E9" s="139" t="s">
        <v>2085</v>
      </c>
      <c r="F9" s="2423"/>
      <c r="G9" s="2423"/>
      <c r="H9" s="2423"/>
      <c r="I9" s="1829"/>
    </row>
    <row r="10" spans="1:12" ht="12.75">
      <c r="A10" s="3126" t="s">
        <v>2086</v>
      </c>
      <c r="B10" s="3061">
        <v>15</v>
      </c>
      <c r="C10" s="3129"/>
      <c r="D10" s="3149"/>
      <c r="E10" s="139" t="s">
        <v>2087</v>
      </c>
      <c r="F10" s="2423"/>
      <c r="G10" s="2423"/>
      <c r="H10" s="2423"/>
      <c r="I10" s="1829"/>
    </row>
    <row r="11" spans="1:12" ht="12.75">
      <c r="A11" s="3126"/>
      <c r="B11" s="3061"/>
      <c r="C11" s="3131"/>
      <c r="D11" s="3149"/>
      <c r="E11" s="139" t="s">
        <v>2088</v>
      </c>
      <c r="F11" s="2423"/>
      <c r="G11" s="2423"/>
      <c r="H11" s="2423"/>
      <c r="I11" s="1829"/>
    </row>
    <row r="12" spans="1:12" ht="12.75">
      <c r="A12" s="3126" t="s">
        <v>2089</v>
      </c>
      <c r="B12" s="3061">
        <v>15</v>
      </c>
      <c r="C12" s="3129"/>
      <c r="D12" s="3149"/>
      <c r="E12" s="139" t="s">
        <v>2090</v>
      </c>
      <c r="F12" s="2423"/>
      <c r="G12" s="2423"/>
      <c r="H12" s="2423"/>
      <c r="I12" s="1829"/>
    </row>
    <row r="13" spans="1:12" ht="12.75">
      <c r="A13" s="3126"/>
      <c r="B13" s="3061"/>
      <c r="C13" s="3131"/>
      <c r="D13" s="3149"/>
      <c r="E13" s="139" t="s">
        <v>2091</v>
      </c>
      <c r="F13" s="2423"/>
      <c r="G13" s="2423"/>
      <c r="H13" s="2423"/>
      <c r="I13" s="1829"/>
    </row>
    <row r="14" spans="1:12" ht="12.75">
      <c r="A14" s="3126" t="s">
        <v>2092</v>
      </c>
      <c r="B14" s="3061">
        <v>30</v>
      </c>
      <c r="C14" s="3129">
        <v>5</v>
      </c>
      <c r="D14" s="3149">
        <v>5</v>
      </c>
      <c r="E14" s="139" t="s">
        <v>2093</v>
      </c>
      <c r="F14" s="2423"/>
      <c r="G14" s="2423"/>
      <c r="H14" s="2423"/>
      <c r="I14" s="1829"/>
    </row>
    <row r="15" spans="1:12" ht="12.75">
      <c r="A15" s="3126"/>
      <c r="B15" s="3061"/>
      <c r="C15" s="3130"/>
      <c r="D15" s="3149"/>
      <c r="E15" s="139" t="s">
        <v>2094</v>
      </c>
      <c r="F15" s="2423"/>
      <c r="G15" s="2423"/>
      <c r="H15" s="2423"/>
      <c r="I15" s="1829"/>
    </row>
    <row r="16" spans="1:12" ht="12.75">
      <c r="A16" s="3126"/>
      <c r="B16" s="3061"/>
      <c r="C16" s="3131"/>
      <c r="D16" s="3149"/>
      <c r="E16" s="139" t="s">
        <v>2095</v>
      </c>
      <c r="F16" s="2423"/>
      <c r="G16" s="2423"/>
      <c r="H16" s="2423"/>
      <c r="I16" s="1829"/>
    </row>
    <row r="17" spans="1:35" ht="15">
      <c r="A17" s="2424" t="s">
        <v>2096</v>
      </c>
      <c r="B17" s="64"/>
      <c r="C17" s="140">
        <f>SUM(C5:C16)</f>
        <v>5</v>
      </c>
      <c r="D17" s="140">
        <f>SUM(D5:D16)</f>
        <v>5</v>
      </c>
      <c r="E17" s="137"/>
      <c r="F17" s="137"/>
      <c r="G17" s="137"/>
      <c r="H17" s="137"/>
      <c r="I17" s="137"/>
      <c r="K17" s="2422"/>
      <c r="L17" s="2425" t="s">
        <v>2097</v>
      </c>
      <c r="M17" s="2425" t="s">
        <v>2098</v>
      </c>
    </row>
    <row r="18" spans="1:35" ht="15.75" thickBot="1">
      <c r="A18" s="2426" t="s">
        <v>2099</v>
      </c>
      <c r="B18" s="2427"/>
      <c r="C18" s="141">
        <f>ROUND(C17/SUM(C17:D17),2)</f>
        <v>0.5</v>
      </c>
      <c r="D18" s="141">
        <f>1-C18</f>
        <v>0.5</v>
      </c>
      <c r="E18" s="137"/>
      <c r="F18" s="137"/>
      <c r="G18" s="137"/>
      <c r="H18" s="137"/>
      <c r="I18" s="137"/>
      <c r="K18" s="2422" t="s">
        <v>2100</v>
      </c>
      <c r="L18" s="2422">
        <f>IF(C1="",'数据-汇总表'!E3,SUMIF(项目类型,C1,'数据-汇总表'!E17:E26)+SUMIF(项目类型,C1,'数据-汇总表'!I17:I26))</f>
        <v>123740.26</v>
      </c>
      <c r="M18" s="2422">
        <f>IF(C1="",'数据-汇总表'!E3,SUMIF(项目类型,C1,'数据-汇总表'!E17:E26))</f>
        <v>123740.26</v>
      </c>
    </row>
    <row r="19" spans="1:35" ht="15">
      <c r="A19" s="2428" t="s">
        <v>2101</v>
      </c>
      <c r="B19" s="2429" t="s">
        <v>2102</v>
      </c>
      <c r="C19" s="142">
        <f ca="1">SUMIF(INDIRECT("'"&amp;C4&amp;"'"&amp;"!A:A"),结果表!B19,INDIRECT("'"&amp;C4&amp;"'"&amp;"!B:B"))</f>
        <v>460923</v>
      </c>
      <c r="D19" s="143">
        <f ca="1">SUMIF(INDIRECT("'"&amp;D4&amp;"'"&amp;"!A:A"),结果表!B19,INDIRECT("'"&amp;D4&amp;"'"&amp;"!B:B"))</f>
        <v>469710</v>
      </c>
      <c r="E19" s="2428" t="s">
        <v>2103</v>
      </c>
      <c r="F19" s="2429" t="s">
        <v>2102</v>
      </c>
      <c r="G19" s="144">
        <f ca="1">ROUND(C19*$C$18+D19*$D$18,0)</f>
        <v>465317</v>
      </c>
      <c r="H19" s="2430" t="s">
        <v>2104</v>
      </c>
      <c r="I19" s="137"/>
      <c r="K19" s="2422" t="s">
        <v>2105</v>
      </c>
      <c r="L19" s="2422">
        <f>IF(C1="",'数据-汇总表'!D3,SUMIF(项目类型,C1,'数据-汇总表'!D17:D26)+SUMIF(项目类型,C1,'数据-汇总表'!H17:H27))</f>
        <v>34567.79</v>
      </c>
      <c r="M19" s="2422">
        <f>IF(C1="",'数据-汇总表'!D3,SUMIF(项目类型,C1,'数据-汇总表'!D17:D26))</f>
        <v>34567.79</v>
      </c>
    </row>
    <row r="20" spans="1:35" ht="15">
      <c r="A20" s="2431"/>
      <c r="B20" s="1246" t="s">
        <v>2106</v>
      </c>
      <c r="C20" s="145">
        <f ca="1">SUMIF(INDIRECT("'"&amp;C4&amp;"'"&amp;"!A:A"),结果表!B20,INDIRECT("'"&amp;C4&amp;"'"&amp;"!B:B"))</f>
        <v>37249</v>
      </c>
      <c r="D20" s="146">
        <f ca="1">SUMIF(INDIRECT("'"&amp;D4&amp;"'"&amp;"!A:A"),结果表!B20,INDIRECT("'"&amp;D4&amp;"'"&amp;"!B:B"))</f>
        <v>37959</v>
      </c>
      <c r="E20" s="2431"/>
      <c r="F20" s="1246" t="s">
        <v>2106</v>
      </c>
      <c r="G20" s="147">
        <f ca="1">ROUND(C20*$C$18+D20*$D$18,0)</f>
        <v>37604</v>
      </c>
      <c r="H20" s="979" t="s">
        <v>2107</v>
      </c>
      <c r="I20" s="137"/>
    </row>
    <row r="21" spans="1:35" ht="15" customHeight="1" thickBot="1">
      <c r="A21" s="999"/>
      <c r="B21" s="2432" t="s">
        <v>2108</v>
      </c>
      <c r="C21" s="788">
        <f ca="1">ROUND(C19*10000/L19,0)</f>
        <v>133339</v>
      </c>
      <c r="D21" s="789">
        <f ca="1">ROUND(D19*10000/L19,0)</f>
        <v>135881</v>
      </c>
      <c r="E21" s="999"/>
      <c r="F21" s="2432" t="s">
        <v>2108</v>
      </c>
      <c r="G21" s="148">
        <f ca="1">ROUND(G19*10000/L19,0)</f>
        <v>134610</v>
      </c>
      <c r="H21" s="2433" t="s">
        <v>2107</v>
      </c>
      <c r="I21" s="137"/>
    </row>
    <row r="22" spans="1:35" ht="15" thickBot="1">
      <c r="A22" s="2275" t="s">
        <v>2109</v>
      </c>
      <c r="B22" s="2434"/>
      <c r="C22" s="2435"/>
      <c r="D22" s="790">
        <f ca="1">IF(C19&lt;D19,D19/C19-1,C19/D19-1)</f>
        <v>1.9063921739639778E-2</v>
      </c>
      <c r="E22" s="137"/>
      <c r="F22" s="137"/>
      <c r="G22" s="137"/>
      <c r="H22" s="137"/>
      <c r="I22" s="137"/>
    </row>
    <row r="23" spans="1:35" ht="13.5" thickBot="1">
      <c r="A23" s="2412"/>
      <c r="B23" s="2412"/>
      <c r="C23" s="2412"/>
      <c r="D23" s="2412"/>
      <c r="E23" s="137"/>
      <c r="F23" s="137"/>
      <c r="G23" s="137"/>
      <c r="H23" s="137"/>
      <c r="I23" s="137"/>
    </row>
    <row r="24" spans="1:35" ht="14.25">
      <c r="A24" s="3120" t="s">
        <v>2110</v>
      </c>
      <c r="B24" s="2429" t="s">
        <v>2102</v>
      </c>
      <c r="C24" s="144">
        <f>IF(B30=0,0,D30)</f>
        <v>0</v>
      </c>
      <c r="D24" s="2436"/>
      <c r="E24" s="137"/>
      <c r="F24" s="137"/>
      <c r="G24" s="137"/>
      <c r="H24" s="137"/>
      <c r="I24" s="137"/>
    </row>
    <row r="25" spans="1:35" ht="14.25">
      <c r="A25" s="3121"/>
      <c r="B25" s="1246" t="s">
        <v>2106</v>
      </c>
      <c r="C25" s="149">
        <f>IF(B30=0,0,C30)</f>
        <v>0</v>
      </c>
      <c r="D25" s="2437"/>
      <c r="E25" s="137"/>
      <c r="F25" s="137"/>
      <c r="G25" s="137"/>
      <c r="H25" s="137"/>
      <c r="I25" s="137"/>
    </row>
    <row r="26" spans="1:35" ht="13.5" customHeight="1">
      <c r="A26" s="2438" t="s">
        <v>2111</v>
      </c>
      <c r="B26" s="150" t="s">
        <v>2112</v>
      </c>
      <c r="C26" s="150" t="s">
        <v>2113</v>
      </c>
      <c r="D26" s="151" t="s">
        <v>2114</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2115</v>
      </c>
      <c r="B30" s="150"/>
      <c r="C30" s="150"/>
      <c r="D30" s="150"/>
      <c r="E30" s="2919" t="s">
        <v>2985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2116</v>
      </c>
      <c r="B32" s="2442"/>
      <c r="C32" s="152">
        <f ca="1">IF(D32="总价",G19-C24,G20-C25)</f>
        <v>465317</v>
      </c>
      <c r="D32" s="2443" t="s">
        <v>2117</v>
      </c>
      <c r="E32" s="137"/>
      <c r="F32" s="137"/>
      <c r="G32" s="137"/>
      <c r="H32" s="137"/>
      <c r="I32" s="137"/>
    </row>
    <row r="33" spans="1:15" ht="15">
      <c r="A33" s="956" t="s">
        <v>2118</v>
      </c>
      <c r="B33" s="2444"/>
      <c r="C33" s="2445" t="s">
        <v>3262</v>
      </c>
      <c r="D33" s="2446" t="s">
        <v>3253</v>
      </c>
      <c r="E33" s="2447" t="s">
        <v>2119</v>
      </c>
      <c r="F33" s="2448" t="str">
        <f>IF(D32="楼面单价","取值（单价）","取值（总价）")</f>
        <v>取值（总价）</v>
      </c>
      <c r="G33" s="137"/>
      <c r="H33" s="137"/>
      <c r="I33" s="137"/>
    </row>
    <row r="34" spans="1:15" ht="15">
      <c r="A34" s="2449"/>
      <c r="B34" s="2450" t="s">
        <v>2120</v>
      </c>
      <c r="C34" s="156">
        <f ca="1">IF(C33="自定义",F34,C32-C35)</f>
        <v>408083</v>
      </c>
      <c r="D34" s="1054">
        <f ca="1">IF(C33="自定义",ROUND(C34/C32,3),IF(C33="收益比率",SUMIF(INDIRECT("'"&amp;D33&amp;"'"&amp;"!b:b"),"土地收益比率",INDIRECT("'"&amp;D33&amp;"'"&amp;"!c:c")),SUMIF(INDIRECT("'"&amp;D33&amp;"'"&amp;"!b:b"),"土地成本比率",INDIRECT("'"&amp;D33&amp;"'"&amp;"!c:c"))))</f>
        <v>0.877</v>
      </c>
      <c r="E34" s="2451" t="s">
        <v>2121</v>
      </c>
      <c r="F34" s="1734"/>
      <c r="G34" s="137"/>
      <c r="H34" s="137"/>
      <c r="I34" s="137"/>
    </row>
    <row r="35" spans="1:15" ht="15.75" thickBot="1">
      <c r="A35" s="2452"/>
      <c r="B35" s="2453" t="s">
        <v>2122</v>
      </c>
      <c r="C35" s="1440">
        <f ca="1">IF(C33="自定义",F35,ROUND(C32*D35,0))</f>
        <v>57234</v>
      </c>
      <c r="D35" s="1441">
        <f ca="1">IF(C33="自定义",ROUND(C35/C32,3),IF(C33="收益比率",SUMIF(INDIRECT("'"&amp;D33&amp;"'"&amp;"!b:b"),"建筑物收益比率",INDIRECT("'"&amp;D33&amp;"'"&amp;"!c:c")),SUMIF(INDIRECT("'"&amp;D33&amp;"'"&amp;"!b:b"),"建筑物成本比率",INDIRECT("'"&amp;D33&amp;"'"&amp;"!c:c"))))</f>
        <v>0.123</v>
      </c>
      <c r="E35" s="2454" t="s">
        <v>2123</v>
      </c>
      <c r="F35" s="162"/>
      <c r="G35" s="137"/>
      <c r="H35" s="137"/>
      <c r="I35" s="137"/>
    </row>
    <row r="36" spans="1:15" ht="15.75" thickBot="1">
      <c r="A36" s="3138" t="s">
        <v>2124</v>
      </c>
      <c r="B36" s="2455" t="s">
        <v>2125</v>
      </c>
      <c r="C36" s="153"/>
      <c r="D36" s="2456"/>
      <c r="E36" s="2457"/>
      <c r="F36" s="2458"/>
      <c r="G36" s="137"/>
      <c r="H36" s="137"/>
      <c r="I36" s="137"/>
    </row>
    <row r="37" spans="1:15" ht="15.75" thickBot="1">
      <c r="A37" s="3139"/>
      <c r="B37" s="2261" t="s">
        <v>2126</v>
      </c>
      <c r="C37" s="155"/>
      <c r="D37" s="1391"/>
      <c r="E37" s="1391"/>
      <c r="F37" s="2458"/>
      <c r="G37" s="137"/>
      <c r="H37" s="137"/>
      <c r="I37" s="137"/>
    </row>
    <row r="38" spans="1:15" ht="15.75" thickBot="1">
      <c r="A38" s="3140"/>
      <c r="B38" s="2459" t="s">
        <v>2127</v>
      </c>
      <c r="C38" s="726"/>
      <c r="D38" s="2460" t="s">
        <v>2128</v>
      </c>
      <c r="E38" s="1391"/>
      <c r="F38" s="2458"/>
      <c r="G38" s="137"/>
      <c r="H38" s="137"/>
      <c r="I38" s="137"/>
    </row>
    <row r="39" spans="1:15" ht="15">
      <c r="A39" s="2431" t="s">
        <v>2129</v>
      </c>
      <c r="B39" s="2461" t="s">
        <v>2130</v>
      </c>
      <c r="C39" s="2462" t="s">
        <v>2131</v>
      </c>
      <c r="D39" s="2462" t="s">
        <v>2132</v>
      </c>
      <c r="E39" s="2463" t="s">
        <v>2133</v>
      </c>
      <c r="F39" s="2458"/>
      <c r="G39" s="137"/>
      <c r="H39" s="137"/>
      <c r="I39" s="137"/>
    </row>
    <row r="40" spans="1:15" ht="14.25">
      <c r="A40" s="2464" t="s">
        <v>2134</v>
      </c>
      <c r="B40" s="157"/>
      <c r="C40" s="158"/>
      <c r="D40" s="158"/>
      <c r="E40" s="159"/>
      <c r="F40" s="2458"/>
      <c r="G40" s="137"/>
      <c r="H40" s="137"/>
      <c r="I40" s="137"/>
    </row>
    <row r="41" spans="1:15" ht="14.25">
      <c r="A41" s="2464" t="s">
        <v>2135</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2136</v>
      </c>
      <c r="B44" s="2469"/>
      <c r="C44" s="2469"/>
      <c r="D44" s="2470"/>
      <c r="E44" s="2470"/>
      <c r="F44" s="2471"/>
      <c r="G44" s="2471"/>
      <c r="H44" s="2471"/>
      <c r="I44" s="2471"/>
      <c r="J44" s="2472" t="s">
        <v>2137</v>
      </c>
      <c r="K44" s="2473"/>
      <c r="L44" s="2473"/>
      <c r="M44" s="2473"/>
      <c r="N44" s="2473"/>
      <c r="O44" s="2473"/>
    </row>
    <row r="45" spans="1:15" ht="14.25" customHeight="1" thickBot="1">
      <c r="A45" s="3117" t="s">
        <v>2138</v>
      </c>
      <c r="B45" s="3118"/>
      <c r="C45" s="3119"/>
      <c r="D45" s="163">
        <f ca="1">ROUND(H101*F45,0)</f>
        <v>279190</v>
      </c>
      <c r="E45" s="164" t="s">
        <v>2139</v>
      </c>
      <c r="F45" s="165">
        <v>0.6</v>
      </c>
      <c r="G45" s="166" t="s">
        <v>2140</v>
      </c>
      <c r="H45" s="137"/>
      <c r="I45" s="137"/>
      <c r="J45" s="3177" t="s">
        <v>2141</v>
      </c>
      <c r="K45" s="3177"/>
      <c r="L45" s="3177"/>
      <c r="M45" s="3177"/>
      <c r="N45" s="3177"/>
      <c r="O45" s="3177"/>
    </row>
    <row r="46" spans="1:15" ht="14.25" customHeight="1">
      <c r="A46" s="3114" t="s">
        <v>2142</v>
      </c>
      <c r="B46" s="3115"/>
      <c r="C46" s="3115"/>
      <c r="D46" s="3115"/>
      <c r="E46" s="3115"/>
      <c r="F46" s="3115"/>
      <c r="G46" s="3116"/>
      <c r="H46" s="2474"/>
      <c r="I46" s="167"/>
      <c r="J46" s="1807">
        <v>1</v>
      </c>
      <c r="K46" s="3177" t="s">
        <v>2143</v>
      </c>
      <c r="L46" s="3177"/>
      <c r="M46" s="3197"/>
      <c r="N46" s="3197"/>
      <c r="O46" s="3197"/>
    </row>
    <row r="47" spans="1:15" ht="12" customHeight="1">
      <c r="A47" s="168" t="s">
        <v>2144</v>
      </c>
      <c r="B47" s="169"/>
      <c r="C47" s="170"/>
      <c r="D47" s="171" t="s">
        <v>2145</v>
      </c>
      <c r="E47" s="24" t="s">
        <v>2146</v>
      </c>
      <c r="F47" s="172" t="s">
        <v>2147</v>
      </c>
      <c r="G47" s="173" t="s">
        <v>2148</v>
      </c>
      <c r="H47" s="2474"/>
      <c r="I47" s="167"/>
      <c r="J47" s="1807">
        <v>2</v>
      </c>
      <c r="K47" s="3177" t="s">
        <v>2149</v>
      </c>
      <c r="L47" s="3177"/>
      <c r="M47" s="3198">
        <f>'数据-取费表'!B2</f>
        <v>43926</v>
      </c>
      <c r="N47" s="3198"/>
      <c r="O47" s="3198"/>
    </row>
    <row r="48" spans="1:15" ht="25.5">
      <c r="A48" s="3145" t="s">
        <v>2150</v>
      </c>
      <c r="B48" s="3128"/>
      <c r="C48" s="3128"/>
      <c r="D48" s="139">
        <f ca="1">IF(H48="情况1",0,IF(H48="情况2",D52,IF(H48="情况3",D53,IF(H48="情况4",D54))))</f>
        <v>14890</v>
      </c>
      <c r="E48" s="1796" t="str">
        <f>IF(H48="情况4","(销售额-原购置价)×税（费）率","销售额×税（费）率")</f>
        <v>销售额×税（费）率</v>
      </c>
      <c r="F48" s="174">
        <f>IF(H48="情况1","免征",'数据-取费表'!B41)</f>
        <v>5.6000000000000001E-2</v>
      </c>
      <c r="G48" s="2475" t="s">
        <v>2151</v>
      </c>
      <c r="H48" s="2476" t="s">
        <v>3360</v>
      </c>
      <c r="I48" s="2474"/>
      <c r="J48" s="1807">
        <v>3</v>
      </c>
      <c r="K48" s="3177" t="s">
        <v>2152</v>
      </c>
      <c r="L48" s="3177"/>
      <c r="M48" s="3199">
        <f ca="1">H101</f>
        <v>465317</v>
      </c>
      <c r="N48" s="3199"/>
      <c r="O48" s="3199"/>
    </row>
    <row r="49" spans="1:35" ht="25.5" customHeight="1">
      <c r="A49" s="175" t="s">
        <v>2153</v>
      </c>
      <c r="B49" s="3113" t="s">
        <v>2154</v>
      </c>
      <c r="C49" s="3113"/>
      <c r="D49" s="176">
        <v>0</v>
      </c>
      <c r="E49" s="23" t="s">
        <v>2155</v>
      </c>
      <c r="F49" s="28" t="s">
        <v>34</v>
      </c>
      <c r="G49" s="3183"/>
      <c r="H49" s="137"/>
      <c r="I49" s="2477"/>
      <c r="J49" s="1807">
        <v>4</v>
      </c>
      <c r="K49" s="3177" t="str">
        <f>IF(项目基本情况!E8="房地产抵押价值","房地产抵押价值","抵押担保权已注销时的房地产抵押价值")</f>
        <v>抵押担保权已注销时的房地产抵押价值</v>
      </c>
      <c r="L49" s="3177"/>
      <c r="M49" s="3199">
        <f ca="1">IF(项目基本情况!E8="房地产抵押价值",H107,H109)</f>
        <v>465317</v>
      </c>
      <c r="N49" s="3199"/>
      <c r="O49" s="3199"/>
    </row>
    <row r="50" spans="1:35" ht="25.5" customHeight="1">
      <c r="A50" s="177"/>
      <c r="B50" s="3113" t="s">
        <v>2156</v>
      </c>
      <c r="C50" s="3113"/>
      <c r="D50" s="178"/>
      <c r="E50" s="31"/>
      <c r="F50" s="179"/>
      <c r="G50" s="3184"/>
      <c r="H50" s="137"/>
      <c r="I50" s="2477"/>
      <c r="J50" s="3177" t="s">
        <v>2157</v>
      </c>
      <c r="K50" s="3177"/>
      <c r="L50" s="3177"/>
      <c r="M50" s="3177"/>
      <c r="N50" s="3177"/>
      <c r="O50" s="3177"/>
    </row>
    <row r="51" spans="1:35" ht="12" customHeight="1">
      <c r="A51" s="180"/>
      <c r="B51" s="3113" t="s">
        <v>2158</v>
      </c>
      <c r="C51" s="3113"/>
      <c r="D51" s="181"/>
      <c r="E51" s="30"/>
      <c r="F51" s="179"/>
      <c r="G51" s="3185"/>
      <c r="H51" s="137"/>
      <c r="I51" s="2477"/>
      <c r="J51" s="2478" t="s">
        <v>2159</v>
      </c>
      <c r="K51" s="3177" t="s">
        <v>2160</v>
      </c>
      <c r="L51" s="3177"/>
      <c r="M51" s="2478" t="s">
        <v>2161</v>
      </c>
      <c r="N51" s="2478" t="s">
        <v>2162</v>
      </c>
      <c r="O51" s="2478" t="s">
        <v>2163</v>
      </c>
    </row>
    <row r="52" spans="1:35" ht="24" customHeight="1">
      <c r="A52" s="182" t="s">
        <v>2164</v>
      </c>
      <c r="B52" s="3113" t="s">
        <v>2165</v>
      </c>
      <c r="C52" s="3113"/>
      <c r="D52" s="181">
        <f ca="1">ROUND(D45*'数据-取费表'!B41/(1+'数据-取费表'!C42),0)</f>
        <v>14890</v>
      </c>
      <c r="E52" s="11" t="s">
        <v>2166</v>
      </c>
      <c r="F52" s="183">
        <f>'数据-取费表'!B41</f>
        <v>5.6000000000000001E-2</v>
      </c>
      <c r="G52" s="2479"/>
      <c r="H52" s="137"/>
      <c r="I52" s="2477"/>
      <c r="J52" s="1807">
        <v>1</v>
      </c>
      <c r="K52" s="3178" t="s">
        <v>2167</v>
      </c>
      <c r="L52" s="3178"/>
      <c r="M52" s="1749">
        <f ca="1">D48</f>
        <v>14890</v>
      </c>
      <c r="N52" s="1807" t="str">
        <f>E48</f>
        <v>销售额×税（费）率</v>
      </c>
      <c r="O52" s="1750">
        <f>F48</f>
        <v>5.6000000000000001E-2</v>
      </c>
    </row>
    <row r="53" spans="1:35" ht="12" customHeight="1">
      <c r="A53" s="182" t="s">
        <v>2168</v>
      </c>
      <c r="B53" s="3136" t="s">
        <v>2169</v>
      </c>
      <c r="C53" s="3137"/>
      <c r="D53" s="181">
        <f ca="1">ROUND(D45*'数据-取费表'!B41/(1+'数据-取费表'!C42),0)</f>
        <v>14890</v>
      </c>
      <c r="E53" s="11" t="s">
        <v>2166</v>
      </c>
      <c r="F53" s="183">
        <f>'数据-取费表'!B41</f>
        <v>5.6000000000000001E-2</v>
      </c>
      <c r="G53" s="2479"/>
      <c r="H53" s="137"/>
      <c r="I53" s="2477"/>
      <c r="J53" s="1807">
        <v>2</v>
      </c>
      <c r="K53" s="3178" t="s">
        <v>2170</v>
      </c>
      <c r="L53" s="3178"/>
      <c r="M53" s="1749">
        <f t="shared" ref="M53:O54" ca="1" si="0">D55</f>
        <v>140</v>
      </c>
      <c r="N53" s="1807" t="str">
        <f t="shared" si="0"/>
        <v>销售额×税（费）率</v>
      </c>
      <c r="O53" s="1750">
        <f t="shared" si="0"/>
        <v>5.0000000000000001E-4</v>
      </c>
    </row>
    <row r="54" spans="1:35" ht="12" customHeight="1">
      <c r="A54" s="182" t="s">
        <v>2171</v>
      </c>
      <c r="B54" s="3136" t="s">
        <v>2172</v>
      </c>
      <c r="C54" s="3137"/>
      <c r="D54" s="181">
        <f ca="1">C68</f>
        <v>14890</v>
      </c>
      <c r="E54" s="30" t="s">
        <v>2173</v>
      </c>
      <c r="F54" s="183">
        <f>'数据-取费表'!B41</f>
        <v>5.6000000000000001E-2</v>
      </c>
      <c r="G54" s="2479"/>
      <c r="H54" s="2480"/>
      <c r="I54" s="2477"/>
      <c r="J54" s="1807">
        <v>3</v>
      </c>
      <c r="K54" s="3178" t="s">
        <v>2174</v>
      </c>
      <c r="L54" s="3178"/>
      <c r="M54" s="1749">
        <f t="shared" ca="1" si="0"/>
        <v>0</v>
      </c>
      <c r="N54" s="1807" t="str">
        <f t="shared" si="0"/>
        <v>增值额×税（费）率</v>
      </c>
      <c r="O54" s="1751" t="str">
        <f t="shared" si="0"/>
        <v>——</v>
      </c>
    </row>
    <row r="55" spans="1:35" ht="24" customHeight="1">
      <c r="A55" s="3127" t="s">
        <v>2175</v>
      </c>
      <c r="B55" s="3128"/>
      <c r="C55" s="3128"/>
      <c r="D55" s="184">
        <f ca="1">IF(H55="个人住宅",0,ROUND(D45*I55,0))</f>
        <v>140</v>
      </c>
      <c r="E55" s="11" t="s">
        <v>2176</v>
      </c>
      <c r="F55" s="183">
        <f>IF(H55="正常",I55,"免征")</f>
        <v>5.0000000000000001E-4</v>
      </c>
      <c r="G55" s="2479"/>
      <c r="H55" s="2476" t="s">
        <v>2177</v>
      </c>
      <c r="I55" s="185">
        <f>'数据-取费表'!B49</f>
        <v>5.0000000000000001E-4</v>
      </c>
      <c r="J55" s="1807" t="str">
        <f>IF(H59="非个人房产","",4)</f>
        <v/>
      </c>
      <c r="K55" s="3178" t="str">
        <f>IF(H59="非个人房产","——","个人所得税")</f>
        <v>——</v>
      </c>
      <c r="L55" s="3178"/>
      <c r="M55" s="1752" t="str">
        <f>D59</f>
        <v>——</v>
      </c>
      <c r="N55" s="1805" t="str">
        <f>E59</f>
        <v>——</v>
      </c>
      <c r="O55" s="1753" t="str">
        <f>F59</f>
        <v>——</v>
      </c>
    </row>
    <row r="56" spans="1:35" ht="24.75">
      <c r="A56" s="3127" t="s">
        <v>2178</v>
      </c>
      <c r="B56" s="3128"/>
      <c r="C56" s="3128"/>
      <c r="D56" s="184">
        <f ca="1">IF(H56="个人住宅",D57,D58)</f>
        <v>0</v>
      </c>
      <c r="E56" s="11" t="s">
        <v>2179</v>
      </c>
      <c r="F56" s="183" t="str">
        <f>IF(H56="正常",F58,"免征")</f>
        <v>——</v>
      </c>
      <c r="G56" s="2481" t="s">
        <v>2180</v>
      </c>
      <c r="H56" s="2482" t="s">
        <v>2177</v>
      </c>
      <c r="I56" s="2483"/>
      <c r="J56" s="1807" t="str">
        <f>IF(项目基本情况!K6="上海银行",IF(J55="",4,J55+1),"")</f>
        <v/>
      </c>
      <c r="K56" s="3201" t="str">
        <f>IF(项目基本情况!K6="上海银行","其他处置费用","")</f>
        <v/>
      </c>
      <c r="L56" s="3202"/>
      <c r="M56" s="1749" t="str">
        <f>IF(项目基本情况!K6="上海银行",M69,"")</f>
        <v/>
      </c>
      <c r="N56" s="3204" t="str">
        <f>IF(项目基本情况!K6="上海银行","包含处置中涉及的律师、诉讼、拍卖、评估等费用","")</f>
        <v/>
      </c>
      <c r="O56" s="3205"/>
    </row>
    <row r="57" spans="1:35" ht="12.75">
      <c r="A57" s="182" t="s">
        <v>2153</v>
      </c>
      <c r="B57" s="3143" t="s">
        <v>2181</v>
      </c>
      <c r="C57" s="3152"/>
      <c r="D57" s="186">
        <v>0</v>
      </c>
      <c r="E57" s="23" t="s">
        <v>2155</v>
      </c>
      <c r="F57" s="154"/>
      <c r="G57" s="2479"/>
      <c r="H57" s="2483"/>
      <c r="I57" s="2483"/>
      <c r="J57" s="3178">
        <f>IF(AND(J55="",J56=""),4,IF(项目基本情况!K6="上海银行",结果表!J56+1,结果表!J55+1))</f>
        <v>4</v>
      </c>
      <c r="K57" s="3178" t="s">
        <v>2182</v>
      </c>
      <c r="L57" s="2484" t="s">
        <v>2183</v>
      </c>
      <c r="M57" s="1754"/>
      <c r="N57" s="1755">
        <f ca="1">SUMIF(M52:M56,"&lt;9e307")</f>
        <v>15030</v>
      </c>
      <c r="O57" s="2485"/>
      <c r="P57" s="1748">
        <f ca="1">N57/M49</f>
        <v>3.2300560693032922E-2</v>
      </c>
    </row>
    <row r="58" spans="1:35" ht="24.75">
      <c r="A58" s="182" t="s">
        <v>2164</v>
      </c>
      <c r="B58" s="3143" t="s">
        <v>2184</v>
      </c>
      <c r="C58" s="3144"/>
      <c r="D58" s="184">
        <f ca="1">IF(H58="转让取得",C81,C97)</f>
        <v>0</v>
      </c>
      <c r="E58" s="11" t="s">
        <v>2179</v>
      </c>
      <c r="F58" s="24" t="s">
        <v>34</v>
      </c>
      <c r="G58" s="2479"/>
      <c r="H58" s="2482" t="s">
        <v>2185</v>
      </c>
      <c r="I58" s="2483"/>
      <c r="J58" s="3178"/>
      <c r="K58" s="3178"/>
      <c r="L58" s="2484" t="s">
        <v>2186</v>
      </c>
      <c r="M58" s="1756"/>
      <c r="N58" s="2486" t="str">
        <f ca="1">NUMBERSTRING(INT(N57*10000),2)&amp;"元整"</f>
        <v>壹亿伍仟零叁拾万元整</v>
      </c>
      <c r="O58" s="2487"/>
    </row>
    <row r="59" spans="1:35" ht="24.75" thickBot="1">
      <c r="A59" s="3181" t="s">
        <v>2187</v>
      </c>
      <c r="B59" s="3182"/>
      <c r="C59" s="3182"/>
      <c r="D59" s="187" t="str">
        <f>IF(H59="非个人房产","——",IF(H59="个人住宅",0,ROUND(D45*I59,0)))</f>
        <v>——</v>
      </c>
      <c r="E59" s="188" t="str">
        <f>IF(H59="非个人房产","——","销售额×税（费）率")</f>
        <v>——</v>
      </c>
      <c r="F59" s="189" t="str">
        <f>IF(H59="非个人房产","——",IF(H59="个人住宅","免征",I59))</f>
        <v>——</v>
      </c>
      <c r="G59" s="2488" t="s">
        <v>2180</v>
      </c>
      <c r="H59" s="2482" t="s">
        <v>2188</v>
      </c>
      <c r="I59" s="190">
        <v>0.01</v>
      </c>
      <c r="J59" s="3179">
        <f>J57+1</f>
        <v>5</v>
      </c>
      <c r="K59" s="3178" t="s">
        <v>2189</v>
      </c>
      <c r="L59" s="1807" t="s">
        <v>2183</v>
      </c>
      <c r="M59" s="1757"/>
      <c r="N59" s="1758">
        <f ca="1">M49-N57</f>
        <v>450287</v>
      </c>
      <c r="O59" s="2489"/>
    </row>
    <row r="60" spans="1:35" ht="12" customHeight="1">
      <c r="A60" s="2490"/>
      <c r="B60" s="2412"/>
      <c r="C60" s="2412"/>
      <c r="D60" s="2412"/>
      <c r="E60" s="2160"/>
      <c r="F60" s="2483"/>
      <c r="G60" s="2483"/>
      <c r="H60" s="2491"/>
      <c r="I60" s="137"/>
      <c r="J60" s="3180"/>
      <c r="K60" s="3178"/>
      <c r="L60" s="2484" t="s">
        <v>2186</v>
      </c>
      <c r="M60" s="1756"/>
      <c r="N60" s="2486" t="str">
        <f ca="1">NUMBERSTRING(INT(N59*10000),2)&amp;"元整"</f>
        <v>肆拾伍亿零贰佰捌拾柒万元整</v>
      </c>
      <c r="O60" s="2487"/>
    </row>
    <row r="61" spans="1:35" ht="13.5" thickBot="1">
      <c r="A61" s="3125" t="s">
        <v>2190</v>
      </c>
      <c r="B61" s="3125"/>
      <c r="C61" s="3125"/>
      <c r="D61" s="3125"/>
      <c r="E61" s="3125"/>
      <c r="F61" s="2483"/>
      <c r="G61" s="2483"/>
      <c r="H61" s="2491"/>
      <c r="I61" s="137"/>
      <c r="J61" s="1807">
        <f>J59+1</f>
        <v>6</v>
      </c>
      <c r="K61" s="3178" t="s">
        <v>2191</v>
      </c>
      <c r="L61" s="3178"/>
      <c r="M61" s="1759"/>
      <c r="N61" s="1760">
        <f ca="1">ROUND(N59*10000/'数据-汇总表'!E3,0)</f>
        <v>36390</v>
      </c>
      <c r="O61" s="2492"/>
    </row>
    <row r="62" spans="1:35" ht="12.75">
      <c r="A62" s="3141" t="s">
        <v>2192</v>
      </c>
      <c r="B62" s="3142"/>
      <c r="C62" s="1799"/>
      <c r="D62" s="1799" t="s">
        <v>2193</v>
      </c>
      <c r="E62" s="191" t="s">
        <v>2194</v>
      </c>
      <c r="F62" s="2483"/>
      <c r="G62" s="2483"/>
      <c r="H62" s="2491"/>
      <c r="I62" s="137"/>
    </row>
    <row r="63" spans="1:35" ht="12.75">
      <c r="A63" s="202" t="s">
        <v>774</v>
      </c>
      <c r="B63" s="192" t="s">
        <v>2195</v>
      </c>
      <c r="C63" s="193">
        <f ca="1">ROUND((C64+C65)/(1+'数据-取费表'!C42),0)</f>
        <v>265895</v>
      </c>
      <c r="D63" s="194"/>
      <c r="E63" s="195"/>
      <c r="F63" s="2483"/>
      <c r="G63" s="2483"/>
      <c r="H63" s="2491"/>
      <c r="I63" s="137"/>
      <c r="J63" s="3203" t="s">
        <v>2196</v>
      </c>
      <c r="K63" s="2493" t="s">
        <v>2197</v>
      </c>
      <c r="L63" s="1747">
        <f ca="1">IF(M49&gt;10000,M49*0.5%,IF(AND(M49&gt;1000,M49&lt;=10000),M49*1%,IF(AND(M49&gt;100,M49&lt;=1000),M49*3%,IF(AND(M49&gt;10,M49&lt;=100),M49*5%,M49*8%))))</f>
        <v>2326.585</v>
      </c>
      <c r="M63" s="24">
        <f ca="1">ROUND(L63,1)</f>
        <v>2326.6</v>
      </c>
      <c r="Z63" s="2417"/>
      <c r="AI63" s="2418"/>
    </row>
    <row r="64" spans="1:35" ht="14.25" customHeight="1">
      <c r="A64" s="196" t="s">
        <v>769</v>
      </c>
      <c r="B64" s="197" t="s">
        <v>2198</v>
      </c>
      <c r="C64" s="198">
        <f ca="1">D45</f>
        <v>279190</v>
      </c>
      <c r="D64" s="199" t="s">
        <v>32</v>
      </c>
      <c r="E64" s="200"/>
      <c r="F64" s="2483"/>
      <c r="G64" s="2483"/>
      <c r="H64" s="2491"/>
      <c r="I64" s="137"/>
      <c r="J64" s="3203"/>
      <c r="K64" s="2493" t="s">
        <v>2199</v>
      </c>
      <c r="L64" s="1747">
        <f ca="1">IF(M49&gt;2000,M49*0.5%,IF(AND(M49&gt;1000,M49&lt;=2000),M49*0.6%,IF(AND(M49&gt;500,M49&lt;=1000),M49*0.7%,IF(AND(M49&gt;200,M49&lt;=500),M49*0.8%,IF(AND(M49&gt;100,M49&lt;=200),M49*0.9%,IF(AND(M49&gt;50,M49&lt;=100),M49*1%,IF(AND(M49&gt;20,M49&lt;=50),M49*1.5%,IF(AND(M49&gt;10,M49&lt;=20),M49*2%,IF(AND(M49&gt;1,M49&lt;=10),M49*2.5%)))))))))</f>
        <v>2326.585</v>
      </c>
      <c r="M64" s="24">
        <f t="shared" ref="M64:M65" ca="1" si="1">ROUND(L64,1)</f>
        <v>2326.6</v>
      </c>
      <c r="N64" s="137" t="s">
        <v>2200</v>
      </c>
      <c r="Z64" s="2417"/>
      <c r="AI64" s="2418"/>
    </row>
    <row r="65" spans="1:35" ht="14.25" customHeight="1">
      <c r="A65" s="196" t="s">
        <v>770</v>
      </c>
      <c r="B65" s="197" t="s">
        <v>2201</v>
      </c>
      <c r="C65" s="201"/>
      <c r="D65" s="199"/>
      <c r="E65" s="200"/>
      <c r="F65" s="2483"/>
      <c r="G65" s="2483"/>
      <c r="H65" s="2491"/>
      <c r="I65" s="137"/>
      <c r="J65" s="3203"/>
      <c r="K65" s="2493" t="s">
        <v>2202</v>
      </c>
      <c r="L65" s="1747">
        <f ca="1">IF(M49&gt;1000,M49*0.1%,IF(AND(M49&gt;500,M49&lt;=1000),M49*0.5%,IF(AND(M49&gt;50,M49&lt;=500),M49*1%,IF(AND(M49&gt;1,M49&lt;=50),M49*1.5%))))</f>
        <v>465.31700000000001</v>
      </c>
      <c r="M65" s="24">
        <f t="shared" ca="1" si="1"/>
        <v>465.3</v>
      </c>
      <c r="N65" s="137" t="s">
        <v>2200</v>
      </c>
      <c r="Z65" s="2417"/>
      <c r="AI65" s="2418"/>
    </row>
    <row r="66" spans="1:35" ht="14.25" customHeight="1">
      <c r="A66" s="202" t="s">
        <v>771</v>
      </c>
      <c r="B66" s="203" t="s">
        <v>2203</v>
      </c>
      <c r="C66" s="204"/>
      <c r="D66" s="205" t="s">
        <v>32</v>
      </c>
      <c r="E66" s="1771" t="s">
        <v>1363</v>
      </c>
      <c r="F66" s="2483"/>
      <c r="G66" s="2483"/>
      <c r="H66" s="2491"/>
      <c r="I66" s="137"/>
      <c r="J66" s="3203"/>
      <c r="K66" s="2493" t="s">
        <v>2204</v>
      </c>
      <c r="L66" s="1747">
        <f ca="1">M49*0.5%</f>
        <v>2326.585</v>
      </c>
      <c r="M66" s="24">
        <f ca="1">IF(L66&gt;0.5,0.5,ROUND(L66,0))</f>
        <v>0.5</v>
      </c>
      <c r="N66" s="137" t="s">
        <v>2205</v>
      </c>
      <c r="Z66" s="2417"/>
      <c r="AI66" s="2418"/>
    </row>
    <row r="67" spans="1:35" ht="14.25" customHeight="1">
      <c r="A67" s="202" t="s">
        <v>772</v>
      </c>
      <c r="B67" s="203" t="s">
        <v>2206</v>
      </c>
      <c r="C67" s="206">
        <f ca="1">C63-C66</f>
        <v>265895</v>
      </c>
      <c r="D67" s="199" t="s">
        <v>32</v>
      </c>
      <c r="E67" s="200"/>
      <c r="F67" s="2483"/>
      <c r="G67" s="2483"/>
      <c r="H67" s="2491"/>
      <c r="I67" s="137"/>
      <c r="J67" s="3203"/>
      <c r="K67" s="2493" t="s">
        <v>2207</v>
      </c>
      <c r="L67" s="1747">
        <f ca="1">IF(M49&gt;=10000,(8.25+(M49-10000)*0.01%),IF(AND(M49&gt;=8000,M49&lt;10000),(7.85+(M49-8000)*0.02%),IF(AND(M49&gt;=5000,M49&lt;8000),(6.65+(M49-5000)*0.04%),IF(AND(M49&gt;=2000,M49&lt;5000),(4.25+(PM49-2000)*0.08%),IF(AND(M49&gt;=1000,M49&lt;2000),(2.75+(M49-1000)*0.15%),IF(AND(M49&gt;=100,M49&lt;1000),(0.5+(M49-100)*0.25%),IF(AND(M49&gt;0,M49&lt;100),M49*0.5%)))))))</f>
        <v>53.781700000000001</v>
      </c>
      <c r="M67" s="24">
        <f ca="1">ROUND(L67*0.9,1)</f>
        <v>48.4</v>
      </c>
      <c r="Z67" s="2417"/>
      <c r="AI67" s="2418"/>
    </row>
    <row r="68" spans="1:35" ht="14.25" customHeight="1" thickBot="1">
      <c r="A68" s="207" t="s">
        <v>773</v>
      </c>
      <c r="B68" s="208" t="s">
        <v>2208</v>
      </c>
      <c r="C68" s="209">
        <f ca="1">IF(C67&lt;=0,0,ROUND(C67*D68,0))</f>
        <v>14890</v>
      </c>
      <c r="D68" s="210">
        <f>'数据-取费表'!B41</f>
        <v>5.6000000000000001E-2</v>
      </c>
      <c r="E68" s="211"/>
      <c r="F68" s="2483"/>
      <c r="G68" s="2483"/>
      <c r="H68" s="2491"/>
      <c r="I68" s="137"/>
      <c r="J68" s="3203"/>
      <c r="K68" s="2493" t="s">
        <v>2209</v>
      </c>
      <c r="L68" s="1747">
        <f ca="1">IF(M49&gt;10000,M49*0.5%,IF(AND(M49&gt;5000,M49&lt;=10000),M49*1%,IF(AND(M49&gt;1000,M49&lt;=5000),M49*2%,IF(AND(M49&gt;200,M49&lt;=1000),M49*3%,M49*5%))))</f>
        <v>2326.585</v>
      </c>
      <c r="M68" s="24">
        <f ca="1">ROUND(L68,1)</f>
        <v>2326.6</v>
      </c>
      <c r="Z68" s="2417"/>
      <c r="AI68" s="2418"/>
    </row>
    <row r="69" spans="1:35" s="2440" customFormat="1" ht="16.5" customHeight="1">
      <c r="A69" s="2494"/>
      <c r="B69" s="2495"/>
      <c r="C69" s="2496"/>
      <c r="D69" s="2497"/>
      <c r="E69" s="2498"/>
      <c r="F69" s="2160"/>
      <c r="G69" s="2160"/>
      <c r="H69" s="2159"/>
      <c r="I69" s="2412"/>
      <c r="J69" s="3203"/>
      <c r="K69" s="2493" t="s">
        <v>2210</v>
      </c>
      <c r="L69" s="2499"/>
      <c r="M69" s="24">
        <f ca="1">ROUND(SUM(M63:M68),0)</f>
        <v>7494</v>
      </c>
      <c r="N69" s="1748">
        <f ca="1">M69/M49</f>
        <v>1.6105149822594058E-2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62" t="s">
        <v>2211</v>
      </c>
      <c r="B70" s="3163"/>
      <c r="C70" s="3163"/>
      <c r="D70" s="3163"/>
      <c r="E70" s="3163"/>
      <c r="F70" s="3163"/>
      <c r="G70" s="3163"/>
      <c r="H70" s="316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1" t="s">
        <v>2192</v>
      </c>
      <c r="B71" s="3142"/>
      <c r="C71" s="1799"/>
      <c r="D71" s="1799" t="s">
        <v>2193</v>
      </c>
      <c r="E71" s="212" t="s">
        <v>2194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774</v>
      </c>
      <c r="B72" s="203" t="s">
        <v>2212</v>
      </c>
      <c r="C72" s="206">
        <f ca="1">ROUND(D45/(1+'数据-取费表'!C42),0)</f>
        <v>265895</v>
      </c>
      <c r="D72" s="199" t="s">
        <v>32</v>
      </c>
      <c r="E72" s="1798"/>
      <c r="F72" s="1792"/>
      <c r="G72" s="1792"/>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771</v>
      </c>
      <c r="B73" s="172" t="s">
        <v>2213</v>
      </c>
      <c r="C73" s="206">
        <f ca="1">C74+C78</f>
        <v>1595</v>
      </c>
      <c r="D73" s="199" t="s">
        <v>32</v>
      </c>
      <c r="E73" s="1798"/>
      <c r="F73" s="1792"/>
      <c r="G73" s="1792"/>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769</v>
      </c>
      <c r="B74" s="197" t="s">
        <v>2214</v>
      </c>
      <c r="C74" s="199">
        <f>ROUND(IF(G77="2016年5月1日后购买",C75/(1+'数据-取费表'!C42)+C76+C77,C75+C76+C77),0)</f>
        <v>0</v>
      </c>
      <c r="D74" s="199" t="s">
        <v>32</v>
      </c>
      <c r="E74" s="1798"/>
      <c r="F74" s="1792"/>
      <c r="G74" s="1792"/>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775</v>
      </c>
      <c r="B75" s="197" t="s">
        <v>2215</v>
      </c>
      <c r="C75" s="217"/>
      <c r="D75" s="199" t="s">
        <v>32</v>
      </c>
      <c r="E75" s="218" t="s">
        <v>2216</v>
      </c>
      <c r="F75" s="2505" t="s">
        <v>2217</v>
      </c>
      <c r="G75" s="218" t="s">
        <v>2218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776</v>
      </c>
      <c r="B76" s="220" t="s">
        <v>2219</v>
      </c>
      <c r="C76" s="199">
        <f>IF(F75="购房发票",ROUND(C75*H75*D76,0),0)</f>
        <v>0</v>
      </c>
      <c r="D76" s="221">
        <v>0.05</v>
      </c>
      <c r="E76" s="3136" t="s">
        <v>2220</v>
      </c>
      <c r="F76" s="3113"/>
      <c r="G76" s="3113"/>
      <c r="H76" s="316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777</v>
      </c>
      <c r="B77" s="197" t="s">
        <v>2221</v>
      </c>
      <c r="C77" s="199">
        <f>ROUND(IF(G77="个人住宅",0,IF(G77="2016年5月1日前购买",C75*D77,C75*D77/(1+'数据-取费表'!C42))),0)</f>
        <v>0</v>
      </c>
      <c r="D77" s="222">
        <f>'数据-取费表'!B48+'数据-取费表'!B49</f>
        <v>3.0499999999999999E-2</v>
      </c>
      <c r="E77" s="15" t="s">
        <v>2222</v>
      </c>
      <c r="F77" s="223"/>
      <c r="G77" s="2507" t="s">
        <v>2223</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770</v>
      </c>
      <c r="B78" s="197" t="s">
        <v>2224</v>
      </c>
      <c r="C78" s="224">
        <f ca="1">ROUND(D45*D78/(1+'数据-取费表'!C42),0)</f>
        <v>1595</v>
      </c>
      <c r="D78" s="225">
        <f>'数据-取费表'!B43</f>
        <v>6.000000000000001E-3</v>
      </c>
      <c r="E78" s="3122" t="s">
        <v>2225</v>
      </c>
      <c r="F78" s="3123"/>
      <c r="G78" s="3123"/>
      <c r="H78" s="31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3" t="s">
        <v>2226</v>
      </c>
      <c r="C79" s="206">
        <f ca="1">C72-C73</f>
        <v>264300</v>
      </c>
      <c r="D79" s="199" t="s">
        <v>32</v>
      </c>
      <c r="E79" s="1798"/>
      <c r="F79" s="1792"/>
      <c r="G79" s="1792"/>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3" t="s">
        <v>2227</v>
      </c>
      <c r="C80" s="226">
        <f ca="1">IF(C79&lt;=0,0,C79/C73)</f>
        <v>165.70532915360502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8" t="s">
        <v>2228</v>
      </c>
      <c r="C81" s="227">
        <f ca="1">ROUND(IF(C79&lt;=0,0,IF(C80&gt;=200%,C79*60%-C73*35%,IF(C80&gt;=100%,C79*50%-C73*15%,IF(C80&gt;=50%,C79*40%-C73*5%,IF(C80&lt;50%,C79*30%,0))))),0)</f>
        <v>158022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2" t="s">
        <v>2229</v>
      </c>
      <c r="B83" s="3163"/>
      <c r="C83" s="3163"/>
      <c r="D83" s="3163"/>
      <c r="E83" s="3163"/>
      <c r="F83" s="3163"/>
      <c r="G83" s="3163"/>
      <c r="H83" s="316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1" t="s">
        <v>2192</v>
      </c>
      <c r="B84" s="3142"/>
      <c r="C84" s="1799"/>
      <c r="D84" s="1799" t="s">
        <v>2193</v>
      </c>
      <c r="E84" s="212" t="s">
        <v>2194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774</v>
      </c>
      <c r="B85" s="203" t="s">
        <v>2212</v>
      </c>
      <c r="C85" s="206">
        <f ca="1">ROUND(D45/(1+'数据-取费表'!C42),0)</f>
        <v>265895</v>
      </c>
      <c r="D85" s="199" t="s">
        <v>32</v>
      </c>
      <c r="E85" s="1798"/>
      <c r="F85" s="1792"/>
      <c r="G85" s="1792"/>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771</v>
      </c>
      <c r="B86" s="172" t="s">
        <v>2213</v>
      </c>
      <c r="C86" s="206">
        <f ca="1">IF(H88="仅含出让金",C87+C90+C91+C92+C93+C94,C87+C91+C92+C93+C94)</f>
        <v>328063</v>
      </c>
      <c r="D86" s="234"/>
      <c r="E86" s="1798"/>
      <c r="F86" s="1792"/>
      <c r="G86" s="1792"/>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769</v>
      </c>
      <c r="B87" s="197" t="s">
        <v>2230</v>
      </c>
      <c r="C87" s="224">
        <f>C88+C89</f>
        <v>207380</v>
      </c>
      <c r="D87" s="225"/>
      <c r="E87" s="1794"/>
      <c r="F87" s="1795"/>
      <c r="G87" s="1795"/>
      <c r="H87" s="1797"/>
      <c r="I87" s="2506"/>
      <c r="J87" s="3001" t="s">
        <v>3361</v>
      </c>
      <c r="K87" s="794">
        <f>ROUND(26665*'数据-汇总表'!F27/10000,0)</f>
        <v>194146</v>
      </c>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775</v>
      </c>
      <c r="B88" s="197" t="s">
        <v>2231</v>
      </c>
      <c r="C88" s="235">
        <f>K87+K88+K89</f>
        <v>201242</v>
      </c>
      <c r="D88" s="225"/>
      <c r="E88" s="236" t="s">
        <v>2232</v>
      </c>
      <c r="F88" s="1795"/>
      <c r="G88" s="237" t="s">
        <v>2233</v>
      </c>
      <c r="H88" s="2511"/>
      <c r="I88" s="2506"/>
      <c r="J88" s="3001" t="s">
        <v>3362</v>
      </c>
      <c r="K88" s="2502">
        <f>ROUND(26665*0.25*0.25*('数据-汇总表'!G21+'数据-汇总表'!G23)/10000,0)</f>
        <v>3022</v>
      </c>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776</v>
      </c>
      <c r="B89" s="197" t="s">
        <v>2221</v>
      </c>
      <c r="C89" s="224">
        <f>ROUND(C88*D89,0)</f>
        <v>6138</v>
      </c>
      <c r="D89" s="225">
        <f>'数据-取费表'!B48+'数据-取费表'!B49</f>
        <v>3.0499999999999999E-2</v>
      </c>
      <c r="E89" s="236" t="s">
        <v>2234</v>
      </c>
      <c r="F89" s="1795"/>
      <c r="G89" s="1795"/>
      <c r="H89" s="1797"/>
      <c r="I89" s="2506"/>
      <c r="J89" s="3001" t="s">
        <v>3363</v>
      </c>
      <c r="K89" s="2502">
        <f>ROUND(26665*0.25*0.2*'数据-汇总表'!G22/10000,0)</f>
        <v>4074</v>
      </c>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770</v>
      </c>
      <c r="B90" s="197" t="s">
        <v>2235</v>
      </c>
      <c r="C90" s="235"/>
      <c r="D90" s="225"/>
      <c r="E90" s="236"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2236</v>
      </c>
      <c r="B91" s="197" t="s">
        <v>2237</v>
      </c>
      <c r="C91" s="224">
        <f ca="1">IF(H91="——",成本法!C33,I91)</f>
        <v>43749</v>
      </c>
      <c r="D91" s="225"/>
      <c r="E91" s="3122" t="s">
        <v>2238</v>
      </c>
      <c r="F91" s="3123"/>
      <c r="G91" s="3123"/>
      <c r="H91" s="2512" t="s">
        <v>70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2239</v>
      </c>
      <c r="B92" s="197" t="s">
        <v>2240</v>
      </c>
      <c r="C92" s="224">
        <f ca="1">ROUND((C87+C90+C91)*D92,0)</f>
        <v>25113</v>
      </c>
      <c r="D92" s="225">
        <v>0.1</v>
      </c>
      <c r="E92" s="3122" t="s">
        <v>2241</v>
      </c>
      <c r="F92" s="3123"/>
      <c r="G92" s="3123"/>
      <c r="H92" s="31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2242</v>
      </c>
      <c r="B93" s="197" t="s">
        <v>2224</v>
      </c>
      <c r="C93" s="224">
        <f ca="1">ROUND(D45*D93/(1+'数据-取费表'!C42),0)</f>
        <v>1595</v>
      </c>
      <c r="D93" s="225">
        <f>'数据-取费表'!B43</f>
        <v>6.000000000000001E-3</v>
      </c>
      <c r="E93" s="3122" t="s">
        <v>2225</v>
      </c>
      <c r="F93" s="3123"/>
      <c r="G93" s="3123"/>
      <c r="H93" s="31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2243</v>
      </c>
      <c r="B94" s="197" t="s">
        <v>2244</v>
      </c>
      <c r="C94" s="235">
        <f ca="1">ROUND((C87+C90+C91)*D94,0)</f>
        <v>50226</v>
      </c>
      <c r="D94" s="225">
        <v>0.2</v>
      </c>
      <c r="E94" s="3133" t="s">
        <v>2245</v>
      </c>
      <c r="F94" s="3134"/>
      <c r="G94" s="3134"/>
      <c r="H94" s="313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3" t="s">
        <v>2226</v>
      </c>
      <c r="C95" s="206">
        <f ca="1">ROUND(C85-C86,0)</f>
        <v>-62168</v>
      </c>
      <c r="D95" s="199" t="s">
        <v>32</v>
      </c>
      <c r="E95" s="1798"/>
      <c r="F95" s="1792"/>
      <c r="G95" s="1792"/>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3" t="s">
        <v>2227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8" t="s">
        <v>2228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2246</v>
      </c>
      <c r="B99" s="2412"/>
      <c r="C99" s="2412"/>
      <c r="D99" s="2412"/>
      <c r="E99" s="2160"/>
      <c r="F99" s="2160"/>
      <c r="G99" s="2160"/>
      <c r="H99" s="2159"/>
      <c r="I99" s="137"/>
    </row>
    <row r="100" spans="1:35" ht="18.75" customHeight="1">
      <c r="A100" s="3107" t="s">
        <v>2247</v>
      </c>
      <c r="B100" s="3108"/>
      <c r="C100" s="3108"/>
      <c r="D100" s="3124"/>
      <c r="E100" s="3108" t="s">
        <v>2248</v>
      </c>
      <c r="F100" s="3108"/>
      <c r="G100" s="3108"/>
      <c r="H100" s="3124"/>
      <c r="I100" s="137"/>
    </row>
    <row r="101" spans="1:35" ht="18.75" customHeight="1">
      <c r="A101" s="3186" t="s">
        <v>2249</v>
      </c>
      <c r="B101" s="3187"/>
      <c r="C101" s="735" t="str">
        <f>C4</f>
        <v>成本法</v>
      </c>
      <c r="D101" s="736" t="str">
        <f>D4</f>
        <v>假设开发法</v>
      </c>
      <c r="E101" s="3200" t="s">
        <v>2250</v>
      </c>
      <c r="F101" s="3154"/>
      <c r="G101" s="2514" t="s">
        <v>2251</v>
      </c>
      <c r="H101" s="1044">
        <f ca="1">H118</f>
        <v>465317</v>
      </c>
      <c r="I101" s="137"/>
    </row>
    <row r="102" spans="1:35" ht="18.75" customHeight="1">
      <c r="A102" s="3156" t="s">
        <v>2252</v>
      </c>
      <c r="B102" s="2514" t="s">
        <v>2251</v>
      </c>
      <c r="C102" s="735">
        <f ca="1">C19</f>
        <v>460923</v>
      </c>
      <c r="D102" s="736">
        <f ca="1">D19</f>
        <v>469710</v>
      </c>
      <c r="E102" s="3200"/>
      <c r="F102" s="3154"/>
      <c r="G102" s="2514" t="s">
        <v>2253</v>
      </c>
      <c r="H102" s="370">
        <f ca="1">I118</f>
        <v>37604</v>
      </c>
      <c r="I102" s="137"/>
    </row>
    <row r="103" spans="1:35" ht="42.75" customHeight="1">
      <c r="A103" s="3156"/>
      <c r="B103" s="2514" t="s">
        <v>2253</v>
      </c>
      <c r="C103" s="737">
        <f ca="1">C20</f>
        <v>37249</v>
      </c>
      <c r="D103" s="738">
        <f ca="1">D20</f>
        <v>37959</v>
      </c>
      <c r="E103" s="3195" t="s">
        <v>2254</v>
      </c>
      <c r="F103" s="3196"/>
      <c r="G103" s="2515" t="s">
        <v>2255</v>
      </c>
      <c r="H103" s="1044">
        <f>IF(D36="正常操作",H104+H105+H106,H105+H106)</f>
        <v>0</v>
      </c>
      <c r="I103" s="137"/>
    </row>
    <row r="104" spans="1:35" ht="18.75" customHeight="1">
      <c r="A104" s="3156" t="s">
        <v>2256</v>
      </c>
      <c r="B104" s="2516" t="s">
        <v>2251</v>
      </c>
      <c r="C104" s="739">
        <f ca="1">H118</f>
        <v>465317</v>
      </c>
      <c r="D104" s="740"/>
      <c r="E104" s="2261" t="s">
        <v>2257</v>
      </c>
      <c r="F104" s="2252"/>
      <c r="G104" s="2515" t="s">
        <v>2255</v>
      </c>
      <c r="H104" s="1045">
        <f>IF(D36="同一抵押权人同一抵押物续贷",C36&amp;"（未扣减，详见特别提示）",C36)</f>
        <v>0</v>
      </c>
      <c r="I104" s="137"/>
    </row>
    <row r="105" spans="1:35" ht="18.75" customHeight="1" thickBot="1">
      <c r="A105" s="3157"/>
      <c r="B105" s="2517" t="s">
        <v>2253</v>
      </c>
      <c r="C105" s="741">
        <f ca="1">I118</f>
        <v>37604</v>
      </c>
      <c r="D105" s="742"/>
      <c r="E105" s="2261" t="s">
        <v>2258</v>
      </c>
      <c r="F105" s="2252"/>
      <c r="G105" s="2515" t="s">
        <v>2255</v>
      </c>
      <c r="H105" s="1045">
        <f>C37</f>
        <v>0</v>
      </c>
      <c r="I105" s="137"/>
    </row>
    <row r="106" spans="1:35" ht="18.75" customHeight="1">
      <c r="A106" s="2412" t="s">
        <v>2259</v>
      </c>
      <c r="B106" s="2412"/>
      <c r="C106" s="2412"/>
      <c r="D106" s="2412"/>
      <c r="E106" s="2518" t="s">
        <v>2260</v>
      </c>
      <c r="F106" s="2252"/>
      <c r="G106" s="2515" t="s">
        <v>2255</v>
      </c>
      <c r="H106" s="1045">
        <f>C38</f>
        <v>0</v>
      </c>
      <c r="I106" s="137"/>
    </row>
    <row r="107" spans="1:35" ht="18.75" customHeight="1">
      <c r="A107" s="137"/>
      <c r="B107" s="137"/>
      <c r="C107" s="137"/>
      <c r="D107" s="137"/>
      <c r="E107" s="3153" t="str">
        <f>IF(项目基本情况!E8="已注销","——","3.房地产抵押价值")</f>
        <v>——</v>
      </c>
      <c r="F107" s="3154"/>
      <c r="G107" s="2514" t="s">
        <v>2251</v>
      </c>
      <c r="H107" s="1044" t="str">
        <f>IF(E107="——","——",H101-H103)</f>
        <v>——</v>
      </c>
      <c r="I107" s="137"/>
    </row>
    <row r="108" spans="1:35" ht="18.75" customHeight="1">
      <c r="A108" s="137"/>
      <c r="B108" s="137"/>
      <c r="C108" s="137"/>
      <c r="D108" s="137"/>
      <c r="E108" s="3153"/>
      <c r="F108" s="3154"/>
      <c r="G108" s="2514" t="s">
        <v>2253</v>
      </c>
      <c r="H108" s="370" t="e">
        <f>ROUND(H107*10000/'数据-汇总表'!E3,0)</f>
        <v>#VALUE!</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3.抵押担保权已注销时的房地产抵押价值</v>
      </c>
      <c r="F109" s="3154"/>
      <c r="G109" s="2514" t="s">
        <v>2251</v>
      </c>
      <c r="H109" s="347">
        <f ca="1">IF(E109="——","——",H101-H105-H106)</f>
        <v>465317</v>
      </c>
      <c r="I109" s="137"/>
    </row>
    <row r="110" spans="1:35" ht="18.75" customHeight="1">
      <c r="A110" s="137"/>
      <c r="B110" s="137"/>
      <c r="C110" s="137"/>
      <c r="D110" s="137"/>
      <c r="E110" s="3153"/>
      <c r="F110" s="3154"/>
      <c r="G110" s="2514" t="s">
        <v>2253</v>
      </c>
      <c r="H110" s="370">
        <f ca="1">IF(H109="——","——",ROUND(H109*10000/'数据-汇总表'!E3,0))</f>
        <v>37604</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14" t="s">
        <v>2251</v>
      </c>
      <c r="H111" s="1044" t="str">
        <f>IF(E111="——","——",N59)</f>
        <v>——</v>
      </c>
      <c r="I111" s="137"/>
    </row>
    <row r="112" spans="1:35" ht="18.75" customHeight="1" thickBot="1">
      <c r="A112" s="137"/>
      <c r="B112" s="137"/>
      <c r="C112" s="137"/>
      <c r="D112" s="137"/>
      <c r="E112" s="3190"/>
      <c r="F112" s="3191"/>
      <c r="G112" s="2519" t="s">
        <v>2253</v>
      </c>
      <c r="H112" s="789" t="str">
        <f>IF(E111="——","——",N61)</f>
        <v>——</v>
      </c>
      <c r="I112" s="137"/>
    </row>
    <row r="113" spans="1:11" ht="18.75" customHeight="1">
      <c r="A113" s="137"/>
      <c r="B113" s="137"/>
      <c r="C113" s="137"/>
      <c r="D113" s="137"/>
      <c r="E113" s="3158" t="s">
        <v>2259</v>
      </c>
      <c r="F113" s="3158"/>
      <c r="G113" s="3158"/>
      <c r="H113" s="3158"/>
      <c r="I113" s="137"/>
    </row>
    <row r="114" spans="1:11" ht="3.75" customHeight="1">
      <c r="A114" s="2412"/>
      <c r="B114" s="2412"/>
      <c r="C114" s="2412"/>
      <c r="D114" s="2412"/>
      <c r="E114" s="2490"/>
      <c r="F114" s="2490"/>
      <c r="G114" s="2490"/>
      <c r="H114" s="2490"/>
      <c r="I114" s="2412"/>
    </row>
    <row r="115" spans="1:11" ht="18.75" customHeight="1">
      <c r="A115" s="3171" t="s">
        <v>2261</v>
      </c>
      <c r="B115" s="3172"/>
      <c r="C115" s="3172"/>
      <c r="D115" s="3172"/>
      <c r="E115" s="3172"/>
      <c r="F115" s="3172"/>
      <c r="G115" s="3172"/>
      <c r="H115" s="3172"/>
      <c r="I115" s="3173"/>
    </row>
    <row r="116" spans="1:11" ht="27" customHeight="1">
      <c r="A116" s="3061" t="s">
        <v>2262</v>
      </c>
      <c r="B116" s="3159" t="s">
        <v>2263</v>
      </c>
      <c r="C116" s="3159" t="s">
        <v>2264</v>
      </c>
      <c r="D116" s="3175" t="s">
        <v>2265</v>
      </c>
      <c r="E116" s="3176"/>
      <c r="F116" s="3167" t="s">
        <v>2266</v>
      </c>
      <c r="G116" s="3167"/>
      <c r="H116" s="3061" t="s">
        <v>2267</v>
      </c>
      <c r="I116" s="3061"/>
    </row>
    <row r="117" spans="1:11" ht="18.75" customHeight="1">
      <c r="A117" s="3061"/>
      <c r="B117" s="3160"/>
      <c r="C117" s="3160"/>
      <c r="D117" s="1793" t="s">
        <v>2268</v>
      </c>
      <c r="E117" s="1793" t="s">
        <v>2269</v>
      </c>
      <c r="F117" s="1793" t="s">
        <v>2268</v>
      </c>
      <c r="G117" s="1793" t="s">
        <v>2270</v>
      </c>
      <c r="H117" s="1793" t="s">
        <v>2268</v>
      </c>
      <c r="I117" s="1793" t="s">
        <v>2270</v>
      </c>
    </row>
    <row r="118" spans="1:11" ht="24.75" customHeight="1">
      <c r="A118" s="2520" t="str">
        <f>项目基本情况!S2</f>
        <v>北京市大兴区旧宫镇出让国有建设用地使用权及在建建筑物房地产</v>
      </c>
      <c r="B118" s="1793">
        <f>M18</f>
        <v>123740.26</v>
      </c>
      <c r="C118" s="1793">
        <f>M19</f>
        <v>34567.79</v>
      </c>
      <c r="D118" s="1793">
        <f ca="1">ROUND(IF(D32="总价",C34,E118*B118/10000),0)</f>
        <v>408083</v>
      </c>
      <c r="E118" s="1793">
        <f ca="1">ROUND(IF(C33="自定义",IF(D32="楼面单价",C34,D118*10000/B118),I118-G118),0)</f>
        <v>32979</v>
      </c>
      <c r="F118" s="1793">
        <f ca="1">ROUND(IF(D32="总价",C35,G118*B118/10000),0)</f>
        <v>57234</v>
      </c>
      <c r="G118" s="1793">
        <f ca="1">ROUND(IF(D32="楼面单价",C35,F118*10000/B118),0)</f>
        <v>4625</v>
      </c>
      <c r="H118" s="1793">
        <f ca="1">ROUND(IF(D32="总价",C32,I118*B118/10000),0)</f>
        <v>465317</v>
      </c>
      <c r="I118" s="1793">
        <f ca="1">ROUND(IF(D32="楼面单价",C32,H118*10000/B118),0)</f>
        <v>37604</v>
      </c>
    </row>
    <row r="119" spans="1:11" ht="18.75" customHeight="1">
      <c r="A119" s="3061" t="s">
        <v>2271</v>
      </c>
      <c r="B119" s="3061"/>
      <c r="C119" s="3061"/>
      <c r="D119" s="3164" t="str">
        <f ca="1">NUMBERSTRING(INT(D118*10000),2)&amp;"元整"</f>
        <v>肆拾亿捌仟零捌拾叁万元整</v>
      </c>
      <c r="E119" s="3166"/>
      <c r="F119" s="3164" t="str">
        <f ca="1">NUMBERSTRING(INT(F118*10000),2)&amp;"元整"</f>
        <v>伍亿柒仟贰佰叁拾肆万元整</v>
      </c>
      <c r="G119" s="3166"/>
      <c r="H119" s="3164" t="str">
        <f ca="1">NUMBERSTRING(INT(H118*10000),2)&amp;"元整"</f>
        <v>肆拾陆亿伍仟叁佰壹拾柒万元整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7" t="str">
        <f>IF(D120=0,"故，本次评估不存在"&amp;A120,"故，本次评估"&amp;A120&amp;"为人民币"&amp;D120&amp;"万元整。")</f>
        <v>故，本次评估不存在估价师知悉的法定优先受偿款</v>
      </c>
    </row>
    <row r="121" spans="1:11" ht="18.75" customHeight="1">
      <c r="A121" s="3168" t="s">
        <v>2271</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
      </c>
      <c r="B122" s="3155"/>
      <c r="C122" s="3155"/>
      <c r="D122" s="3192" t="str">
        <f>H107</f>
        <v>——</v>
      </c>
      <c r="E122" s="3193"/>
      <c r="F122" s="3193"/>
      <c r="G122" s="3193"/>
      <c r="H122" s="3193"/>
      <c r="I122" s="3194"/>
    </row>
    <row r="123" spans="1:11" ht="18.75" customHeight="1">
      <c r="A123" s="3061" t="s">
        <v>2271</v>
      </c>
      <c r="B123" s="3061"/>
      <c r="C123" s="3061"/>
      <c r="D123" s="3164" t="e">
        <f>NUMBERSTRING(INT(D122*10000),2)&amp;"元整"</f>
        <v>#VALUE!</v>
      </c>
      <c r="E123" s="3165"/>
      <c r="F123" s="3165"/>
      <c r="G123" s="3165"/>
      <c r="H123" s="3165"/>
      <c r="I123" s="3166"/>
    </row>
    <row r="124" spans="1:11" ht="18.75" customHeight="1">
      <c r="A124" s="3155" t="str">
        <f>IF(项目基本情况!B9="房地产市场价值","",MID(E109,3,LEN(E109)-2))</f>
        <v>抵押担保权已注销时的房地产抵押价值</v>
      </c>
      <c r="B124" s="3155"/>
      <c r="C124" s="3155"/>
      <c r="D124" s="3192">
        <f ca="1">H109</f>
        <v>465317</v>
      </c>
      <c r="E124" s="3193"/>
      <c r="F124" s="3193"/>
      <c r="G124" s="3193"/>
      <c r="H124" s="3193"/>
      <c r="I124" s="3194"/>
    </row>
    <row r="125" spans="1:11" ht="18.75" customHeight="1">
      <c r="A125" s="3061" t="s">
        <v>2271</v>
      </c>
      <c r="B125" s="3061"/>
      <c r="C125" s="3061"/>
      <c r="D125" s="3164" t="str">
        <f ca="1">NUMBERSTRING(INT(D124*10000),2)&amp;"元整"</f>
        <v>肆拾陆亿伍仟叁佰壹拾柒万元整</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1" t="s">
        <v>2271</v>
      </c>
      <c r="B127" s="3061"/>
      <c r="C127" s="3061"/>
      <c r="D127" s="3164" t="e">
        <f>NUMBERSTRING(INT(D126*10000),2)&amp;"元整"</f>
        <v>#VALUE!</v>
      </c>
      <c r="E127" s="3165"/>
      <c r="F127" s="3165"/>
      <c r="G127" s="3165"/>
      <c r="H127" s="3165"/>
      <c r="I127" s="3166"/>
    </row>
    <row r="128" spans="1:11" ht="21.75" customHeight="1">
      <c r="A128" s="3174" t="s">
        <v>2272</v>
      </c>
      <c r="B128" s="3174"/>
      <c r="C128" s="3174"/>
      <c r="D128" s="3174"/>
      <c r="E128" s="3174"/>
      <c r="F128" s="3174"/>
      <c r="G128" s="3174"/>
      <c r="H128" s="3174"/>
      <c r="I128" s="3174"/>
    </row>
    <row r="129" spans="1:35" ht="21.75" customHeight="1">
      <c r="A129" s="2521" t="s">
        <v>2273</v>
      </c>
      <c r="B129" s="2522"/>
      <c r="C129" s="2523" t="s">
        <v>2274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2275</v>
      </c>
      <c r="G135" s="2538"/>
      <c r="H135" s="2538"/>
      <c r="I135" s="2539" t="s">
        <v>2276</v>
      </c>
    </row>
    <row r="136" spans="1:35" ht="21.75" customHeight="1">
      <c r="A136" s="794"/>
      <c r="B136" s="2540"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2278</v>
      </c>
    </row>
    <row r="139" spans="1:35" ht="21.75" customHeight="1">
      <c r="A139" s="794"/>
      <c r="B139" s="2540" t="s">
        <v>2279</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2278</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63" sqref="E63"/>
    </sheetView>
  </sheetViews>
  <sheetFormatPr defaultColWidth="9" defaultRowHeight="14.25"/>
  <cols>
    <col min="1" max="1" width="14.375" style="402" customWidth="1"/>
    <col min="2" max="2" width="15.75" style="402" customWidth="1"/>
    <col min="3" max="3" width="20.8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2693</v>
      </c>
      <c r="B1" s="394"/>
      <c r="C1" s="395" t="s">
        <v>2694</v>
      </c>
      <c r="D1" s="754"/>
      <c r="E1" s="754"/>
      <c r="F1" s="753" t="s">
        <v>2593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2281</v>
      </c>
      <c r="B2" s="670">
        <f>F66</f>
        <v>290110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2283</v>
      </c>
      <c r="B3" s="608">
        <f>ROUND(IF(D3="",B2*10000/'数据-汇总表'!E3,B2*10000/D3),0)</f>
        <v>23445</v>
      </c>
      <c r="C3" s="246" t="s">
        <v>2695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21" t="s">
        <v>2598</v>
      </c>
      <c r="AC4" s="3220" t="s">
        <v>2599</v>
      </c>
    </row>
    <row r="5" spans="1:30" ht="15">
      <c r="A5" s="403"/>
      <c r="B5" s="404"/>
      <c r="C5" s="3245" t="str">
        <f>项目基本情况!F10</f>
        <v>大兴区旧宫镇</v>
      </c>
      <c r="D5" s="3241"/>
      <c r="E5" s="3248" t="str">
        <f>土地案例!B5</f>
        <v>北京经济技术开发区河西区X89R1地块R2二类居住用地</v>
      </c>
      <c r="F5" s="3249"/>
      <c r="G5" s="3240" t="str">
        <f>土地案例!B24</f>
        <v>大兴区旧宫镇DX07-0201-0010、0011、0012地块</v>
      </c>
      <c r="H5" s="3241"/>
      <c r="I5" s="3240" t="str">
        <f>土地案例!B25</f>
        <v>大兴区旧宫镇DX07-0201-0006、0007地块</v>
      </c>
      <c r="J5" s="3241"/>
      <c r="K5" s="609"/>
      <c r="L5" s="1129"/>
      <c r="M5" s="1130"/>
      <c r="N5" s="1130"/>
      <c r="O5" s="1130"/>
      <c r="P5" s="3228"/>
      <c r="Q5" s="3229"/>
      <c r="R5" s="3234"/>
      <c r="S5" s="3235"/>
      <c r="T5" s="3234"/>
      <c r="U5" s="3235"/>
      <c r="V5" s="3219"/>
      <c r="W5" s="3219"/>
      <c r="X5" s="1811"/>
      <c r="Y5" s="3234"/>
      <c r="Z5" s="3235"/>
      <c r="AA5" s="3221"/>
      <c r="AB5" s="3221"/>
      <c r="AC5" s="3221"/>
    </row>
    <row r="6" spans="1:30" ht="15.75" thickBot="1">
      <c r="A6" s="405"/>
      <c r="B6" s="406"/>
      <c r="C6" s="3238" t="s">
        <v>2497</v>
      </c>
      <c r="D6" s="3239"/>
      <c r="E6" s="3246" t="s">
        <v>2497</v>
      </c>
      <c r="F6" s="3247"/>
      <c r="G6" s="3238" t="s">
        <v>2497</v>
      </c>
      <c r="H6" s="3239"/>
      <c r="I6" s="3238" t="s">
        <v>2497</v>
      </c>
      <c r="J6" s="3239"/>
      <c r="K6" s="609" t="s">
        <v>2498</v>
      </c>
      <c r="L6" s="1129"/>
      <c r="M6" s="1130"/>
      <c r="N6" s="1130"/>
      <c r="O6" s="1130"/>
      <c r="P6" s="3230"/>
      <c r="Q6" s="3231"/>
      <c r="R6" s="3234"/>
      <c r="S6" s="3235"/>
      <c r="T6" s="3236"/>
      <c r="U6" s="3237"/>
      <c r="V6" s="3219"/>
      <c r="W6" s="3219"/>
      <c r="X6" s="1811"/>
      <c r="Y6" s="3236"/>
      <c r="Z6" s="3237"/>
      <c r="AA6" s="3222"/>
      <c r="AB6" s="3222"/>
      <c r="AC6" s="3222"/>
    </row>
    <row r="7" spans="1:30" s="117" customFormat="1" ht="15.75" thickBot="1">
      <c r="A7" s="407" t="s">
        <v>2499</v>
      </c>
      <c r="B7" s="408"/>
      <c r="C7" s="409">
        <f>'数据-取费表'!B2</f>
        <v>43926</v>
      </c>
      <c r="D7" s="410">
        <v>100</v>
      </c>
      <c r="E7" s="411" t="str">
        <f>土地案例!H5</f>
        <v>2018-10-19</v>
      </c>
      <c r="F7" s="412">
        <f>SUMIF(70:70,YEAR(E7)&amp;"-"&amp;INT((MONTH(E7)+2)/3),71:71)</f>
        <v>97</v>
      </c>
      <c r="G7" s="2692" t="str">
        <f>土地案例!H24</f>
        <v>2017-04-13</v>
      </c>
      <c r="H7" s="410">
        <f>SUMIF(70:70,YEAR(G7)&amp;"-"&amp;INT((MONTH(G7)+2)/3),71:71)</f>
        <v>94</v>
      </c>
      <c r="I7" s="2692" t="str">
        <f>土地案例!H25</f>
        <v>2017-04-13</v>
      </c>
      <c r="J7" s="410">
        <f>SUMIF(70:70,YEAR(I7)&amp;"-"&amp;INT((MONTH(I7)+2)/3),71:71)</f>
        <v>94</v>
      </c>
      <c r="K7" s="610"/>
      <c r="L7" s="1131"/>
      <c r="M7" s="1132"/>
      <c r="N7" s="1132"/>
      <c r="O7" s="1132"/>
      <c r="P7" s="3242" t="s">
        <v>2500</v>
      </c>
      <c r="Q7" s="3244"/>
      <c r="R7" s="769" t="s">
        <v>17</v>
      </c>
      <c r="S7" s="770">
        <f t="shared" ref="S7:S15" si="0">F7</f>
        <v>97</v>
      </c>
      <c r="T7" s="769" t="s">
        <v>17</v>
      </c>
      <c r="U7" s="770">
        <f t="shared" ref="U7:U15" si="1">H7</f>
        <v>94</v>
      </c>
      <c r="V7" s="769" t="s">
        <v>17</v>
      </c>
      <c r="W7" s="770">
        <f t="shared" ref="W7:W15" si="2">J7</f>
        <v>94</v>
      </c>
      <c r="X7" s="771"/>
      <c r="Y7" s="3242" t="s">
        <v>2500</v>
      </c>
      <c r="Z7" s="3243"/>
      <c r="AA7" s="772">
        <f>D7/F7</f>
        <v>1.0309278350515463</v>
      </c>
      <c r="AB7" s="772">
        <f>D7/H7</f>
        <v>1.0638297872340425</v>
      </c>
      <c r="AC7" s="772">
        <f>D7/J7</f>
        <v>1.0638297872340425</v>
      </c>
    </row>
    <row r="8" spans="1:30" s="117" customFormat="1" ht="15.75" thickBot="1">
      <c r="A8" s="407" t="s">
        <v>2501</v>
      </c>
      <c r="B8" s="408"/>
      <c r="C8" s="413" t="s">
        <v>2502</v>
      </c>
      <c r="D8" s="410">
        <v>100</v>
      </c>
      <c r="E8" s="413" t="s">
        <v>3083</v>
      </c>
      <c r="F8" s="412">
        <f>SUMIF(73:73,E8,74:74)-SUMIF(73:73,C8,74:74)+100</f>
        <v>100</v>
      </c>
      <c r="G8" s="413" t="s">
        <v>3083</v>
      </c>
      <c r="H8" s="410">
        <f>SUMIF(73:73,G8,74:74)-SUMIF(73:73,C8,74:74)+100</f>
        <v>100</v>
      </c>
      <c r="I8" s="413" t="s">
        <v>3083</v>
      </c>
      <c r="J8" s="410">
        <f>SUMIF(73:73,I8,74:74)-SUMIF(73:73,C8,74:74)+100</f>
        <v>100</v>
      </c>
      <c r="K8" s="610"/>
      <c r="L8" s="1131"/>
      <c r="M8" s="1132"/>
      <c r="N8" s="1132"/>
      <c r="O8" s="1132"/>
      <c r="P8" s="3242" t="s">
        <v>2503</v>
      </c>
      <c r="Q8" s="3243"/>
      <c r="R8" s="769" t="s">
        <v>17</v>
      </c>
      <c r="S8" s="770">
        <f t="shared" si="0"/>
        <v>100</v>
      </c>
      <c r="T8" s="769" t="s">
        <v>17</v>
      </c>
      <c r="U8" s="770">
        <f t="shared" si="1"/>
        <v>100</v>
      </c>
      <c r="V8" s="769" t="s">
        <v>17</v>
      </c>
      <c r="W8" s="770">
        <f t="shared" si="2"/>
        <v>100</v>
      </c>
      <c r="X8" s="771"/>
      <c r="Y8" s="3242" t="s">
        <v>2503</v>
      </c>
      <c r="Z8" s="3243"/>
      <c r="AA8" s="772">
        <f t="shared" ref="AA8:AA45" si="3">D8/F8</f>
        <v>1</v>
      </c>
      <c r="AB8" s="772">
        <f t="shared" ref="AB8:AB45" si="4">D8/H8</f>
        <v>1</v>
      </c>
      <c r="AC8" s="772">
        <f t="shared" ref="AC8:AC45" si="5">D8/J8</f>
        <v>1</v>
      </c>
    </row>
    <row r="9" spans="1:30" s="117" customFormat="1">
      <c r="A9" s="414" t="s">
        <v>2504</v>
      </c>
      <c r="B9" s="71" t="s">
        <v>2505</v>
      </c>
      <c r="C9" s="2695" t="s">
        <v>3035</v>
      </c>
      <c r="D9" s="134">
        <v>100</v>
      </c>
      <c r="E9" s="2695" t="s">
        <v>3035</v>
      </c>
      <c r="F9" s="134">
        <f>SUMIF(75:75,E9,76:76)-SUMIF(75:75,C9,76:76)+100</f>
        <v>100</v>
      </c>
      <c r="G9" s="2695" t="s">
        <v>3035</v>
      </c>
      <c r="H9" s="134">
        <f>SUMIF(75:75,G9,76:76)-SUMIF(75:75,C9,76:76)+100</f>
        <v>100</v>
      </c>
      <c r="I9" s="2695" t="s">
        <v>3035</v>
      </c>
      <c r="J9" s="134">
        <f>SUMIF(75:75,I9,76:76)-SUMIF(75:75,C9,76:76)+100</f>
        <v>100</v>
      </c>
      <c r="K9" s="610"/>
      <c r="L9" s="1131"/>
      <c r="M9" s="1132"/>
      <c r="N9" s="1132"/>
      <c r="O9" s="1133"/>
      <c r="P9" s="3213"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772">
        <f t="shared" si="5"/>
        <v>1</v>
      </c>
    </row>
    <row r="10" spans="1:30" s="426" customFormat="1" ht="27">
      <c r="A10" s="420"/>
      <c r="B10" s="421" t="s">
        <v>2508</v>
      </c>
      <c r="C10" s="431">
        <f>项目基本情况!D15</f>
        <v>65.83</v>
      </c>
      <c r="D10" s="135">
        <v>100</v>
      </c>
      <c r="E10" s="464" t="s">
        <v>3240</v>
      </c>
      <c r="F10" s="135">
        <f>ROUND(100/'数据-取费表'!G16,0)</f>
        <v>102</v>
      </c>
      <c r="G10" s="462" t="s">
        <v>3240</v>
      </c>
      <c r="H10" s="135">
        <f>ROUND(100/'数据-取费表'!G16,0)</f>
        <v>102</v>
      </c>
      <c r="I10" s="462" t="s">
        <v>3240</v>
      </c>
      <c r="J10" s="135">
        <f>ROUND(100/'数据-取费表'!G16,0)</f>
        <v>102</v>
      </c>
      <c r="K10" s="671"/>
      <c r="L10" s="1134"/>
      <c r="M10" s="1135"/>
      <c r="N10" s="1135"/>
      <c r="O10" s="1136"/>
      <c r="P10" s="3213"/>
      <c r="Q10" s="1793" t="str">
        <f t="shared" si="6"/>
        <v>土地使用年限（年）</v>
      </c>
      <c r="R10" s="769" t="s">
        <v>17</v>
      </c>
      <c r="S10" s="770">
        <f t="shared" si="0"/>
        <v>102</v>
      </c>
      <c r="T10" s="769" t="s">
        <v>17</v>
      </c>
      <c r="U10" s="770">
        <f t="shared" si="1"/>
        <v>102</v>
      </c>
      <c r="V10" s="769" t="s">
        <v>17</v>
      </c>
      <c r="W10" s="770">
        <f t="shared" si="2"/>
        <v>102</v>
      </c>
      <c r="X10" s="771"/>
      <c r="Y10" s="3061"/>
      <c r="Z10" s="55" t="str">
        <f t="shared" si="7"/>
        <v>土地使用年限（年）</v>
      </c>
      <c r="AA10" s="772">
        <f t="shared" si="3"/>
        <v>0.98039215686274506</v>
      </c>
      <c r="AB10" s="772">
        <f t="shared" si="4"/>
        <v>0.98039215686274506</v>
      </c>
      <c r="AC10" s="772">
        <f t="shared" si="5"/>
        <v>0.98039215686274506</v>
      </c>
    </row>
    <row r="11" spans="1:30" ht="15">
      <c r="A11" s="427"/>
      <c r="B11" s="421" t="s">
        <v>2509</v>
      </c>
      <c r="C11" s="428">
        <f>'数据-汇总表'!I4</f>
        <v>1.39</v>
      </c>
      <c r="D11" s="135">
        <v>100</v>
      </c>
      <c r="E11" s="428">
        <f>土地案例!G5</f>
        <v>2.5</v>
      </c>
      <c r="F11" s="135">
        <f>LOOKUP(E11,80:80,81:81)-LOOKUP(C11,80:80,81:81)+100</f>
        <v>99</v>
      </c>
      <c r="G11" s="429">
        <f>土地案例!G24</f>
        <v>2.12</v>
      </c>
      <c r="H11" s="135">
        <f>LOOKUP(G11,80:80,81:81)-LOOKUP(C11,80:80,81:81)+100</f>
        <v>99</v>
      </c>
      <c r="I11" s="428">
        <f>土地案例!G25</f>
        <v>2.2000000000000002</v>
      </c>
      <c r="J11" s="135">
        <f>LOOKUP(I11,80:80,81:81)-LOOKUP(C11,80:80,81:81)+100</f>
        <v>99</v>
      </c>
      <c r="K11" s="672">
        <v>1</v>
      </c>
      <c r="L11" s="1137"/>
      <c r="M11" s="1130"/>
      <c r="N11" s="1130"/>
      <c r="O11" s="1138"/>
      <c r="P11" s="3213"/>
      <c r="Q11" s="1793" t="str">
        <f t="shared" si="6"/>
        <v>容积率</v>
      </c>
      <c r="R11" s="769" t="s">
        <v>17</v>
      </c>
      <c r="S11" s="770">
        <f t="shared" si="0"/>
        <v>99</v>
      </c>
      <c r="T11" s="769" t="s">
        <v>17</v>
      </c>
      <c r="U11" s="770">
        <f t="shared" si="1"/>
        <v>99</v>
      </c>
      <c r="V11" s="769" t="s">
        <v>17</v>
      </c>
      <c r="W11" s="770">
        <f t="shared" si="2"/>
        <v>99</v>
      </c>
      <c r="X11" s="771"/>
      <c r="Y11" s="3061"/>
      <c r="Z11" s="55" t="str">
        <f t="shared" si="7"/>
        <v>容积率</v>
      </c>
      <c r="AA11" s="772">
        <f t="shared" si="3"/>
        <v>1.0101010101010102</v>
      </c>
      <c r="AB11" s="772">
        <f t="shared" si="4"/>
        <v>1.0101010101010102</v>
      </c>
      <c r="AC11" s="772">
        <f t="shared" si="5"/>
        <v>1.0101010101010102</v>
      </c>
    </row>
    <row r="12" spans="1:30" s="117" customFormat="1" ht="15">
      <c r="A12" s="430"/>
      <c r="B12" s="2971" t="s">
        <v>3259</v>
      </c>
      <c r="C12" s="2972" t="s">
        <v>3260</v>
      </c>
      <c r="D12" s="432">
        <v>100</v>
      </c>
      <c r="E12" s="2983" t="s">
        <v>3261</v>
      </c>
      <c r="F12" s="135">
        <f>SUMIF(82:82,E12,83:83)-SUMIF(82:82,C12,83:83)+100</f>
        <v>99</v>
      </c>
      <c r="G12" s="2983" t="s">
        <v>3261</v>
      </c>
      <c r="H12" s="135">
        <f>SUMIF(82:82,G12,83:83)-SUMIF(82:82,C12,83:83)+100</f>
        <v>99</v>
      </c>
      <c r="I12" s="2983" t="s">
        <v>3261</v>
      </c>
      <c r="J12" s="135">
        <f>SUMIF(82:82,I12,83:83)-SUMIF(82:82,C12,83:83)+100</f>
        <v>99</v>
      </c>
      <c r="K12" s="671"/>
      <c r="L12" s="1131"/>
      <c r="M12" s="1132"/>
      <c r="N12" s="1132"/>
      <c r="O12" s="1133"/>
      <c r="P12" s="3213"/>
      <c r="Q12" s="1793" t="str">
        <f t="shared" si="6"/>
        <v>其他</v>
      </c>
      <c r="R12" s="769" t="s">
        <v>17</v>
      </c>
      <c r="S12" s="770">
        <f t="shared" si="0"/>
        <v>99</v>
      </c>
      <c r="T12" s="769" t="s">
        <v>17</v>
      </c>
      <c r="U12" s="770">
        <f t="shared" si="1"/>
        <v>99</v>
      </c>
      <c r="V12" s="769" t="s">
        <v>17</v>
      </c>
      <c r="W12" s="770">
        <f t="shared" si="2"/>
        <v>99</v>
      </c>
      <c r="X12" s="771"/>
      <c r="Y12" s="3061"/>
      <c r="Z12" s="55" t="str">
        <f t="shared" si="7"/>
        <v>其他</v>
      </c>
      <c r="AA12" s="772">
        <f>D12/F12</f>
        <v>1.0101010101010102</v>
      </c>
      <c r="AB12" s="772">
        <f>D12/H12</f>
        <v>1.0101010101010102</v>
      </c>
      <c r="AC12" s="772">
        <f>D12/J12</f>
        <v>1.0101010101010102</v>
      </c>
    </row>
    <row r="13" spans="1:30" ht="15">
      <c r="A13" s="427"/>
      <c r="B13" s="2596"/>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3"/>
      <c r="Q13" s="1793">
        <f t="shared" si="6"/>
        <v>0</v>
      </c>
      <c r="R13" s="769" t="s">
        <v>17</v>
      </c>
      <c r="S13" s="770">
        <f t="shared" si="0"/>
        <v>100</v>
      </c>
      <c r="T13" s="769" t="s">
        <v>17</v>
      </c>
      <c r="U13" s="770">
        <f t="shared" si="1"/>
        <v>100</v>
      </c>
      <c r="V13" s="769" t="s">
        <v>17</v>
      </c>
      <c r="W13" s="770">
        <f t="shared" si="2"/>
        <v>100</v>
      </c>
      <c r="X13" s="771"/>
      <c r="Y13" s="3061"/>
      <c r="Z13" s="55">
        <f t="shared" si="7"/>
        <v>0</v>
      </c>
      <c r="AA13" s="772">
        <f>D13/F13</f>
        <v>1</v>
      </c>
      <c r="AB13" s="772">
        <f>D13/H13</f>
        <v>1</v>
      </c>
      <c r="AC13" s="772">
        <f>D13/J13</f>
        <v>1</v>
      </c>
    </row>
    <row r="14" spans="1:30" ht="15.75" thickBot="1">
      <c r="A14" s="435"/>
      <c r="B14" s="2598"/>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3"/>
      <c r="Q14" s="1793">
        <f t="shared" si="6"/>
        <v>0</v>
      </c>
      <c r="R14" s="769" t="s">
        <v>17</v>
      </c>
      <c r="S14" s="770">
        <f t="shared" si="0"/>
        <v>100</v>
      </c>
      <c r="T14" s="769" t="s">
        <v>17</v>
      </c>
      <c r="U14" s="770">
        <f t="shared" si="1"/>
        <v>100</v>
      </c>
      <c r="V14" s="769" t="s">
        <v>17</v>
      </c>
      <c r="W14" s="770">
        <f t="shared" si="2"/>
        <v>100</v>
      </c>
      <c r="X14" s="771"/>
      <c r="Y14" s="3061"/>
      <c r="Z14" s="55">
        <f t="shared" si="7"/>
        <v>0</v>
      </c>
      <c r="AA14" s="772">
        <f>D14/F14</f>
        <v>1</v>
      </c>
      <c r="AB14" s="772">
        <f>D14/H14</f>
        <v>1</v>
      </c>
      <c r="AC14" s="772">
        <f>D14/J14</f>
        <v>1</v>
      </c>
    </row>
    <row r="15" spans="1:30" ht="128.25">
      <c r="A15" s="439" t="s">
        <v>2510</v>
      </c>
      <c r="B15" s="69" t="s">
        <v>2048</v>
      </c>
      <c r="C15" s="2599" t="str">
        <f>估价对象房地状况!C15</f>
        <v>估价对象周边居住用地比例一般、居住小区规模和社区发展完善程度一般，周边有兴盛馨苑、上林苑等小区，综合评价居住社区成熟度一般</v>
      </c>
      <c r="D15" s="440">
        <v>100</v>
      </c>
      <c r="E15" s="2976" t="s">
        <v>3249</v>
      </c>
      <c r="F15" s="440">
        <f>SUMIF(88:88,E16,89:89)-SUMIF(88:88,C16,89:89)+100</f>
        <v>100</v>
      </c>
      <c r="G15" s="441" t="s">
        <v>3048</v>
      </c>
      <c r="H15" s="440">
        <f>SUMIF(88:88,G16,89:89)-SUMIF(88:88,C16,89:89)+100</f>
        <v>100</v>
      </c>
      <c r="I15" s="443" t="s">
        <v>3048</v>
      </c>
      <c r="J15" s="440">
        <f>SUMIF(88:88,I16,89:89)-SUMIF(88:88,C16,89:89)+100</f>
        <v>100</v>
      </c>
      <c r="K15" s="672">
        <v>2</v>
      </c>
      <c r="L15" s="1139"/>
      <c r="M15" s="1130"/>
      <c r="N15" s="1130"/>
      <c r="O15" s="1138"/>
      <c r="P15" s="3215" t="s">
        <v>2511</v>
      </c>
      <c r="Q15" s="1808" t="str">
        <f t="shared" si="6"/>
        <v>居住社区成熟度</v>
      </c>
      <c r="R15" s="773" t="s">
        <v>17</v>
      </c>
      <c r="S15" s="774">
        <f t="shared" si="0"/>
        <v>100</v>
      </c>
      <c r="T15" s="773" t="s">
        <v>17</v>
      </c>
      <c r="U15" s="774">
        <f t="shared" si="1"/>
        <v>100</v>
      </c>
      <c r="V15" s="773" t="s">
        <v>17</v>
      </c>
      <c r="W15" s="774">
        <f t="shared" si="2"/>
        <v>100</v>
      </c>
      <c r="X15" s="1811"/>
      <c r="Y15" s="3215" t="s">
        <v>2511</v>
      </c>
      <c r="Z15" s="1812" t="str">
        <f t="shared" si="7"/>
        <v>居住社区成熟度</v>
      </c>
      <c r="AA15" s="1809">
        <f t="shared" si="3"/>
        <v>1</v>
      </c>
      <c r="AB15" s="1809">
        <f t="shared" si="4"/>
        <v>1</v>
      </c>
      <c r="AC15" s="1809">
        <f t="shared" si="5"/>
        <v>1</v>
      </c>
    </row>
    <row r="16" spans="1:30" ht="15">
      <c r="A16" s="427"/>
      <c r="B16" s="445"/>
      <c r="C16" s="446" t="s">
        <v>3060</v>
      </c>
      <c r="D16" s="447"/>
      <c r="E16" s="2601" t="s">
        <v>3060</v>
      </c>
      <c r="F16" s="447"/>
      <c r="G16" s="2601" t="s">
        <v>3060</v>
      </c>
      <c r="H16" s="449"/>
      <c r="I16" s="2600" t="s">
        <v>3060</v>
      </c>
      <c r="J16" s="447"/>
      <c r="K16" s="671"/>
      <c r="L16" s="1139"/>
      <c r="M16" s="1130"/>
      <c r="N16" s="1130"/>
      <c r="O16" s="1138"/>
      <c r="P16" s="3216"/>
      <c r="Q16" s="1808"/>
      <c r="R16" s="773"/>
      <c r="S16" s="774"/>
      <c r="T16" s="773"/>
      <c r="U16" s="774"/>
      <c r="V16" s="773"/>
      <c r="W16" s="774"/>
      <c r="X16" s="1811"/>
      <c r="Y16" s="3216"/>
      <c r="Z16" s="1812"/>
      <c r="AA16" s="1809">
        <v>1</v>
      </c>
      <c r="AB16" s="1809">
        <v>1</v>
      </c>
      <c r="AC16" s="1809">
        <v>1</v>
      </c>
    </row>
    <row r="17" spans="1:29" ht="15">
      <c r="A17" s="427"/>
      <c r="B17" s="450" t="s">
        <v>2603</v>
      </c>
      <c r="C17" s="2660">
        <f>估价对象房地状况!C16</f>
        <v>0</v>
      </c>
      <c r="D17" s="449">
        <v>100</v>
      </c>
      <c r="E17" s="451">
        <v>0</v>
      </c>
      <c r="F17" s="449">
        <f>SUMIF(90:90,E18,91:91)-SUMIF(90:90,C18,91:91)+100</f>
        <v>100</v>
      </c>
      <c r="G17" s="451">
        <v>0</v>
      </c>
      <c r="H17" s="454">
        <f>SUMIF(90:90,G18,91:91)-SUMIF(90:90,C18,91:91)+100</f>
        <v>100</v>
      </c>
      <c r="I17" s="451">
        <v>0</v>
      </c>
      <c r="J17" s="454">
        <f>SUMIF(90:90,I18,91:91)-SUMIF(90:90,C18,91:91)+100</f>
        <v>100</v>
      </c>
      <c r="K17" s="672">
        <v>1</v>
      </c>
      <c r="L17" s="1139"/>
      <c r="M17" s="1130"/>
      <c r="N17" s="1130"/>
      <c r="O17" s="1138"/>
      <c r="P17" s="3216"/>
      <c r="Q17" s="1808" t="str">
        <f>B17</f>
        <v>商业繁华度</v>
      </c>
      <c r="R17" s="773" t="s">
        <v>17</v>
      </c>
      <c r="S17" s="774">
        <f>F17</f>
        <v>100</v>
      </c>
      <c r="T17" s="773" t="s">
        <v>17</v>
      </c>
      <c r="U17" s="774">
        <f>H17</f>
        <v>100</v>
      </c>
      <c r="V17" s="773" t="s">
        <v>17</v>
      </c>
      <c r="W17" s="774">
        <f>J17</f>
        <v>100</v>
      </c>
      <c r="X17" s="1811"/>
      <c r="Y17" s="3216"/>
      <c r="Z17" s="1812" t="str">
        <f>Q17</f>
        <v>商业繁华度</v>
      </c>
      <c r="AA17" s="1809">
        <f t="shared" si="3"/>
        <v>1</v>
      </c>
      <c r="AB17" s="1809">
        <f t="shared" si="4"/>
        <v>1</v>
      </c>
      <c r="AC17" s="1809">
        <f t="shared" si="5"/>
        <v>1</v>
      </c>
    </row>
    <row r="18" spans="1:29" ht="15">
      <c r="A18" s="427"/>
      <c r="B18" s="455"/>
      <c r="C18" s="2604" t="s">
        <v>3241</v>
      </c>
      <c r="D18" s="449"/>
      <c r="E18" s="2606" t="s">
        <v>3241</v>
      </c>
      <c r="F18" s="449"/>
      <c r="G18" s="2606" t="s">
        <v>3241</v>
      </c>
      <c r="H18" s="447"/>
      <c r="I18" s="2606" t="s">
        <v>3241</v>
      </c>
      <c r="J18" s="447"/>
      <c r="K18" s="671"/>
      <c r="L18" s="1139"/>
      <c r="M18" s="1130"/>
      <c r="N18" s="1130"/>
      <c r="O18" s="1138"/>
      <c r="P18" s="3216"/>
      <c r="Q18" s="1808"/>
      <c r="R18" s="773"/>
      <c r="S18" s="774"/>
      <c r="T18" s="773"/>
      <c r="U18" s="774"/>
      <c r="V18" s="773"/>
      <c r="W18" s="774"/>
      <c r="X18" s="1811"/>
      <c r="Y18" s="3216"/>
      <c r="Z18" s="1812"/>
      <c r="AA18" s="1809">
        <v>1</v>
      </c>
      <c r="AB18" s="1809">
        <v>1</v>
      </c>
      <c r="AC18" s="1809">
        <v>1</v>
      </c>
    </row>
    <row r="19" spans="1:29" ht="15">
      <c r="A19" s="427"/>
      <c r="B19" s="450" t="s">
        <v>2637</v>
      </c>
      <c r="C19" s="2660">
        <f>估价对象房地状况!C17</f>
        <v>0</v>
      </c>
      <c r="D19" s="454">
        <v>100</v>
      </c>
      <c r="E19" s="456">
        <v>0</v>
      </c>
      <c r="F19" s="454">
        <f>SUMIF(92:92,E20,93:93)-SUMIF(92:92,C20,93:93)+100</f>
        <v>100</v>
      </c>
      <c r="G19" s="456">
        <v>0</v>
      </c>
      <c r="H19" s="449">
        <f>SUMIF(92:92,G20,93:93)-SUMIF(92:92,C20,93:93)+100</f>
        <v>100</v>
      </c>
      <c r="I19" s="456">
        <v>0</v>
      </c>
      <c r="J19" s="449">
        <f>SUMIF(92:92,I20,93:93)-SUMIF(92:92,C20,93:93)+100</f>
        <v>100</v>
      </c>
      <c r="K19" s="672">
        <v>1</v>
      </c>
      <c r="L19" s="1139"/>
      <c r="M19" s="1130"/>
      <c r="N19" s="1130"/>
      <c r="O19" s="1138"/>
      <c r="P19" s="3216"/>
      <c r="Q19" s="1808" t="str">
        <f>B19</f>
        <v>办公集聚程度</v>
      </c>
      <c r="R19" s="773" t="s">
        <v>17</v>
      </c>
      <c r="S19" s="774">
        <f>F19</f>
        <v>100</v>
      </c>
      <c r="T19" s="773" t="s">
        <v>17</v>
      </c>
      <c r="U19" s="774">
        <f>H19</f>
        <v>100</v>
      </c>
      <c r="V19" s="773" t="s">
        <v>17</v>
      </c>
      <c r="W19" s="774">
        <f>J19</f>
        <v>100</v>
      </c>
      <c r="X19" s="1811"/>
      <c r="Y19" s="3216"/>
      <c r="Z19" s="1812" t="str">
        <f>Q19</f>
        <v>办公集聚程度</v>
      </c>
      <c r="AA19" s="1809">
        <f t="shared" si="3"/>
        <v>1</v>
      </c>
      <c r="AB19" s="1809">
        <f t="shared" si="4"/>
        <v>1</v>
      </c>
      <c r="AC19" s="1809">
        <f t="shared" si="5"/>
        <v>1</v>
      </c>
    </row>
    <row r="20" spans="1:29" ht="15">
      <c r="A20" s="427"/>
      <c r="B20" s="455"/>
      <c r="C20" s="446" t="s">
        <v>3242</v>
      </c>
      <c r="D20" s="447"/>
      <c r="E20" s="2601" t="s">
        <v>3242</v>
      </c>
      <c r="F20" s="447"/>
      <c r="G20" s="2601" t="s">
        <v>3242</v>
      </c>
      <c r="H20" s="447"/>
      <c r="I20" s="2601" t="s">
        <v>3242</v>
      </c>
      <c r="J20" s="447"/>
      <c r="K20" s="671"/>
      <c r="L20" s="1139"/>
      <c r="M20" s="1130"/>
      <c r="N20" s="1130"/>
      <c r="O20" s="1138"/>
      <c r="P20" s="3216"/>
      <c r="Q20" s="1808"/>
      <c r="R20" s="773"/>
      <c r="S20" s="774"/>
      <c r="T20" s="773"/>
      <c r="U20" s="774"/>
      <c r="V20" s="773"/>
      <c r="W20" s="774"/>
      <c r="X20" s="1811"/>
      <c r="Y20" s="3216"/>
      <c r="Z20" s="1812"/>
      <c r="AA20" s="1809">
        <v>1</v>
      </c>
      <c r="AB20" s="1809">
        <v>1</v>
      </c>
      <c r="AC20" s="1809">
        <v>1</v>
      </c>
    </row>
    <row r="21" spans="1:29" ht="142.5">
      <c r="A21" s="427"/>
      <c r="B21" s="450" t="s">
        <v>2659</v>
      </c>
      <c r="C21" s="2603" t="str">
        <f>估价对象房地状况!C18</f>
        <v>估价对象周边道路状况较好、公共交通通达情况较好、停车便捷程度较好，周边临近8号线德茂站、周边有341/453等公交线路，综合评价交通便捷度较好</v>
      </c>
      <c r="D21" s="449">
        <v>100</v>
      </c>
      <c r="E21" s="2981" t="s">
        <v>3250</v>
      </c>
      <c r="F21" s="454">
        <f>SUMIF(94:94,E22,95:95)-SUMIF(94:94,C22,95:95)+100</f>
        <v>99</v>
      </c>
      <c r="G21" s="451" t="s">
        <v>3051</v>
      </c>
      <c r="H21" s="449">
        <f>SUMIF(94:94,G22,95:95)-SUMIF(94:94,C22,95:95)+100</f>
        <v>100</v>
      </c>
      <c r="I21" s="453" t="s">
        <v>3051</v>
      </c>
      <c r="J21" s="449">
        <f>SUMIF(94:94,I22,95:95)-SUMIF(94:94,C22,95:95)+100</f>
        <v>100</v>
      </c>
      <c r="K21" s="672">
        <v>1</v>
      </c>
      <c r="L21" s="1139"/>
      <c r="M21" s="1130"/>
      <c r="N21" s="1130"/>
      <c r="O21" s="1138"/>
      <c r="P21" s="3216"/>
      <c r="Q21" s="1808" t="str">
        <f>B21</f>
        <v>交通便捷度</v>
      </c>
      <c r="R21" s="773" t="s">
        <v>17</v>
      </c>
      <c r="S21" s="774">
        <f>F21</f>
        <v>99</v>
      </c>
      <c r="T21" s="773" t="s">
        <v>17</v>
      </c>
      <c r="U21" s="774">
        <f>H21</f>
        <v>100</v>
      </c>
      <c r="V21" s="773" t="s">
        <v>17</v>
      </c>
      <c r="W21" s="774">
        <f>J21</f>
        <v>100</v>
      </c>
      <c r="X21" s="1811"/>
      <c r="Y21" s="3216"/>
      <c r="Z21" s="1812" t="str">
        <f>Q21</f>
        <v>交通便捷度</v>
      </c>
      <c r="AA21" s="1809">
        <f t="shared" si="3"/>
        <v>1.0101010101010102</v>
      </c>
      <c r="AB21" s="1809">
        <f t="shared" si="4"/>
        <v>1</v>
      </c>
      <c r="AC21" s="1809">
        <f t="shared" si="5"/>
        <v>1</v>
      </c>
    </row>
    <row r="22" spans="1:29" ht="15">
      <c r="A22" s="427"/>
      <c r="B22" s="1383"/>
      <c r="C22" s="446" t="s">
        <v>3081</v>
      </c>
      <c r="D22" s="449"/>
      <c r="E22" s="2601" t="s">
        <v>3060</v>
      </c>
      <c r="F22" s="447"/>
      <c r="G22" s="2601" t="s">
        <v>3081</v>
      </c>
      <c r="H22" s="447"/>
      <c r="I22" s="2600" t="s">
        <v>3081</v>
      </c>
      <c r="J22" s="447"/>
      <c r="K22" s="671"/>
      <c r="L22" s="1139"/>
      <c r="M22" s="1130"/>
      <c r="N22" s="1130"/>
      <c r="O22" s="1138"/>
      <c r="P22" s="3216"/>
      <c r="Q22" s="1808"/>
      <c r="R22" s="773"/>
      <c r="S22" s="774"/>
      <c r="T22" s="773"/>
      <c r="U22" s="774"/>
      <c r="V22" s="773"/>
      <c r="W22" s="774"/>
      <c r="X22" s="1811"/>
      <c r="Y22" s="3216"/>
      <c r="Z22" s="1812"/>
      <c r="AA22" s="1809">
        <v>1</v>
      </c>
      <c r="AB22" s="1809">
        <v>1</v>
      </c>
      <c r="AC22" s="1809">
        <v>1</v>
      </c>
    </row>
    <row r="23" spans="1:29" ht="15">
      <c r="A23" s="403"/>
      <c r="B23" s="450" t="s">
        <v>2696</v>
      </c>
      <c r="C23" s="1388" t="str">
        <f>估价对象房地状况!C19</f>
        <v>一般</v>
      </c>
      <c r="D23" s="454">
        <v>100</v>
      </c>
      <c r="E23" s="451" t="s">
        <v>3060</v>
      </c>
      <c r="F23" s="454">
        <f>SUMIF(96:96,E24,97:97)-SUMIF(96:96,C24,97:97)+100</f>
        <v>100</v>
      </c>
      <c r="G23" s="451" t="s">
        <v>3060</v>
      </c>
      <c r="H23" s="454">
        <f>SUMIF(96:96,G24,97:97)-SUMIF(96:96,C24,97:97)+100</f>
        <v>100</v>
      </c>
      <c r="I23" s="453" t="s">
        <v>3060</v>
      </c>
      <c r="J23" s="454">
        <f>SUMIF(96:96,I24,97:97)-SUMIF(96:96,C24,97:97)+100</f>
        <v>100</v>
      </c>
      <c r="K23" s="672">
        <v>1</v>
      </c>
      <c r="L23" s="1139"/>
      <c r="M23" s="1130"/>
      <c r="N23" s="1130"/>
      <c r="O23" s="1138"/>
      <c r="P23" s="3216"/>
      <c r="Q23" s="1808" t="str">
        <f t="shared" ref="Q23:Q37" si="8">B23</f>
        <v>区域土地利用方向</v>
      </c>
      <c r="R23" s="773" t="s">
        <v>17</v>
      </c>
      <c r="S23" s="774">
        <f>F23</f>
        <v>100</v>
      </c>
      <c r="T23" s="773" t="s">
        <v>17</v>
      </c>
      <c r="U23" s="774">
        <f>H23</f>
        <v>100</v>
      </c>
      <c r="V23" s="773" t="s">
        <v>17</v>
      </c>
      <c r="W23" s="774">
        <f>J23</f>
        <v>100</v>
      </c>
      <c r="X23" s="1811"/>
      <c r="Y23" s="3216"/>
      <c r="Z23" s="1812" t="str">
        <f>Q23</f>
        <v>区域土地利用方向</v>
      </c>
      <c r="AA23" s="1809">
        <f t="shared" si="3"/>
        <v>1</v>
      </c>
      <c r="AB23" s="1809">
        <f t="shared" si="4"/>
        <v>1</v>
      </c>
      <c r="AC23" s="1809">
        <f t="shared" si="5"/>
        <v>1</v>
      </c>
    </row>
    <row r="24" spans="1:29" ht="15">
      <c r="A24" s="403"/>
      <c r="B24" s="455"/>
      <c r="C24" s="615" t="s">
        <v>3060</v>
      </c>
      <c r="D24" s="447"/>
      <c r="E24" s="2601" t="s">
        <v>3060</v>
      </c>
      <c r="F24" s="447"/>
      <c r="G24" s="2601" t="s">
        <v>3060</v>
      </c>
      <c r="H24" s="447"/>
      <c r="I24" s="2600" t="s">
        <v>3060</v>
      </c>
      <c r="J24" s="447"/>
      <c r="K24" s="808"/>
      <c r="L24" s="1139"/>
      <c r="M24" s="1130"/>
      <c r="N24" s="1130"/>
      <c r="O24" s="1138"/>
      <c r="P24" s="3216"/>
      <c r="Q24" s="1808"/>
      <c r="R24" s="773"/>
      <c r="S24" s="774"/>
      <c r="T24" s="773"/>
      <c r="U24" s="774"/>
      <c r="V24" s="773"/>
      <c r="W24" s="774"/>
      <c r="X24" s="1811"/>
      <c r="Y24" s="3216"/>
      <c r="Z24" s="1812"/>
      <c r="AA24" s="1809"/>
      <c r="AB24" s="1809"/>
      <c r="AC24" s="1809"/>
    </row>
    <row r="25" spans="1:29" ht="85.5">
      <c r="A25" s="403"/>
      <c r="B25" s="1383" t="s">
        <v>2697</v>
      </c>
      <c r="C25" s="2660" t="str">
        <f>估价对象房地状况!C20</f>
        <v>区域自然环境好；人文环境较好；周边有南海子公园等，综合评价环境状况较好</v>
      </c>
      <c r="D25" s="449">
        <v>100</v>
      </c>
      <c r="E25" s="2981" t="s">
        <v>3251</v>
      </c>
      <c r="F25" s="449">
        <f>SUMIF(98:98,E26,99:99)-SUMIF(98:98,C26,99:99)+100</f>
        <v>99</v>
      </c>
      <c r="G25" s="451" t="s">
        <v>3057</v>
      </c>
      <c r="H25" s="449">
        <f>SUMIF(98:98,G26,99:99)-SUMIF(98:98,C26,99:99)+100</f>
        <v>100</v>
      </c>
      <c r="I25" s="453" t="s">
        <v>3057</v>
      </c>
      <c r="J25" s="449">
        <f>SUMIF(98:98,I26,99:99)-SUMIF(98:98,C26,99:99)+100</f>
        <v>100</v>
      </c>
      <c r="K25" s="672">
        <v>1</v>
      </c>
      <c r="L25" s="1139"/>
      <c r="M25" s="1130"/>
      <c r="N25" s="1130"/>
      <c r="O25" s="1138"/>
      <c r="P25" s="3216"/>
      <c r="Q25" s="1808" t="str">
        <f t="shared" si="8"/>
        <v>自然及人文环境状况</v>
      </c>
      <c r="R25" s="773" t="s">
        <v>17</v>
      </c>
      <c r="S25" s="774">
        <f>F25</f>
        <v>99</v>
      </c>
      <c r="T25" s="773" t="s">
        <v>17</v>
      </c>
      <c r="U25" s="774">
        <f>H25</f>
        <v>100</v>
      </c>
      <c r="V25" s="773" t="s">
        <v>17</v>
      </c>
      <c r="W25" s="774">
        <f>J25</f>
        <v>100</v>
      </c>
      <c r="X25" s="1811"/>
      <c r="Y25" s="3216"/>
      <c r="Z25" s="1812" t="str">
        <f>Q25</f>
        <v>自然及人文环境状况</v>
      </c>
      <c r="AA25" s="1809">
        <f t="shared" si="3"/>
        <v>1.0101010101010102</v>
      </c>
      <c r="AB25" s="1809">
        <f t="shared" si="4"/>
        <v>1</v>
      </c>
      <c r="AC25" s="1809">
        <f t="shared" si="5"/>
        <v>1</v>
      </c>
    </row>
    <row r="26" spans="1:29" ht="15">
      <c r="A26" s="403"/>
      <c r="B26" s="455"/>
      <c r="C26" s="446" t="s">
        <v>3081</v>
      </c>
      <c r="D26" s="447"/>
      <c r="E26" s="2607" t="s">
        <v>3060</v>
      </c>
      <c r="F26" s="447"/>
      <c r="G26" s="2607" t="s">
        <v>3081</v>
      </c>
      <c r="H26" s="447"/>
      <c r="I26" s="446" t="s">
        <v>3081</v>
      </c>
      <c r="J26" s="447"/>
      <c r="K26" s="671"/>
      <c r="L26" s="1139"/>
      <c r="M26" s="1130"/>
      <c r="N26" s="1130"/>
      <c r="O26" s="1138"/>
      <c r="P26" s="3216"/>
      <c r="Q26" s="1808"/>
      <c r="R26" s="773"/>
      <c r="S26" s="774"/>
      <c r="T26" s="773"/>
      <c r="U26" s="774"/>
      <c r="V26" s="773"/>
      <c r="W26" s="774"/>
      <c r="X26" s="1811"/>
      <c r="Y26" s="3216"/>
      <c r="Z26" s="1812"/>
      <c r="AA26" s="1809">
        <v>1</v>
      </c>
      <c r="AB26" s="1809">
        <v>1</v>
      </c>
      <c r="AC26" s="1809">
        <v>1</v>
      </c>
    </row>
    <row r="27" spans="1:29" s="117" customFormat="1" ht="42.75">
      <c r="A27" s="648"/>
      <c r="B27" s="1383" t="s">
        <v>2604</v>
      </c>
      <c r="C27" s="2603" t="str">
        <f>估价对象房地状况!C21</f>
        <v>估价对象所在区域公共配套设施齐备情况一般</v>
      </c>
      <c r="D27" s="449">
        <v>100</v>
      </c>
      <c r="E27" s="451" t="s">
        <v>3053</v>
      </c>
      <c r="F27" s="449">
        <f>SUMIF(100:100,E28,101:101)-SUMIF(100:100,C28,101:101)+100</f>
        <v>100</v>
      </c>
      <c r="G27" s="451" t="s">
        <v>3053</v>
      </c>
      <c r="H27" s="449">
        <f>SUMIF(100:100,G28,101:101)-SUMIF(100:100,C28,101:101)+100</f>
        <v>100</v>
      </c>
      <c r="I27" s="453" t="s">
        <v>3053</v>
      </c>
      <c r="J27" s="449">
        <f>SUMIF(100:100,I28,101:101)-SUMIF(100:100,C28,101:101)+100</f>
        <v>100</v>
      </c>
      <c r="K27" s="672">
        <v>1</v>
      </c>
      <c r="L27" s="1131"/>
      <c r="M27" s="1132"/>
      <c r="N27" s="1132"/>
      <c r="O27" s="1133"/>
      <c r="P27" s="3216"/>
      <c r="Q27" s="1793" t="str">
        <f t="shared" si="8"/>
        <v>公共配套设施</v>
      </c>
      <c r="R27" s="769" t="s">
        <v>17</v>
      </c>
      <c r="S27" s="770">
        <f>F27</f>
        <v>100</v>
      </c>
      <c r="T27" s="769" t="s">
        <v>17</v>
      </c>
      <c r="U27" s="770">
        <f>H27</f>
        <v>100</v>
      </c>
      <c r="V27" s="769" t="s">
        <v>17</v>
      </c>
      <c r="W27" s="770">
        <f>J27</f>
        <v>100</v>
      </c>
      <c r="X27" s="771"/>
      <c r="Y27" s="3216"/>
      <c r="Z27" s="55" t="str">
        <f>Q27</f>
        <v>公共配套设施</v>
      </c>
      <c r="AA27" s="1809">
        <f>D27/F27</f>
        <v>1</v>
      </c>
      <c r="AB27" s="1809">
        <f>D27/H27</f>
        <v>1</v>
      </c>
      <c r="AC27" s="1809">
        <f>D27/J27</f>
        <v>1</v>
      </c>
    </row>
    <row r="28" spans="1:29" s="117" customFormat="1" ht="15">
      <c r="A28" s="648"/>
      <c r="B28" s="455"/>
      <c r="C28" s="2696" t="s">
        <v>3060</v>
      </c>
      <c r="D28" s="447"/>
      <c r="E28" s="2607" t="s">
        <v>3060</v>
      </c>
      <c r="F28" s="447"/>
      <c r="G28" s="2607" t="s">
        <v>3060</v>
      </c>
      <c r="H28" s="447"/>
      <c r="I28" s="446" t="s">
        <v>3060</v>
      </c>
      <c r="J28" s="447"/>
      <c r="K28" s="671"/>
      <c r="L28" s="1131"/>
      <c r="M28" s="1132"/>
      <c r="N28" s="1132"/>
      <c r="O28" s="1133"/>
      <c r="P28" s="3216"/>
      <c r="Q28" s="1793"/>
      <c r="R28" s="769"/>
      <c r="S28" s="770"/>
      <c r="T28" s="769"/>
      <c r="U28" s="770"/>
      <c r="V28" s="769"/>
      <c r="W28" s="770"/>
      <c r="X28" s="771"/>
      <c r="Y28" s="3216"/>
      <c r="Z28" s="55"/>
      <c r="AA28" s="1809">
        <v>1</v>
      </c>
      <c r="AB28" s="1809">
        <v>1</v>
      </c>
      <c r="AC28" s="1809">
        <v>1</v>
      </c>
    </row>
    <row r="29" spans="1:29" s="117" customFormat="1" ht="42.75">
      <c r="A29" s="648"/>
      <c r="B29" s="1383" t="s">
        <v>2605</v>
      </c>
      <c r="C29" s="2603" t="str">
        <f>估价对象房地状况!C22</f>
        <v>估价对象所在区域基础设施水平较好</v>
      </c>
      <c r="D29" s="449">
        <v>100</v>
      </c>
      <c r="E29" s="451" t="s">
        <v>3055</v>
      </c>
      <c r="F29" s="449">
        <f>SUMIF(102:102,E30,103:103)-SUMIF(102:102,C30,103:103)+100</f>
        <v>100</v>
      </c>
      <c r="G29" s="451" t="s">
        <v>3055</v>
      </c>
      <c r="H29" s="449">
        <f>SUMIF(102:102,G30,103:103)-SUMIF(102:102,C30,103:103)+100</f>
        <v>100</v>
      </c>
      <c r="I29" s="453" t="s">
        <v>3055</v>
      </c>
      <c r="J29" s="449">
        <f>SUMIF(102:102,I30,103:103)-SUMIF(102:102,C30,103:103)+100</f>
        <v>100</v>
      </c>
      <c r="K29" s="672">
        <v>1</v>
      </c>
      <c r="L29" s="1131"/>
      <c r="M29" s="1132"/>
      <c r="N29" s="1132"/>
      <c r="O29" s="1133"/>
      <c r="P29" s="3216"/>
      <c r="Q29" s="1793" t="str">
        <f t="shared" ref="Q29" si="9">B29</f>
        <v>基础设施水平</v>
      </c>
      <c r="R29" s="769" t="s">
        <v>17</v>
      </c>
      <c r="S29" s="770">
        <f>F29</f>
        <v>100</v>
      </c>
      <c r="T29" s="769" t="s">
        <v>17</v>
      </c>
      <c r="U29" s="770">
        <f>H29</f>
        <v>100</v>
      </c>
      <c r="V29" s="769" t="s">
        <v>17</v>
      </c>
      <c r="W29" s="770">
        <f>J29</f>
        <v>100</v>
      </c>
      <c r="X29" s="771"/>
      <c r="Y29" s="3216"/>
      <c r="Z29" s="55" t="str">
        <f>Q29</f>
        <v>基础设施水平</v>
      </c>
      <c r="AA29" s="1809">
        <f>D29/F29</f>
        <v>1</v>
      </c>
      <c r="AB29" s="1809">
        <f>D29/H29</f>
        <v>1</v>
      </c>
      <c r="AC29" s="1809">
        <f>D29/J29</f>
        <v>1</v>
      </c>
    </row>
    <row r="30" spans="1:29" s="117" customFormat="1" ht="15">
      <c r="A30" s="648"/>
      <c r="B30" s="455"/>
      <c r="C30" s="2696" t="s">
        <v>3077</v>
      </c>
      <c r="D30" s="447"/>
      <c r="E30" s="2697" t="s">
        <v>3077</v>
      </c>
      <c r="F30" s="447"/>
      <c r="G30" s="2697" t="s">
        <v>3077</v>
      </c>
      <c r="H30" s="447"/>
      <c r="I30" s="2697" t="s">
        <v>3077</v>
      </c>
      <c r="J30" s="447"/>
      <c r="K30" s="671"/>
      <c r="L30" s="1131"/>
      <c r="M30" s="1132"/>
      <c r="N30" s="1132"/>
      <c r="O30" s="1133"/>
      <c r="P30" s="3216"/>
      <c r="Q30" s="1793"/>
      <c r="R30" s="769"/>
      <c r="S30" s="770"/>
      <c r="T30" s="769"/>
      <c r="U30" s="770"/>
      <c r="V30" s="769"/>
      <c r="W30" s="770"/>
      <c r="X30" s="771"/>
      <c r="Y30" s="3216"/>
      <c r="Z30" s="55"/>
      <c r="AA30" s="1809">
        <v>1</v>
      </c>
      <c r="AB30" s="1809">
        <v>1</v>
      </c>
      <c r="AC30" s="1809">
        <v>1</v>
      </c>
    </row>
    <row r="31" spans="1:29" ht="15">
      <c r="A31" s="427"/>
      <c r="B31" s="455" t="s">
        <v>2606</v>
      </c>
      <c r="C31" s="615" t="s">
        <v>3062</v>
      </c>
      <c r="D31" s="434">
        <v>100</v>
      </c>
      <c r="E31" s="633" t="s">
        <v>3062</v>
      </c>
      <c r="F31" s="434">
        <f>SUMIF(104:104,E31,105:105)-SUMIF(104:104,C31,105:105)+100</f>
        <v>100</v>
      </c>
      <c r="G31" s="633" t="s">
        <v>3062</v>
      </c>
      <c r="H31" s="434">
        <f>SUMIF(104:104,G31,105:105)-SUMIF(104:104,C31,105:105)+100</f>
        <v>100</v>
      </c>
      <c r="I31" s="633" t="s">
        <v>3062</v>
      </c>
      <c r="J31" s="434">
        <f>SUMIF(104:104,I31,105:105)-SUMIF(104:104,C31,105:105)+100</f>
        <v>100</v>
      </c>
      <c r="K31" s="672">
        <v>1</v>
      </c>
      <c r="L31" s="1139"/>
      <c r="M31" s="1130"/>
      <c r="N31" s="1130"/>
      <c r="O31" s="1138"/>
      <c r="P31" s="321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6"/>
      <c r="Z31" s="1812" t="str">
        <f t="shared" ref="Z31:Z45" si="13">Q31</f>
        <v>临街状况</v>
      </c>
      <c r="AA31" s="1809">
        <f t="shared" si="3"/>
        <v>1</v>
      </c>
      <c r="AB31" s="1809">
        <f t="shared" si="4"/>
        <v>1</v>
      </c>
      <c r="AC31" s="1809">
        <f t="shared" si="5"/>
        <v>1</v>
      </c>
    </row>
    <row r="32" spans="1:29" ht="27">
      <c r="A32" s="427"/>
      <c r="B32" s="1383" t="s">
        <v>2641</v>
      </c>
      <c r="C32" s="2974" t="s">
        <v>3243</v>
      </c>
      <c r="D32" s="449">
        <v>100</v>
      </c>
      <c r="E32" s="2981" t="s">
        <v>3252</v>
      </c>
      <c r="F32" s="449">
        <f>SUMIF(106:106,E33,107:107)-SUMIF(106:106,C33,107:107)+100</f>
        <v>100</v>
      </c>
      <c r="G32" s="2981" t="s">
        <v>3245</v>
      </c>
      <c r="H32" s="449">
        <f>SUMIF(106:106,G33,107:107)-SUMIF(106:106,C33,107:107)+100</f>
        <v>104</v>
      </c>
      <c r="I32" s="453" t="s">
        <v>3244</v>
      </c>
      <c r="J32" s="449">
        <f>SUMIF(106:106,I33,107:107)-SUMIF(106:106,C33,107:107)+100</f>
        <v>104</v>
      </c>
      <c r="K32" s="672">
        <v>1</v>
      </c>
      <c r="L32" s="1139"/>
      <c r="M32" s="1130"/>
      <c r="N32" s="1130"/>
      <c r="O32" s="1138"/>
      <c r="P32" s="3216"/>
      <c r="Q32" s="1808" t="str">
        <f t="shared" si="8"/>
        <v>毗邻道路的类型与等级</v>
      </c>
      <c r="R32" s="773" t="s">
        <v>17</v>
      </c>
      <c r="S32" s="774">
        <f t="shared" si="10"/>
        <v>100</v>
      </c>
      <c r="T32" s="773" t="s">
        <v>17</v>
      </c>
      <c r="U32" s="774">
        <f t="shared" si="11"/>
        <v>104</v>
      </c>
      <c r="V32" s="773" t="s">
        <v>17</v>
      </c>
      <c r="W32" s="774">
        <f t="shared" si="12"/>
        <v>104</v>
      </c>
      <c r="X32" s="1811"/>
      <c r="Y32" s="3216"/>
      <c r="Z32" s="1812" t="str">
        <f t="shared" si="13"/>
        <v>毗邻道路的类型与等级</v>
      </c>
      <c r="AA32" s="1809">
        <f t="shared" si="3"/>
        <v>1</v>
      </c>
      <c r="AB32" s="1809">
        <f t="shared" si="4"/>
        <v>0.96153846153846156</v>
      </c>
      <c r="AC32" s="1809">
        <f t="shared" si="5"/>
        <v>0.96153846153846156</v>
      </c>
    </row>
    <row r="33" spans="1:29" ht="15">
      <c r="A33" s="427"/>
      <c r="B33" s="455"/>
      <c r="C33" s="446" t="s">
        <v>3229</v>
      </c>
      <c r="D33" s="447"/>
      <c r="E33" s="2607" t="s">
        <v>3229</v>
      </c>
      <c r="F33" s="447"/>
      <c r="G33" s="2607" t="s">
        <v>3246</v>
      </c>
      <c r="H33" s="447"/>
      <c r="I33" s="446" t="s">
        <v>3246</v>
      </c>
      <c r="J33" s="447"/>
      <c r="K33" s="612"/>
      <c r="L33" s="1139"/>
      <c r="M33" s="1130"/>
      <c r="N33" s="1130"/>
      <c r="O33" s="1138"/>
      <c r="P33" s="3216"/>
      <c r="Q33" s="1808"/>
      <c r="R33" s="773"/>
      <c r="S33" s="774"/>
      <c r="T33" s="773"/>
      <c r="U33" s="774"/>
      <c r="V33" s="773"/>
      <c r="W33" s="774"/>
      <c r="X33" s="1811"/>
      <c r="Y33" s="3216"/>
      <c r="Z33" s="1812"/>
      <c r="AA33" s="1809">
        <v>1</v>
      </c>
      <c r="AB33" s="1809">
        <v>1</v>
      </c>
      <c r="AC33" s="1809">
        <v>1</v>
      </c>
    </row>
    <row r="34" spans="1:29" ht="15">
      <c r="A34" s="427"/>
      <c r="B34" s="421" t="s">
        <v>2698</v>
      </c>
      <c r="C34" s="615" t="s">
        <v>3231</v>
      </c>
      <c r="D34" s="434">
        <v>100</v>
      </c>
      <c r="E34" s="633" t="s">
        <v>70</v>
      </c>
      <c r="F34" s="434">
        <f>SUMIF(108:108,E34,109:109)-SUMIF(108:108,C34,109:109)+100</f>
        <v>100</v>
      </c>
      <c r="G34" s="633" t="s">
        <v>70</v>
      </c>
      <c r="H34" s="434">
        <f>SUMIF(108:108,G34,109:109)-SUMIF(108:108,C34,109:109)+100</f>
        <v>100</v>
      </c>
      <c r="I34" s="615" t="s">
        <v>70</v>
      </c>
      <c r="J34" s="434">
        <f>SUMIF(108:108,I34,109:109)-SUMIF(108:108,C34,109:109)+100</f>
        <v>100</v>
      </c>
      <c r="K34" s="611">
        <v>1</v>
      </c>
      <c r="L34" s="1139"/>
      <c r="M34" s="1130"/>
      <c r="N34" s="1130"/>
      <c r="O34" s="1138"/>
      <c r="P34" s="3216"/>
      <c r="Q34" s="1808" t="str">
        <f t="shared" si="8"/>
        <v>土地级别</v>
      </c>
      <c r="R34" s="773" t="s">
        <v>17</v>
      </c>
      <c r="S34" s="774">
        <f t="shared" si="10"/>
        <v>100</v>
      </c>
      <c r="T34" s="773" t="s">
        <v>17</v>
      </c>
      <c r="U34" s="774">
        <f t="shared" si="11"/>
        <v>100</v>
      </c>
      <c r="V34" s="773" t="s">
        <v>17</v>
      </c>
      <c r="W34" s="774">
        <f t="shared" si="12"/>
        <v>100</v>
      </c>
      <c r="X34" s="1811"/>
      <c r="Y34" s="3216"/>
      <c r="Z34" s="1812" t="str">
        <f t="shared" si="13"/>
        <v>土地级别</v>
      </c>
      <c r="AA34" s="1809">
        <f t="shared" si="3"/>
        <v>1</v>
      </c>
      <c r="AB34" s="1809">
        <f t="shared" si="4"/>
        <v>1</v>
      </c>
      <c r="AC34" s="1809">
        <f t="shared" si="5"/>
        <v>1</v>
      </c>
    </row>
    <row r="35" spans="1:29" ht="15">
      <c r="A35" s="403"/>
      <c r="B35" s="1385"/>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6"/>
      <c r="Q35" s="1808">
        <f t="shared" si="8"/>
        <v>0</v>
      </c>
      <c r="R35" s="773" t="s">
        <v>17</v>
      </c>
      <c r="S35" s="774">
        <f t="shared" si="10"/>
        <v>100</v>
      </c>
      <c r="T35" s="773" t="s">
        <v>17</v>
      </c>
      <c r="U35" s="774">
        <f t="shared" si="11"/>
        <v>100</v>
      </c>
      <c r="V35" s="773" t="s">
        <v>17</v>
      </c>
      <c r="W35" s="774">
        <f t="shared" si="12"/>
        <v>100</v>
      </c>
      <c r="X35" s="1811"/>
      <c r="Y35" s="3216"/>
      <c r="Z35" s="1812">
        <f t="shared" si="13"/>
        <v>0</v>
      </c>
      <c r="AA35" s="1809">
        <f t="shared" si="3"/>
        <v>1</v>
      </c>
      <c r="AB35" s="1809">
        <f t="shared" si="4"/>
        <v>1</v>
      </c>
      <c r="AC35" s="1809">
        <f t="shared" si="5"/>
        <v>1</v>
      </c>
    </row>
    <row r="36" spans="1:29" ht="15">
      <c r="A36" s="674"/>
      <c r="B36" s="1386"/>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17" t="s">
        <v>2516</v>
      </c>
      <c r="Q36" s="1808">
        <f t="shared" si="8"/>
        <v>0</v>
      </c>
      <c r="R36" s="773" t="s">
        <v>17</v>
      </c>
      <c r="S36" s="774">
        <f t="shared" si="10"/>
        <v>100</v>
      </c>
      <c r="T36" s="773" t="s">
        <v>17</v>
      </c>
      <c r="U36" s="774">
        <f t="shared" si="11"/>
        <v>100</v>
      </c>
      <c r="V36" s="773" t="s">
        <v>17</v>
      </c>
      <c r="W36" s="774">
        <f t="shared" si="12"/>
        <v>100</v>
      </c>
      <c r="X36" s="1811"/>
      <c r="Y36" s="3218" t="s">
        <v>2516</v>
      </c>
      <c r="Z36" s="1812">
        <f t="shared" si="13"/>
        <v>0</v>
      </c>
      <c r="AA36" s="1809">
        <f t="shared" si="3"/>
        <v>1</v>
      </c>
      <c r="AB36" s="1809">
        <f t="shared" si="4"/>
        <v>1</v>
      </c>
      <c r="AC36" s="1809">
        <f t="shared" si="5"/>
        <v>1</v>
      </c>
    </row>
    <row r="37" spans="1:29" s="470" customFormat="1" ht="15.75" thickBot="1">
      <c r="A37" s="675"/>
      <c r="B37" s="1387"/>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8"/>
      <c r="Q37" s="1808">
        <f t="shared" si="8"/>
        <v>0</v>
      </c>
      <c r="R37" s="776" t="s">
        <v>17</v>
      </c>
      <c r="S37" s="777">
        <f t="shared" si="10"/>
        <v>100</v>
      </c>
      <c r="T37" s="776" t="s">
        <v>17</v>
      </c>
      <c r="U37" s="777">
        <f t="shared" si="11"/>
        <v>100</v>
      </c>
      <c r="V37" s="776" t="s">
        <v>17</v>
      </c>
      <c r="W37" s="777">
        <f t="shared" si="12"/>
        <v>100</v>
      </c>
      <c r="X37" s="778"/>
      <c r="Y37" s="3218"/>
      <c r="Z37" s="779">
        <f t="shared" si="13"/>
        <v>0</v>
      </c>
      <c r="AA37" s="1809">
        <f t="shared" si="3"/>
        <v>1</v>
      </c>
      <c r="AB37" s="1809">
        <f t="shared" si="4"/>
        <v>1</v>
      </c>
      <c r="AC37" s="1809">
        <f t="shared" si="5"/>
        <v>1</v>
      </c>
    </row>
    <row r="38" spans="1:29" ht="15">
      <c r="A38" s="471" t="s">
        <v>2514</v>
      </c>
      <c r="B38" s="455" t="s">
        <v>2699</v>
      </c>
      <c r="C38" s="678">
        <f>'数据-基础表'!A3</f>
        <v>52559.71</v>
      </c>
      <c r="D38" s="466">
        <v>100</v>
      </c>
      <c r="E38" s="678">
        <f>土地案例!F5</f>
        <v>38121.199999999997</v>
      </c>
      <c r="F38" s="466">
        <f>LOOKUP(E38,117:117,118:118)-LOOKUP(C38,117:117,118:118)+100</f>
        <v>100</v>
      </c>
      <c r="G38" s="678">
        <f>土地案例!F24</f>
        <v>85956.89</v>
      </c>
      <c r="H38" s="466">
        <f>LOOKUP(G38,117:117,118:118)-LOOKUP(C38,117:117,118:118)+100</f>
        <v>101</v>
      </c>
      <c r="I38" s="529">
        <f>土地案例!F25</f>
        <v>66379.53</v>
      </c>
      <c r="J38" s="466">
        <f>LOOKUP(I38,117:117,118:118)-LOOKUP(C38,117:117,118:118)+100</f>
        <v>101</v>
      </c>
      <c r="K38" s="612"/>
      <c r="L38" s="1139"/>
      <c r="M38" s="1130"/>
      <c r="N38" s="1130"/>
      <c r="O38" s="1138"/>
      <c r="P38" s="3218"/>
      <c r="Q38" s="1808" t="str">
        <f>B38</f>
        <v>宗地面积</v>
      </c>
      <c r="R38" s="773" t="s">
        <v>17</v>
      </c>
      <c r="S38" s="774">
        <f t="shared" si="10"/>
        <v>100</v>
      </c>
      <c r="T38" s="773" t="s">
        <v>17</v>
      </c>
      <c r="U38" s="774">
        <f t="shared" si="11"/>
        <v>101</v>
      </c>
      <c r="V38" s="773" t="s">
        <v>17</v>
      </c>
      <c r="W38" s="774">
        <f t="shared" si="12"/>
        <v>101</v>
      </c>
      <c r="X38" s="1811"/>
      <c r="Y38" s="3218"/>
      <c r="Z38" s="1812" t="str">
        <f t="shared" si="13"/>
        <v>宗地面积</v>
      </c>
      <c r="AA38" s="1809">
        <f t="shared" si="3"/>
        <v>1</v>
      </c>
      <c r="AB38" s="1809">
        <f t="shared" si="4"/>
        <v>0.99009900990099009</v>
      </c>
      <c r="AC38" s="1809">
        <f t="shared" si="5"/>
        <v>0.99009900990099009</v>
      </c>
    </row>
    <row r="39" spans="1:29" ht="15">
      <c r="A39" s="471"/>
      <c r="B39" s="421" t="s">
        <v>2700</v>
      </c>
      <c r="C39" s="2609" t="s">
        <v>3232</v>
      </c>
      <c r="D39" s="434">
        <v>100</v>
      </c>
      <c r="E39" s="2609" t="s">
        <v>3232</v>
      </c>
      <c r="F39" s="434">
        <f>SUMIF(119:119,E39,120:120)-SUMIF(119:119,C39,120:120)+100</f>
        <v>100</v>
      </c>
      <c r="G39" s="2609" t="s">
        <v>3232</v>
      </c>
      <c r="H39" s="434">
        <f>SUMIF(119:119,G39,120:120)-SUMIF(119:119,C39,120:120)+100</f>
        <v>100</v>
      </c>
      <c r="I39" s="2609" t="s">
        <v>3232</v>
      </c>
      <c r="J39" s="434">
        <f>SUMIF(119:119,I39,120:120)-SUMIF(119:119,C39,120:120)+100</f>
        <v>100</v>
      </c>
      <c r="K39" s="611">
        <v>1</v>
      </c>
      <c r="L39" s="1139"/>
      <c r="M39" s="1130"/>
      <c r="N39" s="1130"/>
      <c r="O39" s="1138"/>
      <c r="P39" s="3218"/>
      <c r="Q39" s="1808" t="str">
        <f t="shared" ref="Q39:Q45" si="14">B39</f>
        <v>宗地形状</v>
      </c>
      <c r="R39" s="773" t="s">
        <v>17</v>
      </c>
      <c r="S39" s="774">
        <f t="shared" si="10"/>
        <v>100</v>
      </c>
      <c r="T39" s="773" t="s">
        <v>17</v>
      </c>
      <c r="U39" s="774">
        <f t="shared" si="11"/>
        <v>100</v>
      </c>
      <c r="V39" s="773" t="s">
        <v>17</v>
      </c>
      <c r="W39" s="774">
        <f t="shared" si="12"/>
        <v>100</v>
      </c>
      <c r="X39" s="1811"/>
      <c r="Y39" s="3218"/>
      <c r="Z39" s="1812" t="str">
        <f t="shared" si="13"/>
        <v>宗地形状</v>
      </c>
      <c r="AA39" s="1809">
        <f t="shared" si="3"/>
        <v>1</v>
      </c>
      <c r="AB39" s="1809">
        <f t="shared" si="4"/>
        <v>1</v>
      </c>
      <c r="AC39" s="1809">
        <f t="shared" si="5"/>
        <v>1</v>
      </c>
    </row>
    <row r="40" spans="1:29" ht="15">
      <c r="A40" s="471"/>
      <c r="B40" s="421" t="s">
        <v>2701</v>
      </c>
      <c r="C40" s="2609" t="s">
        <v>3081</v>
      </c>
      <c r="D40" s="434">
        <v>100</v>
      </c>
      <c r="E40" s="2609" t="s">
        <v>3081</v>
      </c>
      <c r="F40" s="434">
        <f>SUMIF(121:121,E40,122:122)-SUMIF(121:121,C40,122:122)+100</f>
        <v>100</v>
      </c>
      <c r="G40" s="2609" t="s">
        <v>3081</v>
      </c>
      <c r="H40" s="434">
        <f>SUMIF(121:121,G40,122:122)-SUMIF(121:121,C40,122:122)+100</f>
        <v>100</v>
      </c>
      <c r="I40" s="2609" t="s">
        <v>3081</v>
      </c>
      <c r="J40" s="434">
        <f>SUMIF(121:121,I40,122:122)-SUMIF(121:121,C40,122:122)+100</f>
        <v>100</v>
      </c>
      <c r="K40" s="611">
        <v>1</v>
      </c>
      <c r="L40" s="1139"/>
      <c r="M40" s="1130"/>
      <c r="N40" s="1130"/>
      <c r="O40" s="1138"/>
      <c r="P40" s="3218"/>
      <c r="Q40" s="1808" t="str">
        <f t="shared" si="14"/>
        <v>临街宽度及深度</v>
      </c>
      <c r="R40" s="773" t="s">
        <v>17</v>
      </c>
      <c r="S40" s="774">
        <f t="shared" si="10"/>
        <v>100</v>
      </c>
      <c r="T40" s="773" t="s">
        <v>17</v>
      </c>
      <c r="U40" s="774">
        <f t="shared" si="11"/>
        <v>100</v>
      </c>
      <c r="V40" s="773" t="s">
        <v>17</v>
      </c>
      <c r="W40" s="774">
        <f t="shared" si="12"/>
        <v>100</v>
      </c>
      <c r="X40" s="1811"/>
      <c r="Y40" s="3218"/>
      <c r="Z40" s="1812" t="str">
        <f t="shared" si="13"/>
        <v>临街宽度及深度</v>
      </c>
      <c r="AA40" s="1809">
        <f t="shared" si="3"/>
        <v>1</v>
      </c>
      <c r="AB40" s="1809">
        <f t="shared" si="4"/>
        <v>1</v>
      </c>
      <c r="AC40" s="1809">
        <f t="shared" si="5"/>
        <v>1</v>
      </c>
    </row>
    <row r="41" spans="1:29" s="117" customFormat="1" ht="15">
      <c r="A41" s="472"/>
      <c r="B41" s="421" t="s">
        <v>2702</v>
      </c>
      <c r="C41" s="2698" t="s">
        <v>3077</v>
      </c>
      <c r="D41" s="135">
        <v>100</v>
      </c>
      <c r="E41" s="2698" t="s">
        <v>3077</v>
      </c>
      <c r="F41" s="434">
        <f>SUMIF(123:123,E41,124:124)-SUMIF(123:123,C41,124:124)+100</f>
        <v>100</v>
      </c>
      <c r="G41" s="2698" t="s">
        <v>3077</v>
      </c>
      <c r="H41" s="434">
        <f>SUMIF(123:123,G41,124:124)-SUMIF(123:123,C41,124:124)+100</f>
        <v>100</v>
      </c>
      <c r="I41" s="2698" t="s">
        <v>3077</v>
      </c>
      <c r="J41" s="434">
        <f>SUMIF(123:123,I41,124:124)-SUMIF(123:123,C41,124:124)+100</f>
        <v>100</v>
      </c>
      <c r="K41" s="611">
        <v>1</v>
      </c>
      <c r="L41" s="1131"/>
      <c r="M41" s="1132"/>
      <c r="N41" s="1132"/>
      <c r="O41" s="1133"/>
      <c r="P41" s="3218"/>
      <c r="Q41" s="1808"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1"/>
      <c r="B42" s="421" t="s">
        <v>2703</v>
      </c>
      <c r="C42" s="2609" t="s">
        <v>3081</v>
      </c>
      <c r="D42" s="434">
        <v>100</v>
      </c>
      <c r="E42" s="2609" t="s">
        <v>3081</v>
      </c>
      <c r="F42" s="434">
        <f>SUMIF(125:125,E42,126:126)-SUMIF(125:125,C42,126:126)+100</f>
        <v>100</v>
      </c>
      <c r="G42" s="2609" t="s">
        <v>3081</v>
      </c>
      <c r="H42" s="434">
        <f>SUMIF(125:125,G42,126:126)-SUMIF(125:125,C42,126:126)+100</f>
        <v>100</v>
      </c>
      <c r="I42" s="2609" t="s">
        <v>3081</v>
      </c>
      <c r="J42" s="434">
        <f>SUMIF(125:125,I42,126:126)-SUMIF(125:125,C42,126:126)+100</f>
        <v>100</v>
      </c>
      <c r="K42" s="611">
        <v>1</v>
      </c>
      <c r="L42" s="1139"/>
      <c r="M42" s="1130"/>
      <c r="N42" s="1130"/>
      <c r="O42" s="1138"/>
      <c r="P42" s="3218" t="s">
        <v>2516</v>
      </c>
      <c r="Q42" s="1808" t="str">
        <f t="shared" si="14"/>
        <v>工程地质条件</v>
      </c>
      <c r="R42" s="773" t="s">
        <v>17</v>
      </c>
      <c r="S42" s="774">
        <f t="shared" si="10"/>
        <v>100</v>
      </c>
      <c r="T42" s="773" t="s">
        <v>17</v>
      </c>
      <c r="U42" s="774">
        <f t="shared" si="11"/>
        <v>100</v>
      </c>
      <c r="V42" s="773" t="s">
        <v>17</v>
      </c>
      <c r="W42" s="774">
        <f t="shared" si="12"/>
        <v>100</v>
      </c>
      <c r="X42" s="1811"/>
      <c r="Y42" s="3218" t="s">
        <v>2516</v>
      </c>
      <c r="Z42" s="1812" t="str">
        <f t="shared" si="13"/>
        <v>工程地质条件</v>
      </c>
      <c r="AA42" s="1809">
        <f t="shared" si="3"/>
        <v>1</v>
      </c>
      <c r="AB42" s="1809">
        <f t="shared" si="4"/>
        <v>1</v>
      </c>
      <c r="AC42" s="1809">
        <f t="shared" si="5"/>
        <v>1</v>
      </c>
    </row>
    <row r="43" spans="1:29" ht="15">
      <c r="A43" s="471"/>
      <c r="B43" s="1386"/>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8"/>
      <c r="Q43" s="1808">
        <f t="shared" si="14"/>
        <v>0</v>
      </c>
      <c r="R43" s="773" t="s">
        <v>17</v>
      </c>
      <c r="S43" s="774">
        <f t="shared" si="10"/>
        <v>100</v>
      </c>
      <c r="T43" s="773" t="s">
        <v>17</v>
      </c>
      <c r="U43" s="774">
        <f t="shared" si="11"/>
        <v>100</v>
      </c>
      <c r="V43" s="773" t="s">
        <v>17</v>
      </c>
      <c r="W43" s="774">
        <f t="shared" si="12"/>
        <v>100</v>
      </c>
      <c r="X43" s="1811"/>
      <c r="Y43" s="3218"/>
      <c r="Z43" s="1812">
        <f t="shared" si="13"/>
        <v>0</v>
      </c>
      <c r="AA43" s="1809">
        <f t="shared" si="3"/>
        <v>1</v>
      </c>
      <c r="AB43" s="1809">
        <f t="shared" si="4"/>
        <v>1</v>
      </c>
      <c r="AC43" s="1809">
        <f t="shared" si="5"/>
        <v>1</v>
      </c>
    </row>
    <row r="44" spans="1:29" ht="15">
      <c r="A44" s="471"/>
      <c r="B44" s="1386"/>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8"/>
      <c r="Q44" s="1808">
        <f t="shared" si="14"/>
        <v>0</v>
      </c>
      <c r="R44" s="773" t="s">
        <v>17</v>
      </c>
      <c r="S44" s="774">
        <f t="shared" si="10"/>
        <v>100</v>
      </c>
      <c r="T44" s="773" t="s">
        <v>17</v>
      </c>
      <c r="U44" s="774">
        <f t="shared" si="11"/>
        <v>100</v>
      </c>
      <c r="V44" s="773" t="s">
        <v>17</v>
      </c>
      <c r="W44" s="774">
        <f t="shared" si="12"/>
        <v>100</v>
      </c>
      <c r="X44" s="1811"/>
      <c r="Y44" s="3218"/>
      <c r="Z44" s="1812">
        <f t="shared" si="13"/>
        <v>0</v>
      </c>
      <c r="AA44" s="1809">
        <f t="shared" si="3"/>
        <v>1</v>
      </c>
      <c r="AB44" s="1809">
        <f t="shared" si="4"/>
        <v>1</v>
      </c>
      <c r="AC44" s="1809">
        <f t="shared" si="5"/>
        <v>1</v>
      </c>
    </row>
    <row r="45" spans="1:29" s="470" customFormat="1" ht="15.75" thickBot="1">
      <c r="A45" s="467"/>
      <c r="B45" s="1386"/>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8"/>
      <c r="Q45" s="1808">
        <f t="shared" si="14"/>
        <v>0</v>
      </c>
      <c r="R45" s="776" t="s">
        <v>17</v>
      </c>
      <c r="S45" s="777">
        <f t="shared" si="10"/>
        <v>100</v>
      </c>
      <c r="T45" s="776" t="s">
        <v>17</v>
      </c>
      <c r="U45" s="777">
        <f t="shared" si="11"/>
        <v>100</v>
      </c>
      <c r="V45" s="776" t="s">
        <v>17</v>
      </c>
      <c r="W45" s="777">
        <f t="shared" si="12"/>
        <v>100</v>
      </c>
      <c r="X45" s="778"/>
      <c r="Y45" s="3218"/>
      <c r="Z45" s="779">
        <f t="shared" si="13"/>
        <v>0</v>
      </c>
      <c r="AA45" s="1809">
        <f t="shared" si="3"/>
        <v>1</v>
      </c>
      <c r="AB45" s="1809">
        <f t="shared" si="4"/>
        <v>1</v>
      </c>
      <c r="AC45" s="1809">
        <f t="shared" si="5"/>
        <v>1</v>
      </c>
    </row>
    <row r="46" spans="1:29" ht="15">
      <c r="A46" s="478" t="s">
        <v>2670</v>
      </c>
      <c r="B46" s="2700" t="s">
        <v>2704</v>
      </c>
      <c r="C46" s="681" t="s">
        <v>1</v>
      </c>
      <c r="D46" s="480"/>
      <c r="E46" s="481">
        <f>ROUND(土地案例!I5,0)</f>
        <v>34836</v>
      </c>
      <c r="F46" s="482"/>
      <c r="G46" s="483">
        <f>ROUND(土地案例!I24,0)</f>
        <v>38345</v>
      </c>
      <c r="H46" s="484"/>
      <c r="I46" s="481">
        <f>ROUND(土地案例!I25,0)</f>
        <v>39306</v>
      </c>
      <c r="J46" s="484"/>
      <c r="K46" s="782"/>
      <c r="L46" s="1142"/>
      <c r="M46" s="1143"/>
      <c r="N46" s="1130"/>
      <c r="O46" s="1143"/>
      <c r="P46" s="3213" t="str">
        <f>A46</f>
        <v>成交单价</v>
      </c>
      <c r="Q46" s="3213"/>
      <c r="R46" s="3219">
        <f>E46</f>
        <v>34836</v>
      </c>
      <c r="S46" s="3219"/>
      <c r="T46" s="3219">
        <f>G46</f>
        <v>38345</v>
      </c>
      <c r="U46" s="3219"/>
      <c r="V46" s="3219">
        <f>I46</f>
        <v>39306</v>
      </c>
      <c r="W46" s="3219"/>
      <c r="X46" s="758"/>
      <c r="Y46" s="780"/>
      <c r="Z46" s="758"/>
      <c r="AA46" s="758"/>
      <c r="AB46" s="758"/>
      <c r="AC46" s="758"/>
    </row>
    <row r="47" spans="1:29" ht="15.75" thickBot="1">
      <c r="A47" s="485" t="s">
        <v>2619</v>
      </c>
      <c r="B47" s="682"/>
      <c r="C47" s="489">
        <f>R48</f>
        <v>38440</v>
      </c>
      <c r="D47" s="488"/>
      <c r="E47" s="489">
        <f>R47</f>
        <v>36654</v>
      </c>
      <c r="F47" s="490"/>
      <c r="G47" s="487">
        <f>T47</f>
        <v>38847</v>
      </c>
      <c r="H47" s="488"/>
      <c r="I47" s="489">
        <f>V47</f>
        <v>39820</v>
      </c>
      <c r="J47" s="488"/>
      <c r="K47" s="783"/>
      <c r="L47" s="1142"/>
      <c r="M47" s="1143"/>
      <c r="N47" s="1143"/>
      <c r="O47" s="1143"/>
      <c r="P47" s="3213" t="str">
        <f>A47</f>
        <v>比较价值（元/平方米）</v>
      </c>
      <c r="Q47" s="3213"/>
      <c r="R47" s="3206">
        <f>ROUND(PRODUCT(R46,AA7:AA45),0)</f>
        <v>36654</v>
      </c>
      <c r="S47" s="3206"/>
      <c r="T47" s="3206">
        <f>ROUND(PRODUCT(T46,AB7:AB45),0)</f>
        <v>38847</v>
      </c>
      <c r="U47" s="3206"/>
      <c r="V47" s="3206">
        <f>ROUND(PRODUCT(V46,AC7:AC45),0)</f>
        <v>39820</v>
      </c>
      <c r="W47" s="3206"/>
      <c r="X47" s="758"/>
      <c r="Y47" s="758"/>
      <c r="Z47" s="758"/>
      <c r="AA47" s="758"/>
      <c r="AB47" s="758"/>
      <c r="AC47" s="758"/>
    </row>
    <row r="48" spans="1:29" ht="15.75" thickBot="1">
      <c r="A48" s="491" t="s">
        <v>3063</v>
      </c>
      <c r="B48" s="492"/>
      <c r="C48" s="493">
        <f>R48</f>
        <v>38440</v>
      </c>
      <c r="D48" s="493"/>
      <c r="E48" s="493"/>
      <c r="F48" s="493"/>
      <c r="G48" s="493"/>
      <c r="H48" s="493"/>
      <c r="I48" s="493"/>
      <c r="J48" s="493"/>
      <c r="K48" s="784"/>
      <c r="L48" s="1142"/>
      <c r="M48" s="1143"/>
      <c r="N48" s="1143"/>
      <c r="O48" s="1143"/>
      <c r="P48" s="3207" t="str">
        <f>A48</f>
        <v>估价对象住宅用房的比较价值（楼面单价，元/平方米）</v>
      </c>
      <c r="Q48" s="3208"/>
      <c r="R48" s="3209">
        <f>ROUND(AVERAGE(R47:V47),0)</f>
        <v>38440</v>
      </c>
      <c r="S48" s="3209"/>
      <c r="T48" s="3209"/>
      <c r="U48" s="3209"/>
      <c r="V48" s="3209"/>
      <c r="W48" s="320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2621</v>
      </c>
      <c r="D51" s="497"/>
      <c r="E51" s="498">
        <f>IF(E46&lt;E47,E47/E46-1,E46/E47-1)</f>
        <v>5.2187392352738504E-2</v>
      </c>
      <c r="F51" s="499" t="str">
        <f>IF(OR(E51&gt;=0.3,E51&lt;=-0.3),"超过30%","")</f>
        <v/>
      </c>
      <c r="G51" s="498">
        <f>IF(G46&lt;G47,G47/G46-1,G46/G47-1)</f>
        <v>1.3091667753292402E-2</v>
      </c>
      <c r="H51" s="499" t="str">
        <f>IF(OR(G51&gt;=0.3,G51&lt;=-0.3),"超过30%","")</f>
        <v/>
      </c>
      <c r="I51" s="498">
        <f>IF(I46&lt;I47,I47/I46-1,I46/I47-1)</f>
        <v>1.3076883936294692E-2</v>
      </c>
      <c r="J51" s="499" t="str">
        <f>IF(OR(I51&gt;=0.3,I51&lt;=-0.3),"超过30%","")</f>
        <v/>
      </c>
      <c r="K51" s="1104"/>
      <c r="L51" s="1105"/>
      <c r="M51" s="1143"/>
      <c r="N51" s="1143"/>
      <c r="O51" s="1143"/>
    </row>
    <row r="52" spans="1:15" ht="13.5" customHeight="1">
      <c r="A52" s="1143"/>
      <c r="B52" s="1143"/>
      <c r="C52" s="496" t="s">
        <v>2622</v>
      </c>
      <c r="D52" s="500"/>
      <c r="E52" s="498">
        <f>IF(E47&lt;G47,G47/E47-1,E47/G47-1)</f>
        <v>5.9829759371419211E-2</v>
      </c>
      <c r="F52" s="499" t="str">
        <f>IF(OR(E52&gt;=0.2,E52&lt;=-0.2),"超过20%","")</f>
        <v/>
      </c>
      <c r="G52" s="498">
        <f>IF(G47&lt;I47,I47/G47-1,G47/I47-1)</f>
        <v>2.5046979174710993E-2</v>
      </c>
      <c r="H52" s="499" t="str">
        <f>IF(OR(G52&gt;=0.2,G52&lt;=-0.2),"超过20%","")</f>
        <v/>
      </c>
      <c r="I52" s="498">
        <f>IF(I47&lt;E47,E47/I47-1,I47/E47-1)</f>
        <v>8.6375293283134091E-2</v>
      </c>
      <c r="J52" s="499" t="str">
        <f>IF(OR(I52&gt;=0.2,I52&lt;=-0.2),"超过20%","")</f>
        <v/>
      </c>
      <c r="K52" s="1104"/>
      <c r="L52" s="1105"/>
      <c r="M52" s="1143"/>
      <c r="N52" s="1143"/>
      <c r="O52" s="1143"/>
    </row>
    <row r="53" spans="1:15" s="501" customFormat="1" ht="13.5" customHeight="1">
      <c r="A53" s="1144"/>
      <c r="B53" s="1144"/>
      <c r="C53" s="496" t="s">
        <v>2623</v>
      </c>
      <c r="D53" s="500"/>
      <c r="E53" s="498">
        <f>IF(E46&lt;G46,G46/E46-1,E46/G46-1)</f>
        <v>0.10072913078424617</v>
      </c>
      <c r="F53" s="499" t="str">
        <f>IF(OR(E53&gt;=0.3,E53&lt;=-0.3),"超过30%","")</f>
        <v/>
      </c>
      <c r="G53" s="498">
        <f>IF(G46&lt;I46,I46/G46-1,G46/I46-1)</f>
        <v>2.5061937671143619E-2</v>
      </c>
      <c r="H53" s="499" t="str">
        <f>IF(OR(G53&gt;=0.3,G53&lt;=-0.3),"超过30%","")</f>
        <v/>
      </c>
      <c r="I53" s="498">
        <f>IF(I46&lt;E46,E46/I46-1,I46/E46-1)</f>
        <v>0.12831553565277298</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2705</v>
      </c>
      <c r="B55" s="684" t="s">
        <v>2706</v>
      </c>
      <c r="C55" s="2701" t="s">
        <v>2707</v>
      </c>
      <c r="D55" s="2702" t="s">
        <v>2708</v>
      </c>
      <c r="E55" s="685" t="s">
        <v>2709</v>
      </c>
      <c r="F55" s="1106" t="s">
        <v>2710</v>
      </c>
      <c r="G55" s="3210" t="s">
        <v>2711</v>
      </c>
      <c r="H55" s="3211"/>
      <c r="I55" s="143" t="s">
        <v>2712</v>
      </c>
      <c r="J55" s="2703">
        <f>项目基本情况!F35</f>
        <v>0</v>
      </c>
      <c r="K55" s="2704" t="s">
        <v>2713</v>
      </c>
      <c r="L55" s="1105"/>
      <c r="M55" s="1143"/>
      <c r="N55" s="1143"/>
      <c r="O55" s="1143"/>
    </row>
    <row r="56" spans="1:15" s="691" customFormat="1">
      <c r="A56" s="687" t="s">
        <v>2714</v>
      </c>
      <c r="B56" s="688">
        <f>C48</f>
        <v>38440</v>
      </c>
      <c r="C56" s="689">
        <v>1</v>
      </c>
      <c r="D56" s="1162">
        <v>1</v>
      </c>
      <c r="E56" s="689">
        <f>'数据-汇总表'!E8+'数据-汇总表'!E9</f>
        <v>72809.22</v>
      </c>
      <c r="F56" s="1102">
        <f t="shared" ref="F56:F65" si="15">ROUND(B56*E56/10000,0)</f>
        <v>279879</v>
      </c>
      <c r="G56" s="3212"/>
      <c r="H56" s="3213"/>
      <c r="I56" s="1107">
        <v>1</v>
      </c>
      <c r="J56" s="1110">
        <v>1</v>
      </c>
      <c r="K56" s="1144"/>
      <c r="L56" s="940"/>
      <c r="M56" s="940"/>
      <c r="N56" s="940"/>
      <c r="O56" s="940"/>
    </row>
    <row r="57" spans="1:15" s="691" customFormat="1">
      <c r="A57" s="692" t="s">
        <v>2715</v>
      </c>
      <c r="B57" s="261">
        <f>ROUND($C$48*C57*D57,0)</f>
        <v>6727</v>
      </c>
      <c r="C57" s="199">
        <f t="shared" ref="C57:C65" si="16">IF($C$55="北京市系数",I57,J57)</f>
        <v>0.7</v>
      </c>
      <c r="D57" s="1163">
        <v>0.25</v>
      </c>
      <c r="E57" s="693"/>
      <c r="F57" s="1102">
        <f t="shared" si="15"/>
        <v>0</v>
      </c>
      <c r="G57" s="3214" t="s">
        <v>2716</v>
      </c>
      <c r="H57" s="1103" t="str">
        <f>项目基本情况!B37</f>
        <v>七级</v>
      </c>
      <c r="I57" s="1107">
        <f>SUMIF(修正!A45:A56,H57,修正!B45:B56)</f>
        <v>0.7</v>
      </c>
      <c r="J57" s="1111"/>
      <c r="K57" s="1143"/>
      <c r="L57" s="940"/>
      <c r="M57" s="940"/>
      <c r="N57" s="940"/>
      <c r="O57" s="940"/>
    </row>
    <row r="58" spans="1:15" s="691" customFormat="1">
      <c r="A58" s="692" t="s">
        <v>2717</v>
      </c>
      <c r="B58" s="261">
        <f t="shared" ref="B58:B65" si="17">ROUND($C$48*C58*D58,0)</f>
        <v>3844</v>
      </c>
      <c r="C58" s="199">
        <f t="shared" si="16"/>
        <v>0.4</v>
      </c>
      <c r="D58" s="1163">
        <v>0.25</v>
      </c>
      <c r="E58" s="693"/>
      <c r="F58" s="1102">
        <f t="shared" si="15"/>
        <v>0</v>
      </c>
      <c r="G58" s="3214"/>
      <c r="H58" s="1103" t="str">
        <f>项目基本情况!B37</f>
        <v>七级</v>
      </c>
      <c r="I58" s="1107">
        <f>SUMIF(修正!A45:A56,H58,修正!C45:C56)</f>
        <v>0.4</v>
      </c>
      <c r="J58" s="1111"/>
      <c r="K58" s="1144"/>
      <c r="L58" s="940"/>
      <c r="M58" s="940"/>
      <c r="N58" s="940"/>
      <c r="O58" s="940"/>
    </row>
    <row r="59" spans="1:15" s="691" customFormat="1">
      <c r="A59" s="692" t="s">
        <v>2718</v>
      </c>
      <c r="B59" s="261">
        <f t="shared" si="17"/>
        <v>2691</v>
      </c>
      <c r="C59" s="199">
        <f t="shared" si="16"/>
        <v>0.28000000000000003</v>
      </c>
      <c r="D59" s="1163">
        <v>0.25</v>
      </c>
      <c r="E59" s="693"/>
      <c r="F59" s="1102">
        <f t="shared" si="15"/>
        <v>0</v>
      </c>
      <c r="G59" s="3214"/>
      <c r="H59" s="1103" t="str">
        <f>项目基本情况!B37</f>
        <v>七级</v>
      </c>
      <c r="I59" s="1107">
        <f>SUMIF(修正!A45:A56,H59,修正!D45:D56)</f>
        <v>0.28000000000000003</v>
      </c>
      <c r="J59" s="1111"/>
      <c r="K59" s="1143"/>
      <c r="L59" s="940"/>
      <c r="M59" s="940"/>
      <c r="N59" s="940"/>
      <c r="O59" s="940"/>
    </row>
    <row r="60" spans="1:15" s="691" customFormat="1">
      <c r="A60" s="692" t="s">
        <v>2719</v>
      </c>
      <c r="B60" s="261">
        <f t="shared" si="17"/>
        <v>2403</v>
      </c>
      <c r="C60" s="199">
        <f t="shared" si="16"/>
        <v>0.25</v>
      </c>
      <c r="D60" s="1163">
        <v>0.25</v>
      </c>
      <c r="E60" s="693"/>
      <c r="F60" s="1102">
        <f t="shared" si="15"/>
        <v>0</v>
      </c>
      <c r="G60" s="3214"/>
      <c r="H60" s="1103" t="str">
        <f>项目基本情况!B37</f>
        <v>七级</v>
      </c>
      <c r="I60" s="1107">
        <f>SUMIF(修正!A45:A56,H60,修正!E45:E56)</f>
        <v>0.25</v>
      </c>
      <c r="J60" s="1111"/>
      <c r="K60" s="1144"/>
      <c r="L60" s="940"/>
      <c r="M60" s="940"/>
      <c r="N60" s="940"/>
      <c r="O60" s="940"/>
    </row>
    <row r="61" spans="1:15" s="691" customFormat="1">
      <c r="A61" s="692" t="s">
        <v>2720</v>
      </c>
      <c r="B61" s="261">
        <f t="shared" si="17"/>
        <v>2403</v>
      </c>
      <c r="C61" s="199">
        <f t="shared" si="16"/>
        <v>0.25</v>
      </c>
      <c r="D61" s="1163">
        <v>0.25</v>
      </c>
      <c r="E61" s="260">
        <f>'数据-汇总表'!E11</f>
        <v>0</v>
      </c>
      <c r="F61" s="1102">
        <f t="shared" si="15"/>
        <v>0</v>
      </c>
      <c r="G61" s="2705" t="s">
        <v>2721</v>
      </c>
      <c r="H61" s="1103" t="str">
        <f>项目基本情况!C37</f>
        <v>七级</v>
      </c>
      <c r="I61" s="1107">
        <f>SUMIF(修正!A45:A56,H61,修正!F45:F56)</f>
        <v>0.25</v>
      </c>
      <c r="J61" s="1111"/>
      <c r="K61" s="1143"/>
      <c r="L61" s="940"/>
      <c r="M61" s="940"/>
      <c r="N61" s="940"/>
      <c r="O61" s="940"/>
    </row>
    <row r="62" spans="1:15" s="691" customFormat="1">
      <c r="A62" s="692" t="s">
        <v>2722</v>
      </c>
      <c r="B62" s="261">
        <f t="shared" si="17"/>
        <v>2403</v>
      </c>
      <c r="C62" s="199">
        <f t="shared" si="16"/>
        <v>0.25</v>
      </c>
      <c r="D62" s="1163">
        <v>0.25</v>
      </c>
      <c r="E62" s="260">
        <f>'数据-汇总表'!E12</f>
        <v>18134.59</v>
      </c>
      <c r="F62" s="1102">
        <f t="shared" si="15"/>
        <v>4358</v>
      </c>
      <c r="G62" s="1108" t="s">
        <v>2723</v>
      </c>
      <c r="H62" s="1103" t="str">
        <f>IF(G62="商业",项目基本情况!B37,IF(G62="办公",项目基本情况!C37,IF(G62="住宅",项目基本情况!D37,项目基本情况!E37)))</f>
        <v>七级</v>
      </c>
      <c r="I62" s="1107">
        <f>SUMIF(修正!A45:A56,H62,修正!G45:G56)</f>
        <v>0.25</v>
      </c>
      <c r="J62" s="1111"/>
      <c r="K62" s="1144"/>
      <c r="L62" s="940"/>
      <c r="M62" s="940"/>
      <c r="N62" s="940"/>
      <c r="O62" s="940"/>
    </row>
    <row r="63" spans="1:15" s="691" customFormat="1">
      <c r="A63" s="692" t="s">
        <v>2724</v>
      </c>
      <c r="B63" s="261">
        <f t="shared" si="17"/>
        <v>1922</v>
      </c>
      <c r="C63" s="199">
        <f t="shared" si="16"/>
        <v>0.2</v>
      </c>
      <c r="D63" s="1163">
        <v>0.25</v>
      </c>
      <c r="E63" s="260">
        <f>'数据-汇总表'!E13</f>
        <v>30558.489999999998</v>
      </c>
      <c r="F63" s="1102">
        <f t="shared" si="15"/>
        <v>5873</v>
      </c>
      <c r="G63" s="1108" t="s">
        <v>2725</v>
      </c>
      <c r="H63" s="1103" t="str">
        <f>IF(G63="商业",项目基本情况!B37,IF(G63="办公",项目基本情况!C37,IF(G63="住宅",项目基本情况!D37,项目基本情况!E37)))</f>
        <v>七级</v>
      </c>
      <c r="I63" s="1107">
        <f>SUMIF(修正!A45:A56,H63,修正!H45:H56)</f>
        <v>0.2</v>
      </c>
      <c r="J63" s="1111"/>
      <c r="K63" s="1143"/>
      <c r="L63" s="940"/>
      <c r="M63" s="940"/>
      <c r="N63" s="940"/>
      <c r="O63" s="940"/>
    </row>
    <row r="64" spans="1:15" s="691" customFormat="1">
      <c r="A64" s="692" t="s">
        <v>2726</v>
      </c>
      <c r="B64" s="261">
        <f t="shared" si="17"/>
        <v>1922</v>
      </c>
      <c r="C64" s="199">
        <f t="shared" si="16"/>
        <v>0.2</v>
      </c>
      <c r="D64" s="1163">
        <v>0.25</v>
      </c>
      <c r="E64" s="260">
        <f>'数据-汇总表'!E14</f>
        <v>0</v>
      </c>
      <c r="F64" s="1102">
        <f t="shared" si="15"/>
        <v>0</v>
      </c>
      <c r="G64" s="2705" t="s">
        <v>2716</v>
      </c>
      <c r="H64" s="1103" t="str">
        <f>项目基本情况!B37</f>
        <v>七级</v>
      </c>
      <c r="I64" s="1107">
        <f>SUMIF(修正!A45:A56,H64,修正!H45:H56)</f>
        <v>0.2</v>
      </c>
      <c r="J64" s="1111"/>
      <c r="K64" s="1144"/>
      <c r="L64" s="940"/>
      <c r="M64" s="940"/>
      <c r="N64" s="940"/>
      <c r="O64" s="940"/>
    </row>
    <row r="65" spans="1:17" s="691" customFormat="1" ht="15" thickBot="1">
      <c r="A65" s="692" t="s">
        <v>2727</v>
      </c>
      <c r="B65" s="261">
        <f t="shared" si="17"/>
        <v>1922</v>
      </c>
      <c r="C65" s="199">
        <f t="shared" si="16"/>
        <v>0.2</v>
      </c>
      <c r="D65" s="1163">
        <v>0.25</v>
      </c>
      <c r="E65" s="260">
        <f>'数据-汇总表'!E15</f>
        <v>0</v>
      </c>
      <c r="F65" s="1102">
        <f t="shared" si="15"/>
        <v>0</v>
      </c>
      <c r="G65" s="2706" t="s">
        <v>2721</v>
      </c>
      <c r="H65" s="1113" t="str">
        <f>项目基本情况!C37</f>
        <v>七级</v>
      </c>
      <c r="I65" s="1109">
        <f>SUMIF(修正!A45:A56,H65,修正!H45:H56)</f>
        <v>0.2</v>
      </c>
      <c r="J65" s="1112"/>
      <c r="K65" s="1143"/>
      <c r="L65" s="940"/>
      <c r="M65" s="940"/>
      <c r="N65" s="940"/>
      <c r="O65" s="940"/>
    </row>
    <row r="66" spans="1:17" s="691" customFormat="1" ht="13.5" thickBot="1">
      <c r="A66" s="694" t="s">
        <v>2728</v>
      </c>
      <c r="B66" s="695" t="s">
        <v>28</v>
      </c>
      <c r="C66" s="695" t="s">
        <v>29</v>
      </c>
      <c r="D66" s="695" t="s">
        <v>1025</v>
      </c>
      <c r="E66" s="695">
        <f>IF(B46="楼面地价",SUM(E56:E65),'数据-汇总表'!D3)</f>
        <v>121502.29999999999</v>
      </c>
      <c r="F66" s="696">
        <f>IF(B46="楼面地价",SUM(F56:F65),ROUND(C48*E66/10000,0))</f>
        <v>290110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2020-4-1</v>
      </c>
      <c r="D68" s="760">
        <f>EDATE(C68,-3)</f>
        <v>43831</v>
      </c>
      <c r="E68" s="760">
        <f>EDATE(D68,-3)</f>
        <v>43739</v>
      </c>
      <c r="F68" s="760">
        <f t="shared" ref="F68:O68" si="18">EDATE(E68,-3)</f>
        <v>43647</v>
      </c>
      <c r="G68" s="760">
        <f t="shared" si="18"/>
        <v>43556</v>
      </c>
      <c r="H68" s="760">
        <f t="shared" si="18"/>
        <v>43466</v>
      </c>
      <c r="I68" s="760">
        <f t="shared" si="18"/>
        <v>43374</v>
      </c>
      <c r="J68" s="760">
        <f t="shared" si="18"/>
        <v>43282</v>
      </c>
      <c r="K68" s="760">
        <f t="shared" si="18"/>
        <v>43191</v>
      </c>
      <c r="L68" s="760">
        <f t="shared" si="18"/>
        <v>43101</v>
      </c>
      <c r="M68" s="760">
        <f t="shared" si="18"/>
        <v>43009</v>
      </c>
      <c r="N68" s="760">
        <f t="shared" si="18"/>
        <v>42917</v>
      </c>
      <c r="O68" s="760">
        <f t="shared" si="18"/>
        <v>42826</v>
      </c>
    </row>
    <row r="69" spans="1:17" ht="21.75" thickBot="1">
      <c r="A69" s="762" t="s">
        <v>2624</v>
      </c>
      <c r="B69" s="758"/>
      <c r="C69" s="763"/>
      <c r="D69" s="763"/>
      <c r="E69" s="763"/>
      <c r="F69" s="764"/>
      <c r="G69" s="764"/>
      <c r="H69" s="763"/>
      <c r="I69" s="763"/>
      <c r="J69" s="1158"/>
      <c r="K69" s="1159"/>
      <c r="L69" s="1160"/>
      <c r="M69" s="1158"/>
      <c r="N69" s="1158"/>
      <c r="O69" s="1158"/>
      <c r="P69" s="502"/>
      <c r="Q69" s="503"/>
    </row>
    <row r="70" spans="1:17" s="507" customFormat="1" ht="15">
      <c r="A70" s="2707" t="s">
        <v>2729</v>
      </c>
      <c r="B70" s="1358"/>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7" customFormat="1" ht="30" customHeight="1">
      <c r="A71" s="2708" t="s">
        <v>2730</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75" thickBot="1">
      <c r="A72" s="514" t="s">
        <v>2535</v>
      </c>
      <c r="B72" s="515"/>
      <c r="C72" s="516"/>
      <c r="D72" s="517"/>
      <c r="E72" s="517"/>
      <c r="F72" s="517"/>
      <c r="G72" s="517"/>
      <c r="H72" s="517"/>
      <c r="I72" s="517"/>
      <c r="J72" s="517"/>
      <c r="K72" s="517"/>
      <c r="L72" s="517"/>
      <c r="M72" s="518"/>
      <c r="N72" s="517"/>
      <c r="O72" s="1161"/>
      <c r="P72" s="503"/>
      <c r="Q72" s="503"/>
    </row>
    <row r="73" spans="1:17" s="117" customFormat="1" ht="15">
      <c r="A73" s="520" t="s">
        <v>2501</v>
      </c>
      <c r="B73" s="509"/>
      <c r="C73" s="521" t="s">
        <v>2602</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2538</v>
      </c>
      <c r="B75" s="527" t="s">
        <v>2505</v>
      </c>
      <c r="C75" s="2967" t="s">
        <v>3239</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2508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2509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v>6</v>
      </c>
      <c r="J80" s="548">
        <v>7</v>
      </c>
      <c r="K80" s="548">
        <v>8</v>
      </c>
      <c r="L80" s="550"/>
      <c r="M80" s="551"/>
      <c r="N80" s="1151"/>
      <c r="O80" s="1151"/>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2"/>
      <c r="O81" s="1152"/>
      <c r="P81" s="45"/>
      <c r="Q81" s="503"/>
    </row>
    <row r="82" spans="1:17" s="470" customFormat="1" ht="15.75" thickTop="1">
      <c r="A82" s="552"/>
      <c r="B82" s="537" t="str">
        <f>B12</f>
        <v>其他</v>
      </c>
      <c r="C82" s="2968" t="s">
        <v>3260</v>
      </c>
      <c r="D82" s="2968" t="s">
        <v>3261</v>
      </c>
      <c r="E82" s="553"/>
      <c r="F82" s="553"/>
      <c r="G82" s="553"/>
      <c r="H82" s="554"/>
      <c r="I82" s="554"/>
      <c r="J82" s="554"/>
      <c r="K82" s="554"/>
      <c r="L82" s="555"/>
      <c r="M82" s="556"/>
      <c r="N82" s="1153"/>
      <c r="O82" s="1153"/>
      <c r="P82" s="557"/>
      <c r="Q82" s="558"/>
    </row>
    <row r="83" spans="1:17" s="470" customFormat="1" ht="15.75" thickBot="1">
      <c r="A83" s="552"/>
      <c r="B83" s="542"/>
      <c r="C83" s="559">
        <v>100</v>
      </c>
      <c r="D83" s="535">
        <v>99</v>
      </c>
      <c r="E83" s="535"/>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2510</v>
      </c>
      <c r="B88" s="527" t="s">
        <v>2546</v>
      </c>
      <c r="C88" s="572" t="s">
        <v>2547</v>
      </c>
      <c r="D88" s="572" t="s">
        <v>2548</v>
      </c>
      <c r="E88" s="572" t="s">
        <v>2549</v>
      </c>
      <c r="F88" s="572" t="s">
        <v>2550</v>
      </c>
      <c r="G88" s="572" t="s">
        <v>2551</v>
      </c>
      <c r="H88" s="528"/>
      <c r="I88" s="528"/>
      <c r="J88" s="528"/>
      <c r="K88" s="573"/>
      <c r="L88" s="574"/>
      <c r="M88" s="575"/>
      <c r="N88" s="1151"/>
      <c r="O88" s="1151"/>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5.75" thickTop="1">
      <c r="A90" s="533"/>
      <c r="B90" s="537" t="s">
        <v>2731</v>
      </c>
      <c r="C90" s="577" t="s">
        <v>2547</v>
      </c>
      <c r="D90" s="577" t="s">
        <v>2548</v>
      </c>
      <c r="E90" s="577" t="s">
        <v>2549</v>
      </c>
      <c r="F90" s="577" t="s">
        <v>2550</v>
      </c>
      <c r="G90" s="577" t="s">
        <v>2551</v>
      </c>
      <c r="H90" s="538"/>
      <c r="I90" s="538"/>
      <c r="J90" s="538"/>
      <c r="K90" s="539"/>
      <c r="L90" s="540"/>
      <c r="M90" s="541"/>
      <c r="N90" s="1151"/>
      <c r="O90" s="1151"/>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2"/>
      <c r="O91" s="1152"/>
      <c r="P91" s="45"/>
      <c r="Q91" s="503"/>
    </row>
    <row r="92" spans="1:17" ht="15.75" thickTop="1">
      <c r="A92" s="533"/>
      <c r="B92" s="537" t="s">
        <v>2647</v>
      </c>
      <c r="C92" s="577" t="s">
        <v>2547</v>
      </c>
      <c r="D92" s="577" t="s">
        <v>2548</v>
      </c>
      <c r="E92" s="577" t="s">
        <v>2549</v>
      </c>
      <c r="F92" s="577" t="s">
        <v>2550</v>
      </c>
      <c r="G92" s="577" t="s">
        <v>2551</v>
      </c>
      <c r="H92" s="538"/>
      <c r="I92" s="538"/>
      <c r="J92" s="538"/>
      <c r="K92" s="539"/>
      <c r="L92" s="540"/>
      <c r="M92" s="541"/>
      <c r="N92" s="1151"/>
      <c r="O92" s="1151"/>
      <c r="P92" s="45"/>
      <c r="Q92" s="503"/>
    </row>
    <row r="93" spans="1:17" ht="15.75" thickBot="1">
      <c r="A93" s="533"/>
      <c r="B93" s="542"/>
      <c r="C93" s="543">
        <v>100</v>
      </c>
      <c r="D93" s="543">
        <f>C93-$K19</f>
        <v>99</v>
      </c>
      <c r="E93" s="543">
        <f>D93-$K19</f>
        <v>98</v>
      </c>
      <c r="F93" s="543">
        <f>E93-$K19</f>
        <v>97</v>
      </c>
      <c r="G93" s="543">
        <f>F93-$K19</f>
        <v>96</v>
      </c>
      <c r="H93" s="543"/>
      <c r="I93" s="543"/>
      <c r="J93" s="543"/>
      <c r="K93" s="543"/>
      <c r="L93" s="543"/>
      <c r="M93" s="544"/>
      <c r="N93" s="1152"/>
      <c r="O93" s="1152"/>
      <c r="P93" s="45"/>
      <c r="Q93" s="503"/>
    </row>
    <row r="94" spans="1:17" ht="15.75" thickTop="1">
      <c r="A94" s="533"/>
      <c r="B94" s="537" t="s">
        <v>2552</v>
      </c>
      <c r="C94" s="577" t="s">
        <v>2547</v>
      </c>
      <c r="D94" s="577" t="s">
        <v>2548</v>
      </c>
      <c r="E94" s="577" t="s">
        <v>2549</v>
      </c>
      <c r="F94" s="577" t="s">
        <v>2550</v>
      </c>
      <c r="G94" s="577" t="s">
        <v>2551</v>
      </c>
      <c r="H94" s="538"/>
      <c r="I94" s="538"/>
      <c r="J94" s="538"/>
      <c r="K94" s="539"/>
      <c r="L94" s="540"/>
      <c r="M94" s="541"/>
      <c r="N94" s="1151"/>
      <c r="O94" s="1151"/>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2"/>
      <c r="O95" s="1152"/>
      <c r="P95" s="45"/>
      <c r="Q95" s="503"/>
    </row>
    <row r="96" spans="1:17" s="117" customFormat="1" ht="15.75" thickTop="1">
      <c r="A96" s="578"/>
      <c r="B96" s="537" t="s">
        <v>2732</v>
      </c>
      <c r="C96" s="577" t="s">
        <v>2547</v>
      </c>
      <c r="D96" s="577" t="s">
        <v>2548</v>
      </c>
      <c r="E96" s="577" t="s">
        <v>2549</v>
      </c>
      <c r="F96" s="577" t="s">
        <v>2550</v>
      </c>
      <c r="G96" s="577" t="s">
        <v>2551</v>
      </c>
      <c r="H96" s="577"/>
      <c r="I96" s="577"/>
      <c r="J96" s="577"/>
      <c r="K96" s="577"/>
      <c r="L96" s="697"/>
      <c r="M96" s="621"/>
      <c r="N96" s="1150"/>
      <c r="O96" s="1150"/>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2"/>
      <c r="O97" s="1152"/>
      <c r="P97" s="45"/>
      <c r="Q97" s="503"/>
    </row>
    <row r="98" spans="1:17" s="117" customFormat="1" ht="27.75" thickTop="1">
      <c r="A98" s="578"/>
      <c r="B98" s="537" t="s">
        <v>2733</v>
      </c>
      <c r="C98" s="572" t="s">
        <v>2547</v>
      </c>
      <c r="D98" s="572" t="s">
        <v>2548</v>
      </c>
      <c r="E98" s="572" t="s">
        <v>2549</v>
      </c>
      <c r="F98" s="572" t="s">
        <v>2550</v>
      </c>
      <c r="G98" s="572" t="s">
        <v>2551</v>
      </c>
      <c r="H98" s="577"/>
      <c r="I98" s="577"/>
      <c r="J98" s="577"/>
      <c r="K98" s="577"/>
      <c r="L98" s="577"/>
      <c r="M98" s="621"/>
      <c r="N98" s="1150"/>
      <c r="O98" s="1150"/>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2"/>
      <c r="O99" s="1152"/>
      <c r="P99" s="45"/>
      <c r="Q99" s="503"/>
    </row>
    <row r="100" spans="1:17" s="470" customFormat="1" ht="15.75" thickTop="1">
      <c r="A100" s="552"/>
      <c r="B100" s="537" t="s">
        <v>2604</v>
      </c>
      <c r="C100" s="572" t="s">
        <v>2547</v>
      </c>
      <c r="D100" s="572" t="s">
        <v>2548</v>
      </c>
      <c r="E100" s="572" t="s">
        <v>2549</v>
      </c>
      <c r="F100" s="572" t="s">
        <v>2550</v>
      </c>
      <c r="G100" s="572" t="s">
        <v>2551</v>
      </c>
      <c r="H100" s="599"/>
      <c r="I100" s="599"/>
      <c r="J100" s="599"/>
      <c r="K100" s="599"/>
      <c r="L100" s="600"/>
      <c r="M100" s="601"/>
      <c r="N100" s="1153"/>
      <c r="O100" s="1153"/>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3"/>
      <c r="O101" s="1153"/>
      <c r="P101" s="557"/>
      <c r="Q101" s="558"/>
    </row>
    <row r="102" spans="1:17" s="470" customFormat="1" ht="15.75" thickTop="1">
      <c r="A102" s="552"/>
      <c r="B102" s="545" t="s">
        <v>2605</v>
      </c>
      <c r="C102" s="659" t="s">
        <v>2625</v>
      </c>
      <c r="D102" s="659" t="s">
        <v>2626</v>
      </c>
      <c r="E102" s="659" t="s">
        <v>2627</v>
      </c>
      <c r="F102" s="659" t="s">
        <v>2628</v>
      </c>
      <c r="G102" s="659" t="s">
        <v>2629</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2734</v>
      </c>
      <c r="D104" s="538" t="s">
        <v>2735</v>
      </c>
      <c r="E104" s="538" t="s">
        <v>2736</v>
      </c>
      <c r="F104" s="538" t="s">
        <v>2737</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2"/>
      <c r="O105" s="1152"/>
      <c r="P105" s="45"/>
      <c r="Q105" s="503"/>
    </row>
    <row r="106" spans="1:17" ht="27.75" thickTop="1">
      <c r="A106" s="533"/>
      <c r="B106" s="537" t="s">
        <v>2641</v>
      </c>
      <c r="C106" s="2975" t="s">
        <v>3247</v>
      </c>
      <c r="D106" s="2975" t="s">
        <v>3248</v>
      </c>
      <c r="E106" s="2968" t="s">
        <v>3227</v>
      </c>
      <c r="F106" s="2968" t="s">
        <v>3228</v>
      </c>
      <c r="G106" s="2968" t="s">
        <v>3230</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2"/>
      <c r="O107" s="1152"/>
      <c r="P107" s="45"/>
      <c r="Q107" s="503"/>
    </row>
    <row r="108" spans="1:17" ht="15.75" thickTop="1">
      <c r="A108" s="533"/>
      <c r="B108" s="537" t="s">
        <v>2698</v>
      </c>
      <c r="C108" s="582" t="s">
        <v>3231</v>
      </c>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99</v>
      </c>
      <c r="E109" s="543">
        <f t="shared" ref="E109:M109" si="24">D109-$K34</f>
        <v>98</v>
      </c>
      <c r="F109" s="543">
        <f t="shared" si="24"/>
        <v>97</v>
      </c>
      <c r="G109" s="543">
        <f t="shared" si="24"/>
        <v>96</v>
      </c>
      <c r="H109" s="543">
        <f t="shared" si="24"/>
        <v>95</v>
      </c>
      <c r="I109" s="543">
        <f t="shared" si="24"/>
        <v>94</v>
      </c>
      <c r="J109" s="543">
        <f t="shared" si="24"/>
        <v>93</v>
      </c>
      <c r="K109" s="543">
        <f t="shared" si="24"/>
        <v>92</v>
      </c>
      <c r="L109" s="543">
        <f t="shared" si="24"/>
        <v>91</v>
      </c>
      <c r="M109" s="543">
        <f t="shared" si="24"/>
        <v>90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2514</v>
      </c>
      <c r="B116" s="527" t="s">
        <v>2738</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30000</v>
      </c>
      <c r="E117" s="594">
        <v>60000</v>
      </c>
      <c r="F117" s="594">
        <v>90000</v>
      </c>
      <c r="G117" s="594">
        <v>120000</v>
      </c>
      <c r="H117" s="594"/>
      <c r="I117" s="594"/>
      <c r="J117" s="595"/>
      <c r="K117" s="595"/>
      <c r="L117" s="596"/>
      <c r="M117" s="597"/>
      <c r="N117" s="1151"/>
      <c r="O117" s="1151"/>
      <c r="P117" s="45"/>
      <c r="Q117" s="503"/>
    </row>
    <row r="118" spans="1:17" ht="15.75" thickBot="1">
      <c r="A118" s="533"/>
      <c r="B118" s="542"/>
      <c r="C118" s="569">
        <v>100</v>
      </c>
      <c r="D118" s="590">
        <v>101</v>
      </c>
      <c r="E118" s="569">
        <v>102</v>
      </c>
      <c r="F118" s="590">
        <v>103</v>
      </c>
      <c r="G118" s="569">
        <v>104</v>
      </c>
      <c r="H118" s="590"/>
      <c r="I118" s="590"/>
      <c r="J118" s="590"/>
      <c r="K118" s="590"/>
      <c r="L118" s="590"/>
      <c r="M118" s="591"/>
      <c r="N118" s="1152"/>
      <c r="O118" s="1152"/>
      <c r="P118" s="45"/>
      <c r="Q118" s="503"/>
    </row>
    <row r="119" spans="1:17" ht="15" thickTop="1">
      <c r="A119" s="598"/>
      <c r="B119" s="537" t="s">
        <v>2739</v>
      </c>
      <c r="C119" s="2969" t="s">
        <v>3233</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2"/>
      <c r="O120" s="1152"/>
      <c r="P120" s="45"/>
      <c r="Q120" s="503"/>
    </row>
    <row r="121" spans="1:17" ht="15" thickTop="1">
      <c r="A121" s="598"/>
      <c r="B121" s="537" t="s">
        <v>2740</v>
      </c>
      <c r="C121" s="2968" t="s">
        <v>3234</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2741</v>
      </c>
      <c r="C123" s="553" t="s">
        <v>3077</v>
      </c>
      <c r="D123" s="553" t="s">
        <v>3235</v>
      </c>
      <c r="E123" s="553" t="s">
        <v>3236</v>
      </c>
      <c r="F123" s="553" t="s">
        <v>3237</v>
      </c>
      <c r="G123" s="553" t="s">
        <v>3238</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2742</v>
      </c>
      <c r="C125" s="2968" t="s">
        <v>3234</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3" workbookViewId="0">
      <selection activeCell="C57" sqref="C5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2280</v>
      </c>
      <c r="B1" s="1935"/>
      <c r="C1" s="241"/>
      <c r="D1" s="241"/>
      <c r="E1" s="241"/>
      <c r="F1" s="241"/>
      <c r="G1" s="1378">
        <f>MATCH(B1,'数据-取费表'!A6:A16,0)+5</f>
        <v>11</v>
      </c>
    </row>
    <row r="2" spans="1:9" s="243" customFormat="1" ht="18" customHeight="1">
      <c r="A2" s="244" t="s">
        <v>2281</v>
      </c>
      <c r="B2" s="245">
        <f ca="1">IF(D2="——",C52,C52-E2)</f>
        <v>460923</v>
      </c>
      <c r="C2" s="242" t="s">
        <v>2282</v>
      </c>
      <c r="D2" s="2543" t="s">
        <v>70</v>
      </c>
      <c r="E2" s="1439" t="e">
        <f ca="1">SUMIF(INDIRECT("'"&amp;G2&amp;"'"&amp;"!A:A"),"承租人权益价值",INDIRECT("'"&amp;G2&amp;"'"&amp;"!c:c"))</f>
        <v>#REF!</v>
      </c>
      <c r="F2" s="2544" t="s">
        <v>2282</v>
      </c>
      <c r="G2" s="2545"/>
    </row>
    <row r="3" spans="1:9" s="243" customFormat="1" ht="18" customHeight="1" thickBot="1">
      <c r="A3" s="246" t="s">
        <v>2283</v>
      </c>
      <c r="B3" s="247">
        <f ca="1">ROUND(B2*10000/(IF(B1="",'数据-汇总表'!E3,INDIRECT("'数据-取费表'!k"&amp;$G$1))),0)</f>
        <v>37249</v>
      </c>
      <c r="C3" s="242" t="s">
        <v>2284</v>
      </c>
      <c r="D3" s="242"/>
      <c r="E3" s="242"/>
      <c r="F3" s="242"/>
      <c r="G3" s="242"/>
    </row>
    <row r="4" spans="1:9" s="251" customFormat="1" ht="15.75">
      <c r="A4" s="248" t="s">
        <v>2285</v>
      </c>
      <c r="B4" s="249"/>
      <c r="C4" s="249"/>
      <c r="D4" s="249"/>
      <c r="E4" s="249"/>
      <c r="F4" s="249"/>
      <c r="G4" s="250"/>
    </row>
    <row r="5" spans="1:9" s="257" customFormat="1" ht="13.5" customHeight="1">
      <c r="A5" s="298" t="s">
        <v>2286</v>
      </c>
      <c r="B5" s="253" t="s">
        <v>2287</v>
      </c>
      <c r="C5" s="254">
        <f ca="1">C6+C7+C8</f>
        <v>301142</v>
      </c>
      <c r="D5" s="254" t="s">
        <v>2288</v>
      </c>
      <c r="E5" s="255" t="s">
        <v>2289</v>
      </c>
      <c r="F5" s="255" t="s">
        <v>2290</v>
      </c>
      <c r="G5" s="256"/>
    </row>
    <row r="6" spans="1:9" s="257" customFormat="1" ht="13.5" customHeight="1">
      <c r="A6" s="948" t="s">
        <v>2291</v>
      </c>
      <c r="B6" s="258" t="s">
        <v>2292</v>
      </c>
      <c r="C6" s="259">
        <f>'土地比较法-住宅、综合'!B2</f>
        <v>290110</v>
      </c>
      <c r="D6" s="260"/>
      <c r="E6" s="261"/>
      <c r="F6" s="261"/>
      <c r="G6" s="262"/>
    </row>
    <row r="7" spans="1:9" s="257" customFormat="1" ht="13.5" customHeight="1">
      <c r="A7" s="948" t="s">
        <v>2293</v>
      </c>
      <c r="B7" s="258" t="s">
        <v>2294</v>
      </c>
      <c r="C7" s="263">
        <f>ROUND(C6*F7,0)</f>
        <v>8848</v>
      </c>
      <c r="D7" s="263"/>
      <c r="E7" s="261"/>
      <c r="F7" s="264">
        <f>'数据-取费表'!B48+'数据-取费表'!B49</f>
        <v>3.0499999999999999E-2</v>
      </c>
      <c r="G7" s="262"/>
    </row>
    <row r="8" spans="1:9" s="266" customFormat="1">
      <c r="A8" s="948" t="s">
        <v>2295</v>
      </c>
      <c r="B8" s="258" t="s">
        <v>2296</v>
      </c>
      <c r="C8" s="263">
        <f ca="1">IF(G8="已包含在土地购买价格中","0",IF(B1="",'数据-取费表'!B29,IF(G9="全部缴纳",C9+C10,H9)))</f>
        <v>2184</v>
      </c>
      <c r="D8" s="265"/>
      <c r="E8" s="263"/>
      <c r="F8" s="264"/>
      <c r="G8" s="2546" t="s">
        <v>3263</v>
      </c>
    </row>
    <row r="9" spans="1:9" s="257" customFormat="1" ht="13.5" customHeight="1">
      <c r="A9" s="949" t="s">
        <v>799</v>
      </c>
      <c r="B9" s="267" t="s">
        <v>2297</v>
      </c>
      <c r="C9" s="268">
        <f ca="1">ROUND(D9*E9/10000,0)</f>
        <v>1165</v>
      </c>
      <c r="D9" s="1031">
        <f ca="1">IF(B1="",'数据-汇总表'!E5,IF(INDIRECT("'数据-取费表'!c"&amp;$G$1)="住宅",INDIRECT("'数据-取费表'!k"&amp;$G$1),0))</f>
        <v>72809.22</v>
      </c>
      <c r="E9" s="268">
        <f>'数据-取费表'!B27</f>
        <v>160</v>
      </c>
      <c r="F9" s="264"/>
      <c r="G9" s="2547" t="s">
        <v>3064</v>
      </c>
      <c r="H9" s="1389"/>
      <c r="I9" s="2548" t="s">
        <v>2298</v>
      </c>
    </row>
    <row r="10" spans="1:9" s="257" customFormat="1" ht="13.5" customHeight="1">
      <c r="A10" s="949" t="s">
        <v>800</v>
      </c>
      <c r="B10" s="267" t="s">
        <v>2299</v>
      </c>
      <c r="C10" s="268">
        <f ca="1">ROUND(D10*E10/10000,0)</f>
        <v>1019</v>
      </c>
      <c r="D10" s="1031">
        <f ca="1">IF(B1="",'数据-汇总表'!E6,IF(INDIRECT("'数据-取费表'!c"&amp;$G$1)="住宅",INDIRECT("'数据-取费表'!s"&amp;$G$1),INDIRECT("'数据-取费表'!k"&amp;$G$1)+INDIRECT("'数据-取费表'!s"&amp;$G$1)))</f>
        <v>50931.039999999994</v>
      </c>
      <c r="E10" s="268">
        <f>'数据-取费表'!B28</f>
        <v>200</v>
      </c>
      <c r="F10" s="264"/>
      <c r="G10" s="269"/>
    </row>
    <row r="11" spans="1:9" s="257" customFormat="1" ht="13.5" hidden="1" customHeight="1">
      <c r="A11" s="270" t="s">
        <v>7</v>
      </c>
      <c r="B11" s="258" t="s">
        <v>2300</v>
      </c>
      <c r="C11" s="254"/>
      <c r="D11" s="1033"/>
      <c r="E11" s="261"/>
      <c r="F11" s="261"/>
      <c r="G11" s="262"/>
    </row>
    <row r="12" spans="1:9" s="257" customFormat="1" ht="13.5" hidden="1" customHeight="1">
      <c r="A12" s="270" t="s">
        <v>8</v>
      </c>
      <c r="B12" s="258" t="s">
        <v>2301</v>
      </c>
      <c r="C12" s="254">
        <v>0</v>
      </c>
      <c r="D12" s="1033"/>
      <c r="E12" s="271"/>
      <c r="F12" s="264">
        <v>3.0499999999999999E-2</v>
      </c>
      <c r="G12" s="262"/>
    </row>
    <row r="13" spans="1:9" s="257" customFormat="1" ht="13.5" hidden="1" customHeight="1">
      <c r="A13" s="270" t="s">
        <v>9</v>
      </c>
      <c r="B13" s="258" t="s">
        <v>2302</v>
      </c>
      <c r="C13" s="254"/>
      <c r="D13" s="1033"/>
      <c r="E13" s="261"/>
      <c r="F13" s="261"/>
      <c r="G13" s="262"/>
    </row>
    <row r="14" spans="1:9" s="257" customFormat="1" ht="13.5" hidden="1" customHeight="1">
      <c r="A14" s="270" t="s">
        <v>10</v>
      </c>
      <c r="B14" s="258" t="s">
        <v>2303</v>
      </c>
      <c r="C14" s="254"/>
      <c r="D14" s="1033"/>
      <c r="E14" s="261"/>
      <c r="F14" s="261"/>
      <c r="G14" s="262" t="s">
        <v>2304</v>
      </c>
    </row>
    <row r="15" spans="1:9" s="257" customFormat="1" ht="13.5" hidden="1" customHeight="1">
      <c r="A15" s="270" t="s">
        <v>11</v>
      </c>
      <c r="B15" s="258" t="s">
        <v>2305</v>
      </c>
      <c r="C15" s="263"/>
      <c r="D15" s="1033"/>
      <c r="E15" s="261"/>
      <c r="F15" s="261"/>
      <c r="G15" s="262" t="s">
        <v>2306</v>
      </c>
    </row>
    <row r="16" spans="1:9" s="257" customFormat="1" ht="13.5" hidden="1" customHeight="1">
      <c r="A16" s="270" t="s">
        <v>12</v>
      </c>
      <c r="B16" s="258" t="s">
        <v>2303</v>
      </c>
      <c r="C16" s="263"/>
      <c r="D16" s="1033"/>
      <c r="E16" s="261"/>
      <c r="F16" s="261"/>
      <c r="G16" s="262"/>
    </row>
    <row r="17" spans="1:7" s="257" customFormat="1" ht="13.5" hidden="1" customHeight="1">
      <c r="A17" s="270" t="s">
        <v>13</v>
      </c>
      <c r="B17" s="258" t="s">
        <v>2307</v>
      </c>
      <c r="C17" s="272"/>
      <c r="D17" s="1034"/>
      <c r="E17" s="272"/>
      <c r="F17" s="272"/>
      <c r="G17" s="262" t="s">
        <v>2306</v>
      </c>
    </row>
    <row r="18" spans="1:7" s="257" customFormat="1" ht="13.5" hidden="1" customHeight="1">
      <c r="A18" s="270" t="s">
        <v>14</v>
      </c>
      <c r="B18" s="258" t="s">
        <v>2308</v>
      </c>
      <c r="C18" s="263">
        <v>0</v>
      </c>
      <c r="D18" s="1033"/>
      <c r="E18" s="261"/>
      <c r="F18" s="264">
        <v>3.0499999999999999E-2</v>
      </c>
      <c r="G18" s="262" t="s">
        <v>2309</v>
      </c>
    </row>
    <row r="19" spans="1:7" s="266" customFormat="1" ht="13.5" customHeight="1">
      <c r="A19" s="298" t="s">
        <v>2310</v>
      </c>
      <c r="B19" s="253" t="s">
        <v>2311</v>
      </c>
      <c r="C19" s="254" t="str">
        <f>IF(G19="已包含在土地取得成本中","0",ROUND(D19*E19/10000,0))</f>
        <v>0</v>
      </c>
      <c r="D19" s="1035">
        <f ca="1">D9+D10</f>
        <v>123740.26</v>
      </c>
      <c r="E19" s="254">
        <f>'数据-取费表'!B31</f>
        <v>200</v>
      </c>
      <c r="F19" s="274"/>
      <c r="G19" s="2546" t="s">
        <v>3265</v>
      </c>
    </row>
    <row r="20" spans="1:7" s="257" customFormat="1" ht="13.5" customHeight="1">
      <c r="A20" s="298" t="s">
        <v>2312</v>
      </c>
      <c r="B20" s="253" t="s">
        <v>2313</v>
      </c>
      <c r="C20" s="275">
        <f ca="1">ROUND((C5+C19)*F20,0)</f>
        <v>6023</v>
      </c>
      <c r="D20" s="275"/>
      <c r="E20" s="275"/>
      <c r="F20" s="276">
        <f>'数据-取费表'!B37</f>
        <v>0.02</v>
      </c>
      <c r="G20" s="277" t="s">
        <v>2314</v>
      </c>
    </row>
    <row r="21" spans="1:7" s="257" customFormat="1" ht="13.5" customHeight="1">
      <c r="A21" s="298" t="s">
        <v>2315</v>
      </c>
      <c r="B21" s="253" t="s">
        <v>2316</v>
      </c>
      <c r="C21" s="278">
        <f>F21</f>
        <v>0.02</v>
      </c>
      <c r="D21" s="279" t="s">
        <v>2317</v>
      </c>
      <c r="E21" s="275"/>
      <c r="F21" s="276">
        <f>'数据-取费表'!B38</f>
        <v>0.02</v>
      </c>
      <c r="G21" s="277" t="s">
        <v>2318</v>
      </c>
    </row>
    <row r="22" spans="1:7" s="257" customFormat="1" ht="13.5" customHeight="1">
      <c r="A22" s="298" t="s">
        <v>2319</v>
      </c>
      <c r="B22" s="253" t="s">
        <v>2320</v>
      </c>
      <c r="C22" s="1353">
        <f ca="1">ROUND(SUM(C23:C25),0)</f>
        <v>28029</v>
      </c>
      <c r="D22" s="278">
        <f ca="1">C26</f>
        <v>8.9999999999999998E-4</v>
      </c>
      <c r="E22" s="279" t="s">
        <v>2317</v>
      </c>
      <c r="F22" s="280">
        <f ca="1">'数据-取费表'!B40</f>
        <v>4.7500000000000001E-2</v>
      </c>
      <c r="G22" s="277" t="str">
        <f>IF('数据-取费表'!B22&lt;=1,"单利计息","复利计息")</f>
        <v>复利计息</v>
      </c>
    </row>
    <row r="23" spans="1:7" s="257" customFormat="1" ht="13.5" customHeight="1">
      <c r="A23" s="950" t="s">
        <v>2321</v>
      </c>
      <c r="B23" s="258" t="s">
        <v>2322</v>
      </c>
      <c r="C23" s="1354">
        <f ca="1">ROUND(IF('数据-取费表'!B22&lt;=1,C5*F22*'数据-取费表'!B23,C5*(POWER((1+F22),'数据-取费表'!B23)-1)),0)</f>
        <v>27758</v>
      </c>
      <c r="D23" s="281"/>
      <c r="E23" s="281"/>
      <c r="F23" s="282"/>
      <c r="G23" s="283" t="s">
        <v>2323</v>
      </c>
    </row>
    <row r="24" spans="1:7" s="257" customFormat="1" ht="13.5" customHeight="1">
      <c r="A24" s="950" t="s">
        <v>2324</v>
      </c>
      <c r="B24" s="258" t="s">
        <v>2325</v>
      </c>
      <c r="C24" s="1354">
        <f ca="1">ROUND(IF('数据-取费表'!B22&lt;=1,C19*F22*('数据-取费表'!B19/2+'数据-取费表'!B21),C19*(POWER((1+F22),('数据-取费表'!B19/2+'数据-取费表'!B21))-1)),0)</f>
        <v>0</v>
      </c>
      <c r="D24" s="281"/>
      <c r="E24" s="281"/>
      <c r="F24" s="282"/>
      <c r="G24" s="283" t="s">
        <v>2326</v>
      </c>
    </row>
    <row r="25" spans="1:7" s="257" customFormat="1" ht="24">
      <c r="A25" s="950" t="s">
        <v>2327</v>
      </c>
      <c r="B25" s="258" t="s">
        <v>2328</v>
      </c>
      <c r="C25" s="1354">
        <f ca="1">ROUND(IF('数据-取费表'!B22&lt;=1,C20*F22*'数据-取费表'!B23/2,C20*(POWER((1+F22),'数据-取费表'!B23/2)-1)),0)</f>
        <v>271</v>
      </c>
      <c r="D25" s="281"/>
      <c r="E25" s="284"/>
      <c r="F25" s="282"/>
      <c r="G25" s="285" t="s">
        <v>2329</v>
      </c>
    </row>
    <row r="26" spans="1:7" s="257" customFormat="1">
      <c r="A26" s="950" t="s">
        <v>794</v>
      </c>
      <c r="B26" s="258" t="s">
        <v>2330</v>
      </c>
      <c r="C26" s="281">
        <f ca="1">ROUND(IF('数据-取费表'!B22&lt;=1,F21*F22*'数据-取费表'!B23/2,F21*(POWER((1+F22),'数据-取费表'!B23/2)-1)),4)</f>
        <v>8.9999999999999998E-4</v>
      </c>
      <c r="D26" s="281"/>
      <c r="E26" s="284"/>
      <c r="F26" s="282"/>
      <c r="G26" s="286"/>
    </row>
    <row r="27" spans="1:7" s="257" customFormat="1" ht="24.75">
      <c r="A27" s="298" t="s">
        <v>2331</v>
      </c>
      <c r="B27" s="287" t="s">
        <v>2332</v>
      </c>
      <c r="C27" s="288">
        <f ca="1">C28</f>
        <v>37935</v>
      </c>
      <c r="D27" s="278">
        <f ca="1">C29</f>
        <v>2.5000000000000001E-3</v>
      </c>
      <c r="E27" s="279" t="s">
        <v>2333</v>
      </c>
      <c r="F27" s="289">
        <f ca="1">IF(B1="",'数据-取费表'!Q16,INDIRECT("'数据-取费表'!q"&amp;$G$1))</f>
        <v>0.13</v>
      </c>
      <c r="G27" s="290" t="s">
        <v>2334</v>
      </c>
    </row>
    <row r="28" spans="1:7" s="257" customFormat="1" ht="13.5" customHeight="1">
      <c r="A28" s="950" t="s">
        <v>790</v>
      </c>
      <c r="B28" s="291" t="s">
        <v>2335</v>
      </c>
      <c r="C28" s="292">
        <f ca="1">ROUND((C5+C19+C20)*F27*'数据-取费表'!B21/'数据-取费表'!B20,0)</f>
        <v>37935</v>
      </c>
      <c r="D28" s="278"/>
      <c r="E28" s="279"/>
      <c r="F28" s="289"/>
      <c r="G28" s="290"/>
    </row>
    <row r="29" spans="1:7" s="257" customFormat="1" ht="13.5" customHeight="1">
      <c r="A29" s="950" t="s">
        <v>791</v>
      </c>
      <c r="B29" s="291" t="s">
        <v>2336</v>
      </c>
      <c r="C29" s="281">
        <f ca="1">ROUND(C21*F27*'数据-取费表'!B21/'数据-取费表'!B20,4)</f>
        <v>2.5000000000000001E-3</v>
      </c>
      <c r="D29" s="278"/>
      <c r="E29" s="279"/>
      <c r="F29" s="289"/>
      <c r="G29" s="290"/>
    </row>
    <row r="30" spans="1:7" s="257" customFormat="1" ht="13.5" customHeight="1">
      <c r="A30" s="298" t="s">
        <v>2337</v>
      </c>
      <c r="B30" s="253" t="s">
        <v>2338</v>
      </c>
      <c r="C30" s="278">
        <f>ROUND(F30/(1+'数据-取费表'!C42),4)</f>
        <v>5.33E-2</v>
      </c>
      <c r="D30" s="279" t="s">
        <v>2333</v>
      </c>
      <c r="E30" s="284"/>
      <c r="F30" s="280">
        <f>'数据-取费表'!B41</f>
        <v>5.6000000000000001E-2</v>
      </c>
      <c r="G30" s="277" t="s">
        <v>2339</v>
      </c>
    </row>
    <row r="31" spans="1:7" ht="16.5" customHeight="1">
      <c r="A31" s="252">
        <v>1</v>
      </c>
      <c r="B31" s="253" t="s">
        <v>2340</v>
      </c>
      <c r="C31" s="254">
        <f ca="1">ROUND((C5+C19+C20+C22+C27)/(1-C21-D22-D27-C30),0)</f>
        <v>404125</v>
      </c>
      <c r="D31" s="273"/>
      <c r="E31" s="254"/>
      <c r="F31" s="293"/>
      <c r="G31" s="277" t="s">
        <v>2341</v>
      </c>
    </row>
    <row r="32" spans="1:7" s="251" customFormat="1" ht="15.75">
      <c r="A32" s="295" t="s">
        <v>2342</v>
      </c>
      <c r="B32" s="296"/>
      <c r="C32" s="296"/>
      <c r="D32" s="296"/>
      <c r="E32" s="296"/>
      <c r="F32" s="296"/>
      <c r="G32" s="297"/>
    </row>
    <row r="33" spans="1:7" s="257" customFormat="1" ht="13.5" customHeight="1">
      <c r="A33" s="298" t="s">
        <v>781</v>
      </c>
      <c r="B33" s="253" t="s">
        <v>2343</v>
      </c>
      <c r="C33" s="299">
        <f ca="1">SUM(C34:C38)</f>
        <v>43749</v>
      </c>
      <c r="D33" s="275"/>
      <c r="E33" s="255"/>
      <c r="F33" s="284"/>
      <c r="G33" s="277"/>
    </row>
    <row r="34" spans="1:7" s="301" customFormat="1" ht="13.5" customHeight="1">
      <c r="A34" s="950" t="s">
        <v>790</v>
      </c>
      <c r="B34" s="258" t="s">
        <v>2344</v>
      </c>
      <c r="C34" s="263">
        <f ca="1">IF(B1="",IF(F34=100%,'数据-取费表'!M16,'数据-取费表'!O16),IF(F34=100%,INDIRECT("'数据-取费表'!m"&amp;$G$1)+INDIRECT("'数据-取费表'!t"&amp;$G$1),INDIRECT("'数据-取费表'!o"&amp;$G$1)+INDIRECT("'数据-取费表'!aq"&amp;$G$1)))</f>
        <v>36749</v>
      </c>
      <c r="D34" s="260"/>
      <c r="E34" s="263"/>
      <c r="F34" s="300">
        <f ca="1">IF('数据-取费表'!B24=0,1,IF(B1="",'数据-取费表'!N16,INDIRECT("'数据-取费表'!n"&amp;$G$1)))</f>
        <v>0.99</v>
      </c>
      <c r="G34" s="262" t="s">
        <v>2345</v>
      </c>
    </row>
    <row r="35" spans="1:7" ht="13.5" customHeight="1">
      <c r="A35" s="950" t="s">
        <v>795</v>
      </c>
      <c r="B35" s="258" t="s">
        <v>2346</v>
      </c>
      <c r="C35" s="263">
        <f ca="1">ROUND(C34*F35,0)</f>
        <v>1837</v>
      </c>
      <c r="D35" s="263"/>
      <c r="E35" s="263"/>
      <c r="F35" s="302">
        <f>'数据-取费表'!B33</f>
        <v>0.05</v>
      </c>
      <c r="G35" s="262" t="s">
        <v>2347</v>
      </c>
    </row>
    <row r="36" spans="1:7" ht="24">
      <c r="A36" s="950" t="s">
        <v>796</v>
      </c>
      <c r="B36" s="258" t="s">
        <v>2348</v>
      </c>
      <c r="C36" s="263">
        <f ca="1">ROUND(IF(B1="",SUMIF('数据-取费表'!C:C,"住宅",IF(F34=100%,'数据-取费表'!M:M,'数据-取费表'!O:O))*F36,IF(INDIRECT("'数据-取费表'!c"&amp;$G$1)="住宅",IF(F34=100%,INDIRECT("'数据-取费表'!m"&amp;$G$1)*F36,INDIRECT("'数据-取费表'!o"&amp;$G$1)*F36),0)),0)</f>
        <v>2162</v>
      </c>
      <c r="D36" s="263"/>
      <c r="E36" s="263"/>
      <c r="F36" s="302">
        <f>'数据-取费表'!B34</f>
        <v>0.1</v>
      </c>
      <c r="G36" s="303" t="s">
        <v>2349</v>
      </c>
    </row>
    <row r="37" spans="1:7" s="301" customFormat="1" ht="13.5" customHeight="1">
      <c r="A37" s="950" t="s">
        <v>797</v>
      </c>
      <c r="B37" s="258" t="s">
        <v>2350</v>
      </c>
      <c r="C37" s="292">
        <f ca="1">ROUND(E37*D37*F34/10000,0)</f>
        <v>2450</v>
      </c>
      <c r="D37" s="260">
        <f ca="1">D19</f>
        <v>123740.26</v>
      </c>
      <c r="E37" s="292">
        <f>'数据-取费表'!B35</f>
        <v>200</v>
      </c>
      <c r="F37" s="302"/>
      <c r="G37" s="304" t="s">
        <v>2351</v>
      </c>
    </row>
    <row r="38" spans="1:7" ht="13.5" customHeight="1">
      <c r="A38" s="950" t="s">
        <v>798</v>
      </c>
      <c r="B38" s="258" t="s">
        <v>2352</v>
      </c>
      <c r="C38" s="263">
        <f ca="1">ROUND(C34*F38,0)</f>
        <v>551</v>
      </c>
      <c r="D38" s="263"/>
      <c r="E38" s="263"/>
      <c r="F38" s="302">
        <f>'数据-取费表'!B36</f>
        <v>1.4999999999999999E-2</v>
      </c>
      <c r="G38" s="262" t="s">
        <v>2347</v>
      </c>
    </row>
    <row r="39" spans="1:7" s="257" customFormat="1" ht="13.5" customHeight="1">
      <c r="A39" s="298" t="s">
        <v>2353</v>
      </c>
      <c r="B39" s="253" t="s">
        <v>2354</v>
      </c>
      <c r="C39" s="275">
        <f ca="1">ROUND(C33*F20,0)</f>
        <v>875</v>
      </c>
      <c r="D39" s="275"/>
      <c r="E39" s="275"/>
      <c r="F39" s="276"/>
      <c r="G39" s="277" t="s">
        <v>2355</v>
      </c>
    </row>
    <row r="40" spans="1:7" s="257" customFormat="1" ht="13.5" customHeight="1">
      <c r="A40" s="298" t="s">
        <v>2356</v>
      </c>
      <c r="B40" s="253" t="s">
        <v>2357</v>
      </c>
      <c r="C40" s="1726">
        <f>F21</f>
        <v>0.02</v>
      </c>
      <c r="D40" s="279" t="s">
        <v>2358</v>
      </c>
      <c r="E40" s="275"/>
      <c r="F40" s="276"/>
      <c r="G40" s="277" t="s">
        <v>2359</v>
      </c>
    </row>
    <row r="41" spans="1:7" s="257" customFormat="1" ht="13.5" customHeight="1">
      <c r="A41" s="298" t="s">
        <v>2360</v>
      </c>
      <c r="B41" s="253" t="s">
        <v>2361</v>
      </c>
      <c r="C41" s="275">
        <f ca="1">ROUND(SUM(C42:C43),0)</f>
        <v>2011</v>
      </c>
      <c r="D41" s="278">
        <f ca="1">C44</f>
        <v>8.9999999999999998E-4</v>
      </c>
      <c r="E41" s="279" t="s">
        <v>2358</v>
      </c>
      <c r="F41" s="280"/>
      <c r="G41" s="277" t="str">
        <f>IF('数据-取费表'!B22&lt;=1,"单利计息","复利计息")</f>
        <v>复利计息</v>
      </c>
    </row>
    <row r="42" spans="1:7" ht="13.5" customHeight="1">
      <c r="A42" s="950" t="s">
        <v>790</v>
      </c>
      <c r="B42" s="258" t="s">
        <v>2362</v>
      </c>
      <c r="C42" s="281">
        <f ca="1">ROUND(IF('数据-取费表'!B22&lt;=1,C33*F22*'数据-取费表'!B21/2,C33*(POWER((1+F22),'数据-取费表'!B21/2)-1)),0)</f>
        <v>1972</v>
      </c>
      <c r="D42" s="281"/>
      <c r="E42" s="281"/>
      <c r="F42" s="282"/>
      <c r="G42" s="3250" t="s">
        <v>2363</v>
      </c>
    </row>
    <row r="43" spans="1:7" ht="13.5" customHeight="1">
      <c r="A43" s="950" t="s">
        <v>791</v>
      </c>
      <c r="B43" s="258" t="s">
        <v>2364</v>
      </c>
      <c r="C43" s="281">
        <f ca="1">ROUND(IF('数据-取费表'!B22&lt;=1,C39*F22*'数据-取费表'!B21/2,C39*(POWER((1+F22),'数据-取费表'!B21/2)-1)),0)</f>
        <v>39</v>
      </c>
      <c r="D43" s="281"/>
      <c r="E43" s="281"/>
      <c r="F43" s="282"/>
      <c r="G43" s="3251"/>
    </row>
    <row r="44" spans="1:7" ht="13.5" customHeight="1">
      <c r="A44" s="950" t="s">
        <v>792</v>
      </c>
      <c r="B44" s="258" t="s">
        <v>2365</v>
      </c>
      <c r="C44" s="281">
        <f ca="1">ROUND(IF('数据-取费表'!B22&lt;=1,C40*F22*'数据-取费表'!B21/2,C40*(POWER((1+F22),'数据-取费表'!B21/2)-1)),4)</f>
        <v>8.9999999999999998E-4</v>
      </c>
      <c r="D44" s="281"/>
      <c r="E44" s="281"/>
      <c r="F44" s="282"/>
      <c r="G44" s="3252"/>
    </row>
    <row r="45" spans="1:7" s="257" customFormat="1" ht="13.5" customHeight="1">
      <c r="A45" s="298" t="s">
        <v>2366</v>
      </c>
      <c r="B45" s="287" t="s">
        <v>2332</v>
      </c>
      <c r="C45" s="288">
        <f ca="1">C46</f>
        <v>5801</v>
      </c>
      <c r="D45" s="278">
        <f ca="1">C47</f>
        <v>2.5999999999999999E-3</v>
      </c>
      <c r="E45" s="279" t="s">
        <v>2358</v>
      </c>
      <c r="F45" s="289"/>
      <c r="G45" s="290" t="s">
        <v>2367</v>
      </c>
    </row>
    <row r="46" spans="1:7" s="257" customFormat="1" ht="13.5" customHeight="1">
      <c r="A46" s="950" t="s">
        <v>790</v>
      </c>
      <c r="B46" s="291" t="s">
        <v>2368</v>
      </c>
      <c r="C46" s="292">
        <f ca="1">ROUND((C33+C39)*F27,0)</f>
        <v>5801</v>
      </c>
      <c r="D46" s="306"/>
      <c r="E46" s="279"/>
      <c r="F46" s="289"/>
      <c r="G46" s="290"/>
    </row>
    <row r="47" spans="1:7" s="257" customFormat="1" ht="13.5" customHeight="1">
      <c r="A47" s="950" t="s">
        <v>791</v>
      </c>
      <c r="B47" s="291" t="s">
        <v>2369</v>
      </c>
      <c r="C47" s="281">
        <f ca="1">ROUND(C40*F27,4)</f>
        <v>2.5999999999999999E-3</v>
      </c>
      <c r="D47" s="306"/>
      <c r="E47" s="279"/>
      <c r="F47" s="289"/>
      <c r="G47" s="290"/>
    </row>
    <row r="48" spans="1:7" s="257" customFormat="1" ht="13.5" customHeight="1">
      <c r="A48" s="298" t="s">
        <v>2331</v>
      </c>
      <c r="B48" s="253" t="s">
        <v>2370</v>
      </c>
      <c r="C48" s="1726">
        <f>ROUND(F30/(1+'数据-取费表'!C42),4)</f>
        <v>5.33E-2</v>
      </c>
      <c r="D48" s="279" t="s">
        <v>2358</v>
      </c>
      <c r="E48" s="275"/>
      <c r="F48" s="280"/>
      <c r="G48" s="277" t="s">
        <v>2371</v>
      </c>
    </row>
    <row r="49" spans="1:7" ht="16.5" customHeight="1">
      <c r="A49" s="298" t="s">
        <v>2337</v>
      </c>
      <c r="B49" s="253" t="s">
        <v>2372</v>
      </c>
      <c r="C49" s="275">
        <f ca="1">ROUND((C33+C39+C41+C45)/(1-C40-D41-D45-C48),0)</f>
        <v>56798</v>
      </c>
      <c r="D49" s="275"/>
      <c r="E49" s="275"/>
      <c r="F49" s="307"/>
      <c r="G49" s="277" t="s">
        <v>2373</v>
      </c>
    </row>
    <row r="50" spans="1:7" s="301" customFormat="1" ht="24">
      <c r="A50" s="298" t="s">
        <v>2374</v>
      </c>
      <c r="B50" s="253" t="s">
        <v>2375</v>
      </c>
      <c r="C50" s="275"/>
      <c r="D50" s="275"/>
      <c r="E50" s="275"/>
      <c r="F50" s="307">
        <f>IF('数据-取费表'!B24=0,'数据-取费表'!N16,1)</f>
        <v>1</v>
      </c>
      <c r="G50" s="290" t="s">
        <v>2376</v>
      </c>
    </row>
    <row r="51" spans="1:7" ht="16.5" customHeight="1">
      <c r="A51" s="298" t="s">
        <v>2377</v>
      </c>
      <c r="B51" s="253" t="s">
        <v>2378</v>
      </c>
      <c r="C51" s="275">
        <f ca="1">ROUND(C49*F50,0)</f>
        <v>56798</v>
      </c>
      <c r="D51" s="275"/>
      <c r="E51" s="275"/>
      <c r="F51" s="307"/>
      <c r="G51" s="277" t="s">
        <v>2379</v>
      </c>
    </row>
    <row r="52" spans="1:7" s="251" customFormat="1" ht="16.5" thickBot="1">
      <c r="A52" s="308" t="s">
        <v>2380</v>
      </c>
      <c r="B52" s="309"/>
      <c r="C52" s="310">
        <f ca="1">C31+C51</f>
        <v>460923</v>
      </c>
      <c r="D52" s="309"/>
      <c r="E52" s="309"/>
      <c r="F52" s="309"/>
      <c r="G52" s="311"/>
    </row>
    <row r="55" spans="1:7" ht="15">
      <c r="B55" s="313" t="s">
        <v>2381</v>
      </c>
      <c r="C55" s="314"/>
    </row>
    <row r="56" spans="1:7">
      <c r="B56" s="316" t="s">
        <v>1505</v>
      </c>
      <c r="C56" s="318">
        <f ca="1">1-C57</f>
        <v>0.877</v>
      </c>
    </row>
    <row r="57" spans="1:7">
      <c r="B57" s="316" t="s">
        <v>1506</v>
      </c>
      <c r="C57" s="317">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2280</v>
      </c>
      <c r="B1" s="1935"/>
      <c r="C1" s="2549" t="s">
        <v>2382</v>
      </c>
      <c r="D1" s="241"/>
      <c r="E1" s="241"/>
      <c r="F1" s="241"/>
      <c r="G1" s="1378">
        <f>MATCH(B1,'数据-取费表'!A6:A16,0)+5</f>
        <v>11</v>
      </c>
      <c r="H1" s="1281" t="str">
        <f>IF(ISERROR(FIND("住宅",B1)),"非住宅","住宅")</f>
        <v>非住宅</v>
      </c>
    </row>
    <row r="2" spans="1:8" s="243" customFormat="1" ht="18" customHeight="1">
      <c r="A2" s="244" t="s">
        <v>2281</v>
      </c>
      <c r="B2" s="245">
        <f ca="1">ROUND(IF(D2="——",C52/10000,C52/10000-E2),0)</f>
        <v>63813</v>
      </c>
      <c r="C2" s="242" t="s">
        <v>2282</v>
      </c>
      <c r="D2" s="2543" t="s">
        <v>70</v>
      </c>
      <c r="E2" s="1439" t="e">
        <f ca="1">SUMIF(INDIRECT("'"&amp;G2&amp;"'"&amp;"!A:A"),"承租人权益价值",INDIRECT("'"&amp;G2&amp;"'"&amp;"!c:c"))</f>
        <v>#REF!</v>
      </c>
      <c r="F2" s="2544" t="s">
        <v>2282</v>
      </c>
      <c r="G2" s="2545"/>
    </row>
    <row r="3" spans="1:8" s="243" customFormat="1" ht="18" customHeight="1" thickBot="1">
      <c r="A3" s="246" t="s">
        <v>2283</v>
      </c>
      <c r="B3" s="247">
        <f ca="1">ROUND(B2*10000/(IF(B1="",'数据-汇总表'!E3,INDIRECT("'数据-取费表'!k"&amp;$G$1))),0)</f>
        <v>5157</v>
      </c>
      <c r="C3" s="242" t="s">
        <v>2284</v>
      </c>
      <c r="D3" s="242"/>
      <c r="E3" s="242"/>
      <c r="F3" s="242"/>
      <c r="G3" s="242"/>
    </row>
    <row r="4" spans="1:8" s="251" customFormat="1" ht="15.75">
      <c r="A4" s="248" t="s">
        <v>2285</v>
      </c>
      <c r="B4" s="249"/>
      <c r="C4" s="249"/>
      <c r="D4" s="249"/>
      <c r="E4" s="249"/>
      <c r="F4" s="249"/>
      <c r="G4" s="250"/>
    </row>
    <row r="5" spans="1:8" s="257" customFormat="1" ht="13.5" customHeight="1">
      <c r="A5" s="298" t="s">
        <v>2286</v>
      </c>
      <c r="B5" s="253" t="s">
        <v>2287</v>
      </c>
      <c r="C5" s="254">
        <f ca="1">C6+C7+C8</f>
        <v>21835683</v>
      </c>
      <c r="D5" s="254" t="s">
        <v>2288</v>
      </c>
      <c r="E5" s="255" t="s">
        <v>2289</v>
      </c>
      <c r="F5" s="255" t="s">
        <v>2290</v>
      </c>
      <c r="G5" s="256"/>
    </row>
    <row r="6" spans="1:8" s="257" customFormat="1" ht="13.5" customHeight="1">
      <c r="A6" s="948" t="s">
        <v>2291</v>
      </c>
      <c r="B6" s="258" t="s">
        <v>2292</v>
      </c>
      <c r="C6" s="259"/>
      <c r="D6" s="260"/>
      <c r="E6" s="261"/>
      <c r="F6" s="261"/>
      <c r="G6" s="262"/>
    </row>
    <row r="7" spans="1:8" s="257" customFormat="1" ht="13.5" customHeight="1">
      <c r="A7" s="948" t="s">
        <v>2293</v>
      </c>
      <c r="B7" s="258" t="s">
        <v>2294</v>
      </c>
      <c r="C7" s="263">
        <f>ROUND(C6*F7,0)</f>
        <v>0</v>
      </c>
      <c r="D7" s="263"/>
      <c r="E7" s="261"/>
      <c r="F7" s="264">
        <f>'数据-取费表'!B48+'数据-取费表'!B49</f>
        <v>3.0499999999999999E-2</v>
      </c>
      <c r="G7" s="262"/>
    </row>
    <row r="8" spans="1:8" s="266" customFormat="1">
      <c r="A8" s="948" t="s">
        <v>2295</v>
      </c>
      <c r="B8" s="258" t="s">
        <v>2296</v>
      </c>
      <c r="C8" s="263">
        <f ca="1">IF(G8="已包含在土地购买价格中",0,C9+C10)</f>
        <v>21835683</v>
      </c>
      <c r="D8" s="265"/>
      <c r="E8" s="263"/>
      <c r="F8" s="264"/>
      <c r="G8" s="2546"/>
    </row>
    <row r="9" spans="1:8" s="257" customFormat="1" ht="13.5" customHeight="1">
      <c r="A9" s="949" t="s">
        <v>799</v>
      </c>
      <c r="B9" s="267" t="s">
        <v>2297</v>
      </c>
      <c r="C9" s="268">
        <f ca="1">ROUND(D9*E9,0)</f>
        <v>11649475</v>
      </c>
      <c r="D9" s="1031">
        <f ca="1">IF(B1="",'数据-汇总表'!E5,IF(INDIRECT("'数据-取费表'!c"&amp;$G$1)="住宅",INDIRECT("'数据-取费表'!k"&amp;$G$1),0))</f>
        <v>72809.22</v>
      </c>
      <c r="E9" s="268">
        <f>'数据-取费表'!B27</f>
        <v>160</v>
      </c>
      <c r="F9" s="264"/>
      <c r="G9" s="269"/>
    </row>
    <row r="10" spans="1:8" s="257" customFormat="1" ht="13.5" customHeight="1">
      <c r="A10" s="949" t="s">
        <v>800</v>
      </c>
      <c r="B10" s="267" t="s">
        <v>2299</v>
      </c>
      <c r="C10" s="268">
        <f ca="1">ROUND(D10*E10,0)</f>
        <v>10186208</v>
      </c>
      <c r="D10" s="1031">
        <f ca="1">IF(B1="",'数据-汇总表'!E6,IF(INDIRECT("'数据-取费表'!c"&amp;$G$1)="住宅",INDIRECT("'数据-取费表'!s"&amp;$G$1),INDIRECT("'数据-取费表'!k"&amp;$G$1)+INDIRECT("'数据-取费表'!s"&amp;$G$1)))</f>
        <v>50931.039999999994</v>
      </c>
      <c r="E10" s="268">
        <f>'数据-取费表'!B28</f>
        <v>200</v>
      </c>
      <c r="F10" s="264"/>
      <c r="G10" s="269"/>
    </row>
    <row r="11" spans="1:8" s="257" customFormat="1" ht="13.5" hidden="1" customHeight="1">
      <c r="A11" s="270" t="s">
        <v>7</v>
      </c>
      <c r="B11" s="258" t="s">
        <v>2300</v>
      </c>
      <c r="C11" s="254"/>
      <c r="D11" s="1033"/>
      <c r="E11" s="261"/>
      <c r="F11" s="261"/>
      <c r="G11" s="262"/>
    </row>
    <row r="12" spans="1:8" s="257" customFormat="1" ht="13.5" hidden="1" customHeight="1">
      <c r="A12" s="270" t="s">
        <v>8</v>
      </c>
      <c r="B12" s="258" t="s">
        <v>2383</v>
      </c>
      <c r="C12" s="254">
        <v>0</v>
      </c>
      <c r="D12" s="1033"/>
      <c r="E12" s="271"/>
      <c r="F12" s="264">
        <v>3.0499999999999999E-2</v>
      </c>
      <c r="G12" s="262"/>
    </row>
    <row r="13" spans="1:8" s="257" customFormat="1" ht="13.5" hidden="1" customHeight="1">
      <c r="A13" s="270" t="s">
        <v>9</v>
      </c>
      <c r="B13" s="258" t="s">
        <v>2384</v>
      </c>
      <c r="C13" s="254"/>
      <c r="D13" s="1033"/>
      <c r="E13" s="261"/>
      <c r="F13" s="261"/>
      <c r="G13" s="262"/>
    </row>
    <row r="14" spans="1:8" s="257" customFormat="1" ht="13.5" hidden="1" customHeight="1">
      <c r="A14" s="270" t="s">
        <v>10</v>
      </c>
      <c r="B14" s="258" t="s">
        <v>2296</v>
      </c>
      <c r="C14" s="254"/>
      <c r="D14" s="1033"/>
      <c r="E14" s="261"/>
      <c r="F14" s="261"/>
      <c r="G14" s="262" t="s">
        <v>2385</v>
      </c>
    </row>
    <row r="15" spans="1:8" s="257" customFormat="1" ht="13.5" hidden="1" customHeight="1">
      <c r="A15" s="270" t="s">
        <v>11</v>
      </c>
      <c r="B15" s="258" t="s">
        <v>2386</v>
      </c>
      <c r="C15" s="263"/>
      <c r="D15" s="1033"/>
      <c r="E15" s="261"/>
      <c r="F15" s="261"/>
      <c r="G15" s="262" t="s">
        <v>2387</v>
      </c>
    </row>
    <row r="16" spans="1:8" s="257" customFormat="1" ht="13.5" hidden="1" customHeight="1">
      <c r="A16" s="270" t="s">
        <v>12</v>
      </c>
      <c r="B16" s="258" t="s">
        <v>2296</v>
      </c>
      <c r="C16" s="263"/>
      <c r="D16" s="1033"/>
      <c r="E16" s="261"/>
      <c r="F16" s="261"/>
      <c r="G16" s="262"/>
    </row>
    <row r="17" spans="1:7" s="257" customFormat="1" ht="13.5" hidden="1" customHeight="1">
      <c r="A17" s="270" t="s">
        <v>13</v>
      </c>
      <c r="B17" s="258" t="s">
        <v>2388</v>
      </c>
      <c r="C17" s="272"/>
      <c r="D17" s="1034"/>
      <c r="E17" s="272"/>
      <c r="F17" s="272"/>
      <c r="G17" s="262" t="s">
        <v>2387</v>
      </c>
    </row>
    <row r="18" spans="1:7" s="257" customFormat="1" ht="13.5" hidden="1" customHeight="1">
      <c r="A18" s="270" t="s">
        <v>14</v>
      </c>
      <c r="B18" s="258" t="s">
        <v>2389</v>
      </c>
      <c r="C18" s="263">
        <v>0</v>
      </c>
      <c r="D18" s="1033"/>
      <c r="E18" s="261"/>
      <c r="F18" s="264">
        <v>3.0499999999999999E-2</v>
      </c>
      <c r="G18" s="262" t="s">
        <v>2390</v>
      </c>
    </row>
    <row r="19" spans="1:7" s="266" customFormat="1" ht="13.5" customHeight="1">
      <c r="A19" s="298" t="s">
        <v>2391</v>
      </c>
      <c r="B19" s="253" t="s">
        <v>2392</v>
      </c>
      <c r="C19" s="254">
        <f ca="1">IF(G19="已包含在土地取得成本中","0",ROUND(D19*E19,0))</f>
        <v>24748052</v>
      </c>
      <c r="D19" s="1035">
        <f ca="1">D9+D10</f>
        <v>123740.26</v>
      </c>
      <c r="E19" s="254">
        <f>'数据-取费表'!B31</f>
        <v>200</v>
      </c>
      <c r="F19" s="274"/>
      <c r="G19" s="2546"/>
    </row>
    <row r="20" spans="1:7" s="257" customFormat="1" ht="13.5" customHeight="1">
      <c r="A20" s="298" t="s">
        <v>2393</v>
      </c>
      <c r="B20" s="253" t="s">
        <v>2394</v>
      </c>
      <c r="C20" s="275">
        <f ca="1">ROUND((C5+C19)*F20,0)</f>
        <v>931675</v>
      </c>
      <c r="D20" s="275"/>
      <c r="E20" s="275"/>
      <c r="F20" s="276">
        <f>'数据-取费表'!B37</f>
        <v>0.02</v>
      </c>
      <c r="G20" s="277" t="s">
        <v>2395</v>
      </c>
    </row>
    <row r="21" spans="1:7" s="257" customFormat="1" ht="13.5" customHeight="1">
      <c r="A21" s="298" t="s">
        <v>2396</v>
      </c>
      <c r="B21" s="253" t="s">
        <v>2397</v>
      </c>
      <c r="C21" s="278">
        <f>F21</f>
        <v>0.02</v>
      </c>
      <c r="D21" s="279" t="s">
        <v>2398</v>
      </c>
      <c r="E21" s="275"/>
      <c r="F21" s="276">
        <f>'数据-取费表'!B38</f>
        <v>0.02</v>
      </c>
      <c r="G21" s="277" t="s">
        <v>2399</v>
      </c>
    </row>
    <row r="22" spans="1:7" s="257" customFormat="1" ht="13.5" customHeight="1">
      <c r="A22" s="298" t="s">
        <v>2400</v>
      </c>
      <c r="B22" s="253" t="s">
        <v>2401</v>
      </c>
      <c r="C22" s="1379">
        <f ca="1">ROUND(SUM(C23:C25),0)</f>
        <v>4574815</v>
      </c>
      <c r="D22" s="278">
        <f ca="1">C26</f>
        <v>1E-3</v>
      </c>
      <c r="E22" s="279" t="s">
        <v>2398</v>
      </c>
      <c r="F22" s="280">
        <f ca="1">'数据-取费表'!B40</f>
        <v>4.7500000000000001E-2</v>
      </c>
      <c r="G22" s="277" t="str">
        <f>IF('数据-取费表'!B22&lt;=1,"单利计息","复利计息")</f>
        <v>复利计息</v>
      </c>
    </row>
    <row r="23" spans="1:7" s="257" customFormat="1" ht="13.5" customHeight="1">
      <c r="A23" s="950" t="s">
        <v>2291</v>
      </c>
      <c r="B23" s="258" t="s">
        <v>2402</v>
      </c>
      <c r="C23" s="1380">
        <f ca="1">ROUND(IF('数据-取费表'!B22&lt;=1,C5*F22*'数据-取费表'!B22,C5*(POWER((1+F22),'数据-取费表'!B22)-1)),0)</f>
        <v>2123657</v>
      </c>
      <c r="D23" s="281"/>
      <c r="E23" s="281"/>
      <c r="F23" s="282"/>
      <c r="G23" s="283" t="s">
        <v>2403</v>
      </c>
    </row>
    <row r="24" spans="1:7" s="257" customFormat="1" ht="13.5" customHeight="1">
      <c r="A24" s="950" t="s">
        <v>2293</v>
      </c>
      <c r="B24" s="258" t="s">
        <v>2404</v>
      </c>
      <c r="C24" s="1380">
        <f ca="1">ROUND(IF('数据-取费表'!B22&lt;=1,C19*F22*('数据-取费表'!B19/2+'数据-取费表'!B20),C19*(POWER((1+F22),('数据-取费表'!B19/2+'数据-取费表'!B20))-1)),0)</f>
        <v>2406903</v>
      </c>
      <c r="D24" s="281"/>
      <c r="E24" s="281"/>
      <c r="F24" s="282"/>
      <c r="G24" s="283" t="s">
        <v>2405</v>
      </c>
    </row>
    <row r="25" spans="1:7" s="257" customFormat="1" ht="24">
      <c r="A25" s="950" t="s">
        <v>2295</v>
      </c>
      <c r="B25" s="258" t="s">
        <v>2406</v>
      </c>
      <c r="C25" s="1380">
        <f ca="1">ROUND(IF('数据-取费表'!B22&lt;=1,C20*F22*'数据-取费表'!B22/2,C20*(POWER((1+F22),'数据-取费表'!B22/2)-1)),0)</f>
        <v>44255</v>
      </c>
      <c r="D25" s="281"/>
      <c r="E25" s="284"/>
      <c r="F25" s="282"/>
      <c r="G25" s="285" t="s">
        <v>2407</v>
      </c>
    </row>
    <row r="26" spans="1:7" s="257" customFormat="1">
      <c r="A26" s="950" t="s">
        <v>794</v>
      </c>
      <c r="B26" s="258" t="s">
        <v>2330</v>
      </c>
      <c r="C26" s="281">
        <f ca="1">ROUND(IF('数据-取费表'!B22&lt;=1,F21*F22*'数据-取费表'!B22/2,F21*(POWER((1+F22),'数据-取费表'!B22/2)-1)),4)</f>
        <v>1E-3</v>
      </c>
      <c r="D26" s="281"/>
      <c r="E26" s="284"/>
      <c r="F26" s="282"/>
      <c r="G26" s="286"/>
    </row>
    <row r="27" spans="1:7" s="257" customFormat="1" ht="24.75">
      <c r="A27" s="298" t="s">
        <v>2331</v>
      </c>
      <c r="B27" s="287" t="s">
        <v>2332</v>
      </c>
      <c r="C27" s="288">
        <f ca="1">C28</f>
        <v>6177003</v>
      </c>
      <c r="D27" s="278">
        <f ca="1">C29</f>
        <v>2.5999999999999999E-3</v>
      </c>
      <c r="E27" s="279" t="s">
        <v>2333</v>
      </c>
      <c r="F27" s="289">
        <f ca="1">IF(B1="",'数据-取费表'!Q16,INDIRECT("'数据-取费表'!q"&amp;$G$1))</f>
        <v>0.13</v>
      </c>
      <c r="G27" s="290" t="s">
        <v>2334</v>
      </c>
    </row>
    <row r="28" spans="1:7" s="257" customFormat="1" ht="13.5" customHeight="1">
      <c r="A28" s="950" t="s">
        <v>790</v>
      </c>
      <c r="B28" s="291" t="s">
        <v>2335</v>
      </c>
      <c r="C28" s="292">
        <f ca="1">ROUND((C5+C19+C20)*F27,0)</f>
        <v>6177003</v>
      </c>
      <c r="D28" s="278"/>
      <c r="E28" s="279"/>
      <c r="F28" s="289"/>
      <c r="G28" s="290"/>
    </row>
    <row r="29" spans="1:7" s="257" customFormat="1" ht="13.5" customHeight="1">
      <c r="A29" s="950" t="s">
        <v>791</v>
      </c>
      <c r="B29" s="291" t="s">
        <v>2336</v>
      </c>
      <c r="C29" s="281">
        <f ca="1">ROUND(C21*F27,4)</f>
        <v>2.5999999999999999E-3</v>
      </c>
      <c r="D29" s="278"/>
      <c r="E29" s="279"/>
      <c r="F29" s="289"/>
      <c r="G29" s="290"/>
    </row>
    <row r="30" spans="1:7" s="257" customFormat="1" ht="13.5" customHeight="1">
      <c r="A30" s="298" t="s">
        <v>2337</v>
      </c>
      <c r="B30" s="253" t="s">
        <v>2338</v>
      </c>
      <c r="C30" s="278">
        <f>ROUND(F30/(1+'数据-取费表'!C42),4)</f>
        <v>5.33E-2</v>
      </c>
      <c r="D30" s="279" t="s">
        <v>2333</v>
      </c>
      <c r="E30" s="284"/>
      <c r="F30" s="280">
        <f>'数据-取费表'!B41</f>
        <v>5.6000000000000001E-2</v>
      </c>
      <c r="G30" s="277" t="s">
        <v>2339</v>
      </c>
    </row>
    <row r="31" spans="1:7" ht="16.5" customHeight="1">
      <c r="A31" s="252">
        <v>1</v>
      </c>
      <c r="B31" s="253" t="s">
        <v>2340</v>
      </c>
      <c r="C31" s="254">
        <f ca="1">ROUND((C5+C19+C20+C22+C27)/(1-C21-D22-D27-C30),0)</f>
        <v>63121252</v>
      </c>
      <c r="D31" s="273"/>
      <c r="E31" s="254"/>
      <c r="F31" s="293"/>
      <c r="G31" s="277" t="s">
        <v>2341</v>
      </c>
    </row>
    <row r="32" spans="1:7" s="251" customFormat="1" ht="15.75">
      <c r="A32" s="295" t="s">
        <v>2408</v>
      </c>
      <c r="B32" s="296"/>
      <c r="C32" s="296"/>
      <c r="D32" s="296"/>
      <c r="E32" s="296"/>
      <c r="F32" s="296"/>
      <c r="G32" s="297"/>
    </row>
    <row r="33" spans="1:7" s="257" customFormat="1" ht="13.5" customHeight="1">
      <c r="A33" s="298" t="s">
        <v>781</v>
      </c>
      <c r="B33" s="253" t="s">
        <v>2409</v>
      </c>
      <c r="C33" s="299">
        <f ca="1">SUM(C34:C38)</f>
        <v>441940949</v>
      </c>
      <c r="D33" s="275"/>
      <c r="E33" s="255"/>
      <c r="F33" s="284"/>
      <c r="G33" s="277"/>
    </row>
    <row r="34" spans="1:7" s="301" customFormat="1" ht="13.5" customHeight="1">
      <c r="A34" s="950" t="s">
        <v>790</v>
      </c>
      <c r="B34" s="258" t="s">
        <v>2344</v>
      </c>
      <c r="C34" s="263">
        <f ca="1">ROUND(IF(B1="",SUMPRODUCT('数据-取费表'!K6:K14,'数据-取费表'!L6:L14),INDIRECT("'数据-取费表'!l"&amp;$G$1)*INDIRECT("'数据-取费表'!k"&amp;$G$1)+'数据-取费表'!L14*INDIRECT("'数据-取费表'!S"&amp;$G$1)),0)</f>
        <v>371220780</v>
      </c>
      <c r="D34" s="260"/>
      <c r="E34" s="263"/>
      <c r="F34" s="300"/>
      <c r="G34" s="262"/>
    </row>
    <row r="35" spans="1:7" ht="13.5" customHeight="1">
      <c r="A35" s="950" t="s">
        <v>795</v>
      </c>
      <c r="B35" s="258" t="s">
        <v>2346</v>
      </c>
      <c r="C35" s="263">
        <f ca="1">ROUND(C34*F35,0)</f>
        <v>18561039</v>
      </c>
      <c r="D35" s="263"/>
      <c r="E35" s="263"/>
      <c r="F35" s="302">
        <f>'数据-取费表'!B33</f>
        <v>0.05</v>
      </c>
      <c r="G35" s="262" t="s">
        <v>2347</v>
      </c>
    </row>
    <row r="36" spans="1:7" ht="24">
      <c r="A36" s="950" t="s">
        <v>796</v>
      </c>
      <c r="B36" s="258" t="s">
        <v>2348</v>
      </c>
      <c r="C36" s="263">
        <f ca="1">ROUND(IF(B1="",SUM('数据-取费表'!AP6:AP13)*F36,IF(INDIRECT("'数据-取费表'!c"&amp;$G$1)="住宅",INDIRECT("'数据-取费表'!k"&amp;$G$1)*INDIRECT("'数据-取费表'!l"&amp;$G$1)*F36,0)),0)</f>
        <v>21842766</v>
      </c>
      <c r="D36" s="263"/>
      <c r="E36" s="263"/>
      <c r="F36" s="302">
        <f>'数据-取费表'!B34</f>
        <v>0.1</v>
      </c>
      <c r="G36" s="303" t="s">
        <v>2349</v>
      </c>
    </row>
    <row r="37" spans="1:7" s="301" customFormat="1" ht="13.5" customHeight="1">
      <c r="A37" s="950" t="s">
        <v>797</v>
      </c>
      <c r="B37" s="258" t="s">
        <v>2350</v>
      </c>
      <c r="C37" s="292">
        <f ca="1">ROUND(E37*D37,0)</f>
        <v>24748052</v>
      </c>
      <c r="D37" s="260">
        <f ca="1">D19</f>
        <v>123740.26</v>
      </c>
      <c r="E37" s="292">
        <f>'数据-取费表'!B35</f>
        <v>200</v>
      </c>
      <c r="F37" s="302"/>
      <c r="G37" s="304"/>
    </row>
    <row r="38" spans="1:7" ht="13.5" customHeight="1">
      <c r="A38" s="950" t="s">
        <v>798</v>
      </c>
      <c r="B38" s="258" t="s">
        <v>2352</v>
      </c>
      <c r="C38" s="263">
        <f ca="1">ROUND(C34*F38,0)</f>
        <v>5568312</v>
      </c>
      <c r="D38" s="263"/>
      <c r="E38" s="263"/>
      <c r="F38" s="302">
        <f>'数据-取费表'!B36</f>
        <v>1.4999999999999999E-2</v>
      </c>
      <c r="G38" s="262" t="s">
        <v>2347</v>
      </c>
    </row>
    <row r="39" spans="1:7" s="257" customFormat="1" ht="13.5" customHeight="1">
      <c r="A39" s="298" t="s">
        <v>2353</v>
      </c>
      <c r="B39" s="253" t="s">
        <v>2354</v>
      </c>
      <c r="C39" s="275">
        <f ca="1">ROUND(C33*F20,0)</f>
        <v>8838819</v>
      </c>
      <c r="D39" s="275"/>
      <c r="E39" s="275"/>
      <c r="F39" s="276"/>
      <c r="G39" s="277" t="s">
        <v>2355</v>
      </c>
    </row>
    <row r="40" spans="1:7" s="257" customFormat="1" ht="13.5" customHeight="1">
      <c r="A40" s="298" t="s">
        <v>2356</v>
      </c>
      <c r="B40" s="253" t="s">
        <v>2357</v>
      </c>
      <c r="C40" s="1726">
        <f>F21</f>
        <v>0.02</v>
      </c>
      <c r="D40" s="279" t="s">
        <v>2358</v>
      </c>
      <c r="E40" s="275"/>
      <c r="F40" s="276"/>
      <c r="G40" s="277" t="s">
        <v>2359</v>
      </c>
    </row>
    <row r="41" spans="1:7" s="257" customFormat="1" ht="13.5" customHeight="1">
      <c r="A41" s="298" t="s">
        <v>2360</v>
      </c>
      <c r="B41" s="253" t="s">
        <v>2361</v>
      </c>
      <c r="C41" s="275">
        <f ca="1">ROUND(SUM(C42:C43),0)</f>
        <v>21412039</v>
      </c>
      <c r="D41" s="278">
        <f ca="1">C44</f>
        <v>1E-3</v>
      </c>
      <c r="E41" s="279" t="s">
        <v>2358</v>
      </c>
      <c r="F41" s="280"/>
      <c r="G41" s="277" t="str">
        <f>IF('数据-取费表'!B22&lt;=1,"单利计息","复利计息")</f>
        <v>复利计息</v>
      </c>
    </row>
    <row r="42" spans="1:7" ht="13.5" customHeight="1">
      <c r="A42" s="950" t="s">
        <v>790</v>
      </c>
      <c r="B42" s="258" t="s">
        <v>2362</v>
      </c>
      <c r="C42" s="281">
        <f ca="1">ROUND(IF('数据-取费表'!B22&lt;=1,C33*F22*'数据-取费表'!B20/2,C33*(POWER((1+F22),'数据-取费表'!B20/2)-1)),0)</f>
        <v>20992195</v>
      </c>
      <c r="D42" s="281"/>
      <c r="E42" s="281"/>
      <c r="F42" s="282"/>
      <c r="G42" s="3250" t="s">
        <v>2410</v>
      </c>
    </row>
    <row r="43" spans="1:7" ht="13.5" customHeight="1">
      <c r="A43" s="950" t="s">
        <v>791</v>
      </c>
      <c r="B43" s="258" t="s">
        <v>2364</v>
      </c>
      <c r="C43" s="281">
        <f ca="1">ROUND(IF('数据-取费表'!B22&lt;=1,C39*F22*'数据-取费表'!B20/2,C39*(POWER((1+F22),'数据-取费表'!B20/2)-1)),0)</f>
        <v>419844</v>
      </c>
      <c r="D43" s="281"/>
      <c r="E43" s="281"/>
      <c r="F43" s="282"/>
      <c r="G43" s="3251"/>
    </row>
    <row r="44" spans="1:7" ht="13.5" customHeight="1">
      <c r="A44" s="950" t="s">
        <v>792</v>
      </c>
      <c r="B44" s="258" t="s">
        <v>2365</v>
      </c>
      <c r="C44" s="281">
        <f ca="1">ROUND(IF('数据-取费表'!B22&lt;=1,C40*F22*'数据-取费表'!B20/2,C40*(POWER((1+F22),'数据-取费表'!B20/2)-1)),4)</f>
        <v>1E-3</v>
      </c>
      <c r="D44" s="281"/>
      <c r="E44" s="281"/>
      <c r="F44" s="282"/>
      <c r="G44" s="3252"/>
    </row>
    <row r="45" spans="1:7" s="257" customFormat="1" ht="13.5" customHeight="1">
      <c r="A45" s="298" t="s">
        <v>2366</v>
      </c>
      <c r="B45" s="287" t="s">
        <v>2332</v>
      </c>
      <c r="C45" s="288">
        <f ca="1">C46</f>
        <v>58601370</v>
      </c>
      <c r="D45" s="278">
        <f ca="1">C47</f>
        <v>2.5999999999999999E-3</v>
      </c>
      <c r="E45" s="279" t="s">
        <v>2358</v>
      </c>
      <c r="F45" s="289"/>
      <c r="G45" s="290" t="s">
        <v>2367</v>
      </c>
    </row>
    <row r="46" spans="1:7" s="257" customFormat="1" ht="13.5" customHeight="1">
      <c r="A46" s="950" t="s">
        <v>790</v>
      </c>
      <c r="B46" s="291" t="s">
        <v>2368</v>
      </c>
      <c r="C46" s="292">
        <f ca="1">ROUND((C33+C39)*F27,0)</f>
        <v>58601370</v>
      </c>
      <c r="D46" s="306"/>
      <c r="E46" s="279"/>
      <c r="F46" s="289"/>
      <c r="G46" s="290"/>
    </row>
    <row r="47" spans="1:7" s="257" customFormat="1" ht="13.5" customHeight="1">
      <c r="A47" s="950" t="s">
        <v>791</v>
      </c>
      <c r="B47" s="291" t="s">
        <v>2369</v>
      </c>
      <c r="C47" s="281">
        <f ca="1">ROUND(C40*F27,4)</f>
        <v>2.5999999999999999E-3</v>
      </c>
      <c r="D47" s="306"/>
      <c r="E47" s="279"/>
      <c r="F47" s="289"/>
      <c r="G47" s="290"/>
    </row>
    <row r="48" spans="1:7" s="257" customFormat="1" ht="13.5" customHeight="1">
      <c r="A48" s="298" t="s">
        <v>2331</v>
      </c>
      <c r="B48" s="253" t="s">
        <v>2370</v>
      </c>
      <c r="C48" s="305">
        <f>ROUND(F30/(1+'数据-取费表'!C42),4)</f>
        <v>5.33E-2</v>
      </c>
      <c r="D48" s="279" t="s">
        <v>2358</v>
      </c>
      <c r="E48" s="275"/>
      <c r="F48" s="280"/>
      <c r="G48" s="277" t="s">
        <v>2371</v>
      </c>
    </row>
    <row r="49" spans="1:7" ht="16.5" customHeight="1">
      <c r="A49" s="298" t="s">
        <v>2337</v>
      </c>
      <c r="B49" s="253" t="s">
        <v>2411</v>
      </c>
      <c r="C49" s="275">
        <f ca="1">ROUND((C33+C39+C41+C45)/(1-C40-D41-D45-C48),0)</f>
        <v>575011566</v>
      </c>
      <c r="D49" s="275"/>
      <c r="E49" s="275"/>
      <c r="F49" s="307"/>
      <c r="G49" s="277" t="s">
        <v>2373</v>
      </c>
    </row>
    <row r="50" spans="1:7" s="301" customFormat="1">
      <c r="A50" s="298" t="s">
        <v>2374</v>
      </c>
      <c r="B50" s="253" t="s">
        <v>2375</v>
      </c>
      <c r="C50" s="275"/>
      <c r="D50" s="275"/>
      <c r="E50" s="275"/>
      <c r="F50" s="307">
        <f>IF('数据-取费表'!B24=0,'数据-取费表'!N16,1)</f>
        <v>1</v>
      </c>
      <c r="G50" s="290"/>
    </row>
    <row r="51" spans="1:7" ht="16.5" customHeight="1">
      <c r="A51" s="298" t="s">
        <v>2377</v>
      </c>
      <c r="B51" s="253" t="s">
        <v>2412</v>
      </c>
      <c r="C51" s="275">
        <f ca="1">ROUND(C49*F50,0)</f>
        <v>575011566</v>
      </c>
      <c r="D51" s="275"/>
      <c r="E51" s="275"/>
      <c r="F51" s="307"/>
      <c r="G51" s="277" t="s">
        <v>2379</v>
      </c>
    </row>
    <row r="52" spans="1:7" s="251" customFormat="1" ht="16.5" thickBot="1">
      <c r="A52" s="308" t="s">
        <v>2380</v>
      </c>
      <c r="B52" s="309"/>
      <c r="C52" s="310">
        <f ca="1">C31+C51</f>
        <v>638132818</v>
      </c>
      <c r="D52" s="309"/>
      <c r="E52" s="309"/>
      <c r="F52" s="309"/>
      <c r="G52" s="311"/>
    </row>
    <row r="55" spans="1:7" ht="15">
      <c r="B55" s="313" t="s">
        <v>2381</v>
      </c>
      <c r="C55" s="314"/>
    </row>
    <row r="56" spans="1:7">
      <c r="B56" s="316" t="s">
        <v>1505</v>
      </c>
      <c r="C56" s="318">
        <f ca="1">1-C57</f>
        <v>9.8999999999999977E-2</v>
      </c>
    </row>
    <row r="57" spans="1:7">
      <c r="B57" s="316" t="s">
        <v>1506</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R7" sqref="R7"/>
    </sheetView>
  </sheetViews>
  <sheetFormatPr defaultColWidth="6.625" defaultRowHeight="12.75"/>
  <cols>
    <col min="1" max="1" width="9.75" style="797" customWidth="1"/>
    <col min="2" max="2" width="25.75" style="951" customWidth="1"/>
    <col min="3" max="3" width="12.625" style="994" customWidth="1"/>
    <col min="4" max="4" width="12.5" style="951" customWidth="1"/>
    <col min="5" max="5" width="16.25" style="797" customWidth="1"/>
    <col min="6" max="6" width="12.25" style="951" customWidth="1"/>
    <col min="7" max="7" width="16.12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2413</v>
      </c>
      <c r="B1" s="1579"/>
      <c r="C1" s="1580"/>
      <c r="D1" s="1578"/>
      <c r="E1" s="319"/>
      <c r="F1" s="319"/>
      <c r="G1" s="1579"/>
      <c r="H1" s="319"/>
      <c r="I1" s="319"/>
      <c r="J1" s="319"/>
      <c r="K1" s="319">
        <f>MATCH(C1,'数据-取费表'!A6:A16,0)+5</f>
        <v>11</v>
      </c>
    </row>
    <row r="2" spans="1:33" ht="18" customHeight="1">
      <c r="A2" s="244" t="s">
        <v>2281</v>
      </c>
      <c r="B2" s="247">
        <f ca="1">C32</f>
        <v>469710</v>
      </c>
      <c r="C2" s="319" t="s">
        <v>2414</v>
      </c>
      <c r="D2" s="319"/>
      <c r="E2" s="319"/>
      <c r="F2" s="319"/>
      <c r="G2" s="319"/>
      <c r="H2" s="319"/>
      <c r="I2" s="319"/>
      <c r="J2" s="319"/>
      <c r="K2" s="319"/>
    </row>
    <row r="3" spans="1:33" ht="18" customHeight="1" thickBot="1">
      <c r="A3" s="246" t="s">
        <v>2283</v>
      </c>
      <c r="B3" s="247">
        <f ca="1">ROUND(B2*10000/IF(C1="",'数据-汇总表'!E3,INDIRECT("'数据-取费表'!K"&amp;$K$1)),0)</f>
        <v>37959</v>
      </c>
      <c r="C3" s="319" t="s">
        <v>2415</v>
      </c>
      <c r="D3" s="319"/>
      <c r="E3" s="319"/>
      <c r="F3" s="319"/>
      <c r="G3" s="319"/>
      <c r="H3" s="319"/>
      <c r="I3" s="319"/>
      <c r="J3" s="319"/>
      <c r="K3" s="319"/>
    </row>
    <row r="4" spans="1:33" s="955" customFormat="1" ht="16.5" customHeight="1">
      <c r="A4" s="952" t="s">
        <v>2416</v>
      </c>
      <c r="B4" s="953"/>
      <c r="C4" s="995">
        <f ca="1">SUM(C8:K8)</f>
        <v>516932</v>
      </c>
      <c r="D4" s="953"/>
      <c r="E4" s="953"/>
      <c r="F4" s="953"/>
      <c r="G4" s="953"/>
      <c r="H4" s="953"/>
      <c r="I4" s="953"/>
      <c r="J4" s="953"/>
      <c r="K4" s="954"/>
    </row>
    <row r="5" spans="1:33" s="959" customFormat="1" ht="21" customHeight="1">
      <c r="A5" s="956" t="s">
        <v>2417</v>
      </c>
      <c r="B5" s="957" t="s">
        <v>2418</v>
      </c>
      <c r="C5" s="2550" t="s">
        <v>3004</v>
      </c>
      <c r="D5" s="2550" t="s">
        <v>3006</v>
      </c>
      <c r="E5" s="3351" t="s">
        <v>3421</v>
      </c>
      <c r="F5" s="3351" t="s">
        <v>3422</v>
      </c>
      <c r="G5" s="3351" t="s">
        <v>3423</v>
      </c>
      <c r="H5" s="2550"/>
      <c r="I5" s="2550"/>
      <c r="J5" s="2550"/>
      <c r="K5" s="2550"/>
      <c r="L5" s="958"/>
      <c r="M5" s="3349" t="s">
        <v>3419</v>
      </c>
      <c r="N5" s="2550" t="s">
        <v>3004</v>
      </c>
      <c r="O5" s="2550" t="s">
        <v>3006</v>
      </c>
      <c r="P5" s="2550" t="s">
        <v>3043</v>
      </c>
      <c r="Q5" s="2550" t="s">
        <v>3002</v>
      </c>
      <c r="R5" s="2550" t="s">
        <v>3041</v>
      </c>
      <c r="S5" s="958"/>
      <c r="T5" s="958"/>
      <c r="U5" s="958"/>
      <c r="V5" s="958"/>
      <c r="W5" s="958"/>
      <c r="X5" s="958"/>
      <c r="Y5" s="958"/>
      <c r="Z5" s="958"/>
      <c r="AA5" s="958"/>
      <c r="AB5" s="958"/>
      <c r="AC5" s="958"/>
      <c r="AD5" s="958"/>
      <c r="AE5" s="958"/>
      <c r="AF5" s="958"/>
      <c r="AG5" s="958"/>
    </row>
    <row r="6" spans="1:33" s="964" customFormat="1" ht="13.5" customHeight="1">
      <c r="A6" s="960" t="s">
        <v>801</v>
      </c>
      <c r="B6" s="139" t="s">
        <v>2419</v>
      </c>
      <c r="C6" s="961">
        <f>'比较法-平层住宅'!B3</f>
        <v>56816</v>
      </c>
      <c r="D6" s="961">
        <f>'比较法-叠拼住宅'!B3</f>
        <v>77399</v>
      </c>
      <c r="E6" s="961">
        <f ca="1">'收益法-地下普通仓储'!B3</f>
        <v>21212</v>
      </c>
      <c r="F6" s="961">
        <f>'比较法-车位'!B3</f>
        <v>4000</v>
      </c>
      <c r="G6" s="961">
        <f ca="1">'收益法-地下叠拼仓储'!B3</f>
        <v>24518</v>
      </c>
      <c r="H6" s="961"/>
      <c r="I6" s="961"/>
      <c r="J6" s="961"/>
      <c r="K6" s="962"/>
      <c r="L6" s="3016"/>
      <c r="M6" s="797">
        <f ca="1">结果表!H118</f>
        <v>465317</v>
      </c>
      <c r="N6" s="963">
        <f ca="1">ROUND(C8/$C$4*$M$6,0)</f>
        <v>252347</v>
      </c>
      <c r="O6" s="963">
        <f t="shared" ref="O6:R6" ca="1" si="0">ROUND(D8/$C$4*$M$6,0)</f>
        <v>163503</v>
      </c>
      <c r="P6" s="963">
        <f t="shared" ca="1" si="0"/>
        <v>10002</v>
      </c>
      <c r="Q6" s="963">
        <f t="shared" ca="1" si="0"/>
        <v>11003</v>
      </c>
      <c r="R6" s="963">
        <f ca="1">M6-N6-O6-P6-Q6</f>
        <v>28462</v>
      </c>
      <c r="S6" s="963"/>
      <c r="T6" s="963"/>
      <c r="U6" s="963"/>
      <c r="V6" s="963"/>
      <c r="W6" s="963"/>
      <c r="X6" s="963"/>
      <c r="Y6" s="963"/>
      <c r="Z6" s="963"/>
      <c r="AA6" s="963"/>
      <c r="AB6" s="963"/>
      <c r="AC6" s="963"/>
      <c r="AD6" s="963"/>
      <c r="AE6" s="963"/>
      <c r="AF6" s="963"/>
      <c r="AG6" s="963"/>
    </row>
    <row r="7" spans="1:33" s="964" customFormat="1" ht="13.5" customHeight="1">
      <c r="A7" s="960" t="s">
        <v>2420</v>
      </c>
      <c r="B7" s="139" t="s">
        <v>2421</v>
      </c>
      <c r="C7" s="320">
        <f>SUMIF('数据-汇总表'!$C19:$C33,假设开发法!C5,'数据-汇总表'!$E19:$E33)</f>
        <v>49341.37</v>
      </c>
      <c r="D7" s="320">
        <f>SUMIF('数据-汇总表'!$C19:$C33,假设开发法!D5,'数据-汇总表'!$E19:$E33)</f>
        <v>23467.85</v>
      </c>
      <c r="E7" s="320">
        <f>SUMIF('数据-汇总表'!$C19:$C33,假设开发法!E5,'数据-汇总表'!$E19:$E33)</f>
        <v>5238.1899999999996</v>
      </c>
      <c r="F7" s="320">
        <f>SUMIF('数据-汇总表'!$C19:$C33,假设开发法!F5,'数据-汇总表'!$E19:$E33)</f>
        <v>30558.489999999998</v>
      </c>
      <c r="G7" s="320">
        <f>SUMIF('数据-汇总表'!$C19:$C33,假设开发法!G5,'数据-汇总表'!$E19:$E33)</f>
        <v>12896.4</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3350" t="s">
        <v>3420</v>
      </c>
      <c r="N7" s="963">
        <f ca="1">ROUND(N6/C7*10000,0)</f>
        <v>51143</v>
      </c>
      <c r="O7" s="963">
        <f t="shared" ref="O7:R7" ca="1" si="1">ROUND(O6/D7*10000,0)</f>
        <v>69671</v>
      </c>
      <c r="P7" s="963">
        <f t="shared" ca="1" si="1"/>
        <v>19094</v>
      </c>
      <c r="Q7" s="963">
        <f t="shared" ca="1" si="1"/>
        <v>3601</v>
      </c>
      <c r="R7" s="963">
        <f t="shared" ca="1" si="1"/>
        <v>22070</v>
      </c>
      <c r="S7" s="963"/>
      <c r="T7" s="963"/>
      <c r="U7" s="963"/>
      <c r="V7" s="963"/>
      <c r="W7" s="963"/>
      <c r="X7" s="963"/>
      <c r="Y7" s="963"/>
      <c r="Z7" s="963"/>
      <c r="AA7" s="963"/>
      <c r="AB7" s="963"/>
      <c r="AC7" s="963"/>
      <c r="AD7" s="963"/>
      <c r="AE7" s="963"/>
      <c r="AF7" s="963"/>
      <c r="AG7" s="963"/>
    </row>
    <row r="8" spans="1:33" s="964" customFormat="1" ht="13.5" customHeight="1" thickBot="1">
      <c r="A8" s="2551" t="s">
        <v>2422</v>
      </c>
      <c r="B8" s="176" t="s">
        <v>2423</v>
      </c>
      <c r="C8" s="996">
        <f>'比较法-平层住宅'!B2</f>
        <v>280338</v>
      </c>
      <c r="D8" s="996">
        <f>'比较法-叠拼住宅'!B2</f>
        <v>181639</v>
      </c>
      <c r="E8" s="996">
        <f ca="1">'收益法-地下普通仓储'!B2</f>
        <v>11111</v>
      </c>
      <c r="F8" s="997">
        <f>'比较法-车位'!B2</f>
        <v>12224</v>
      </c>
      <c r="G8" s="997">
        <f ca="1">'收益法-地下叠拼仓储'!B2</f>
        <v>31620</v>
      </c>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2424</v>
      </c>
      <c r="B9" s="953"/>
      <c r="C9" s="953"/>
      <c r="D9" s="953"/>
      <c r="E9" s="953"/>
      <c r="F9" s="953"/>
      <c r="G9" s="953"/>
      <c r="H9" s="953"/>
      <c r="I9" s="953"/>
      <c r="J9" s="953"/>
      <c r="K9" s="954"/>
    </row>
    <row r="10" spans="1:33" s="969" customFormat="1" ht="13.5" customHeight="1">
      <c r="A10" s="956" t="s">
        <v>2425</v>
      </c>
      <c r="B10" s="8" t="s">
        <v>2426</v>
      </c>
      <c r="C10" s="965" t="s">
        <v>2427</v>
      </c>
      <c r="D10" s="966" t="s">
        <v>2428</v>
      </c>
      <c r="E10" s="966" t="s">
        <v>2429</v>
      </c>
      <c r="F10" s="966" t="s">
        <v>2430</v>
      </c>
      <c r="G10" s="8"/>
      <c r="H10" s="967"/>
      <c r="I10" s="967"/>
      <c r="J10" s="967"/>
      <c r="K10" s="968"/>
    </row>
    <row r="11" spans="1:33" s="974" customFormat="1" ht="13.5" customHeight="1">
      <c r="A11" s="970" t="s">
        <v>1326</v>
      </c>
      <c r="B11" s="971" t="s">
        <v>2431</v>
      </c>
      <c r="C11" s="322">
        <f ca="1">IF(C1="",'数据-取费表'!P16,INDIRECT("'数据-取费表'!p"&amp;$K$1)+INDIRECT("'数据-取费表'!ar"&amp;$K$1))</f>
        <v>372</v>
      </c>
      <c r="D11" s="972"/>
      <c r="E11" s="374"/>
      <c r="F11" s="973">
        <f ca="1">1-IF('数据-取费表'!B24=0,1,IF(C1="",'数据-取费表'!N16,INDIRECT("'数据-取费表'!n"&amp;$K$1)))</f>
        <v>1.0000000000000009E-2</v>
      </c>
      <c r="G11" s="8"/>
      <c r="H11" s="967"/>
      <c r="I11" s="967"/>
      <c r="J11" s="967"/>
      <c r="K11" s="968"/>
    </row>
    <row r="12" spans="1:33" s="974" customFormat="1" ht="13.5" customHeight="1">
      <c r="A12" s="970" t="s">
        <v>1327</v>
      </c>
      <c r="B12" s="971" t="s">
        <v>2432</v>
      </c>
      <c r="C12" s="24">
        <f ca="1">ROUND(C11*F12,0)</f>
        <v>19</v>
      </c>
      <c r="D12" s="972"/>
      <c r="E12" s="374"/>
      <c r="F12" s="975">
        <f>'数据-取费表'!B33</f>
        <v>0.05</v>
      </c>
      <c r="G12" s="8" t="s">
        <v>2433</v>
      </c>
      <c r="H12" s="967"/>
      <c r="I12" s="967"/>
      <c r="J12" s="967"/>
      <c r="K12" s="968"/>
    </row>
    <row r="13" spans="1:33" s="974" customFormat="1" ht="13.5" customHeight="1">
      <c r="A13" s="970" t="s">
        <v>1328</v>
      </c>
      <c r="B13" s="971" t="s">
        <v>2434</v>
      </c>
      <c r="C13" s="24">
        <f ca="1">ROUND(IF(C1="",SUMIF('数据-取费表'!C:C,"住宅",'数据-取费表'!P:P)*F13,IF(INDIRECT("'数据-取费表'!c"&amp;$K$1)="住宅",INDIRECT("'数据-取费表'!P"&amp;$K$1)*F13,0)),0)</f>
        <v>22</v>
      </c>
      <c r="D13" s="1032"/>
      <c r="E13" s="374"/>
      <c r="F13" s="975">
        <f>'数据-取费表'!B34</f>
        <v>0.1</v>
      </c>
      <c r="G13" s="8" t="s">
        <v>2435</v>
      </c>
      <c r="H13" s="967"/>
      <c r="I13" s="967"/>
      <c r="J13" s="967"/>
      <c r="K13" s="968"/>
    </row>
    <row r="14" spans="1:33" s="976" customFormat="1" ht="13.5" customHeight="1">
      <c r="A14" s="970" t="s">
        <v>1329</v>
      </c>
      <c r="B14" s="971" t="s">
        <v>2436</v>
      </c>
      <c r="C14" s="24">
        <f ca="1">ROUND(D14*E14*F11/10000,0)</f>
        <v>25</v>
      </c>
      <c r="D14" s="1032">
        <f ca="1">IF(C1="",'数据-汇总表'!E3,INDIRECT("'数据-取费表'!K"&amp;$K$1)+INDIRECT("'数据-取费表'!S"&amp;$K$1))</f>
        <v>123740.26</v>
      </c>
      <c r="E14" s="24">
        <f>'数据-取费表'!B35</f>
        <v>200</v>
      </c>
      <c r="F14" s="975"/>
      <c r="G14" s="8" t="s">
        <v>2437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2438</v>
      </c>
      <c r="C15" s="982">
        <f ca="1">ROUND(C11*F15,0)</f>
        <v>6</v>
      </c>
      <c r="D15" s="977"/>
      <c r="E15" s="982"/>
      <c r="F15" s="983">
        <f>'数据-取费表'!B36</f>
        <v>1.4999999999999999E-2</v>
      </c>
      <c r="G15" s="139" t="s">
        <v>2439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2440</v>
      </c>
      <c r="C16" s="982">
        <f ca="1">SUM(C11:C15)</f>
        <v>444</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2441</v>
      </c>
      <c r="C17" s="24">
        <f ca="1">ROUND(D17*E17/10000,0)</f>
        <v>0</v>
      </c>
      <c r="D17" s="1032">
        <f ca="1">D14</f>
        <v>123740.26</v>
      </c>
      <c r="E17" s="24">
        <f>'数据-取费表'!B32</f>
        <v>0</v>
      </c>
      <c r="F17" s="977"/>
      <c r="G17" s="139" t="s">
        <v>2442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2443</v>
      </c>
      <c r="C18" s="24">
        <f ca="1">C19+C20-IF(C1="",'数据-取费表'!B29,IF(G18="已全部缴纳",C19+C20,H18))</f>
        <v>0</v>
      </c>
      <c r="D18" s="1032"/>
      <c r="E18" s="24"/>
      <c r="F18" s="975"/>
      <c r="G18" s="2552" t="s">
        <v>3264</v>
      </c>
      <c r="H18" s="1575"/>
      <c r="I18" s="2553" t="s">
        <v>2444</v>
      </c>
      <c r="J18" s="978"/>
      <c r="K18" s="979"/>
    </row>
    <row r="19" spans="1:33" s="974" customFormat="1" ht="13.5" customHeight="1">
      <c r="A19" s="970" t="s">
        <v>804</v>
      </c>
      <c r="B19" s="971" t="s">
        <v>2445</v>
      </c>
      <c r="C19" s="24">
        <f ca="1">ROUND(D19*E19/10000,0)</f>
        <v>1165</v>
      </c>
      <c r="D19" s="1032">
        <f ca="1">IF(C1="",'数据-汇总表'!E5,IF(INDIRECT("'数据-取费表'!c"&amp;$K$1)="住宅",INDIRECT("'数据-取费表'!k"&amp;$K$1),0))</f>
        <v>72809.22</v>
      </c>
      <c r="E19" s="24">
        <f>'数据-取费表'!B27</f>
        <v>160</v>
      </c>
      <c r="F19" s="975"/>
      <c r="G19" s="15"/>
      <c r="H19" s="1577"/>
      <c r="I19" s="980"/>
      <c r="J19" s="980"/>
      <c r="K19" s="981"/>
    </row>
    <row r="20" spans="1:33" s="974" customFormat="1" ht="13.5" customHeight="1">
      <c r="A20" s="970" t="s">
        <v>805</v>
      </c>
      <c r="B20" s="971" t="s">
        <v>2446</v>
      </c>
      <c r="C20" s="24">
        <f ca="1">ROUND(D20*E20/10000,0)</f>
        <v>1019</v>
      </c>
      <c r="D20" s="1032">
        <f ca="1">IF(C1="",'数据-汇总表'!E6,IF(INDIRECT("'数据-取费表'!c"&amp;$K$1)="住宅",INDIRECT("'数据-取费表'!s"&amp;$K$1),INDIRECT("'数据-取费表'!k"&amp;$K$1)+INDIRECT("'数据-取费表'!s"&amp;$K$1)))</f>
        <v>50931.039999999994</v>
      </c>
      <c r="E20" s="24">
        <f>'数据-取费表'!B28</f>
        <v>200</v>
      </c>
      <c r="F20" s="975"/>
      <c r="G20" s="15"/>
      <c r="H20" s="980"/>
      <c r="I20" s="980"/>
      <c r="J20" s="980"/>
      <c r="K20" s="981"/>
    </row>
    <row r="21" spans="1:33" s="974" customFormat="1" ht="13.5" customHeight="1">
      <c r="A21" s="960" t="s">
        <v>801</v>
      </c>
      <c r="B21" s="984" t="s">
        <v>2447</v>
      </c>
      <c r="C21" s="985">
        <f ca="1">C16+C17+C18</f>
        <v>444</v>
      </c>
      <c r="D21" s="986"/>
      <c r="E21" s="324"/>
      <c r="F21" s="324"/>
      <c r="G21" s="139" t="s">
        <v>2448</v>
      </c>
      <c r="H21" s="978"/>
      <c r="I21" s="978"/>
      <c r="J21" s="978"/>
      <c r="K21" s="979"/>
    </row>
    <row r="22" spans="1:33" s="974" customFormat="1" ht="13.5" customHeight="1">
      <c r="A22" s="960" t="s">
        <v>2420</v>
      </c>
      <c r="B22" s="984" t="s">
        <v>2449</v>
      </c>
      <c r="C22" s="985">
        <f ca="1">ROUND(C21*F22,0)</f>
        <v>9</v>
      </c>
      <c r="D22" s="324"/>
      <c r="E22" s="324"/>
      <c r="F22" s="987">
        <f>'数据-取费表'!B37</f>
        <v>0.02</v>
      </c>
      <c r="G22" s="8" t="s">
        <v>2450</v>
      </c>
      <c r="H22" s="967"/>
      <c r="I22" s="967"/>
      <c r="J22" s="967"/>
      <c r="K22" s="968"/>
    </row>
    <row r="23" spans="1:33" s="974" customFormat="1" ht="13.5" customHeight="1">
      <c r="A23" s="960" t="s">
        <v>2422</v>
      </c>
      <c r="B23" s="984" t="s">
        <v>2451</v>
      </c>
      <c r="C23" s="985">
        <f ca="1">ROUND(C4*F23*F11,0)</f>
        <v>103</v>
      </c>
      <c r="D23" s="324"/>
      <c r="E23" s="324"/>
      <c r="F23" s="987">
        <f>'数据-取费表'!B38</f>
        <v>0.02</v>
      </c>
      <c r="G23" s="8" t="s">
        <v>2452</v>
      </c>
      <c r="H23" s="967"/>
      <c r="I23" s="967"/>
      <c r="J23" s="967"/>
      <c r="K23" s="968"/>
    </row>
    <row r="24" spans="1:33" s="974" customFormat="1" ht="13.5" customHeight="1">
      <c r="A24" s="960" t="s">
        <v>2453</v>
      </c>
      <c r="B24" s="984" t="s">
        <v>2454</v>
      </c>
      <c r="C24" s="323">
        <f>ROUND(F24/(1+'数据-取费表'!C42),4)</f>
        <v>2.9000000000000001E-2</v>
      </c>
      <c r="D24" s="324" t="s">
        <v>15</v>
      </c>
      <c r="E24" s="324"/>
      <c r="F24" s="987">
        <f>'数据-取费表'!B48+'数据-取费表'!B49</f>
        <v>3.0499999999999999E-2</v>
      </c>
      <c r="G24" s="8" t="s">
        <v>2455</v>
      </c>
      <c r="H24" s="989"/>
      <c r="I24" s="989"/>
      <c r="J24" s="989"/>
      <c r="K24" s="990"/>
    </row>
    <row r="25" spans="1:33" s="974" customFormat="1" ht="13.5" customHeight="1">
      <c r="A25" s="960" t="s">
        <v>2456</v>
      </c>
      <c r="B25" s="986" t="s">
        <v>2457</v>
      </c>
      <c r="C25" s="1355">
        <f ca="1">C27</f>
        <v>1</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2458</v>
      </c>
      <c r="C26" s="1356">
        <f ca="1">ROUND(IF('数据-取费表'!B22&lt;=1,(1+C24)*F25*'数据-取费表'!B24,(1+C24)*(POWER((1+F25),'数据-取费表'!B24)-1)),4)</f>
        <v>4.7999999999999996E-3</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2459</v>
      </c>
      <c r="C27" s="1357">
        <f ca="1">ROUND(IF('数据-取费表'!B22&lt;=1,(C21+C22+C23)*F25*'数据-取费表'!B24/2,(C21+C22+C23)*(POWER((1+F25),'数据-取费表'!B24/2)-1)),0)</f>
        <v>1</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2460</v>
      </c>
      <c r="B28" s="2555" t="s">
        <v>2461</v>
      </c>
      <c r="C28" s="330">
        <f ca="1">C30</f>
        <v>72</v>
      </c>
      <c r="D28" s="323">
        <f ca="1">C29</f>
        <v>6.7000000000000002E-3</v>
      </c>
      <c r="E28" s="325" t="s">
        <v>15</v>
      </c>
      <c r="F28" s="331">
        <f ca="1">IF(C1="",'数据-取费表'!Q16,INDIRECT("'数据-取费表'!q"&amp;$K$1))</f>
        <v>0.13</v>
      </c>
      <c r="G28" s="988"/>
      <c r="H28" s="989"/>
      <c r="I28" s="989"/>
      <c r="J28" s="989"/>
      <c r="K28" s="990"/>
    </row>
    <row r="29" spans="1:33" s="334" customFormat="1" ht="13.5" customHeight="1">
      <c r="A29" s="970" t="s">
        <v>802</v>
      </c>
      <c r="B29" s="993" t="s">
        <v>2462</v>
      </c>
      <c r="C29" s="327">
        <f ca="1">ROUND((1+C24)*F28*'数据-取费表'!B24/'数据-取费表'!B20,4)</f>
        <v>6.7000000000000002E-3</v>
      </c>
      <c r="D29" s="327"/>
      <c r="E29" s="328"/>
      <c r="F29" s="333"/>
      <c r="G29" s="139" t="s">
        <v>2463</v>
      </c>
      <c r="H29" s="978"/>
      <c r="I29" s="978"/>
      <c r="J29" s="978"/>
      <c r="K29" s="979"/>
    </row>
    <row r="30" spans="1:33" s="334" customFormat="1" ht="13.5" customHeight="1">
      <c r="A30" s="970" t="s">
        <v>803</v>
      </c>
      <c r="B30" s="993" t="s">
        <v>2464</v>
      </c>
      <c r="C30" s="335">
        <f ca="1">ROUND((C21+C22+C23)*F28,0)</f>
        <v>72</v>
      </c>
      <c r="D30" s="327"/>
      <c r="E30" s="328"/>
      <c r="F30" s="333"/>
      <c r="G30" s="139"/>
      <c r="H30" s="978"/>
      <c r="I30" s="978"/>
      <c r="J30" s="978"/>
      <c r="K30" s="979"/>
    </row>
    <row r="31" spans="1:33" s="974" customFormat="1" ht="13.5" customHeight="1" thickBot="1">
      <c r="A31" s="2556" t="s">
        <v>2465</v>
      </c>
      <c r="B31" s="1004" t="s">
        <v>2466</v>
      </c>
      <c r="C31" s="1005">
        <f ca="1">ROUND(C4*F31/(1+'数据-取费表'!C42),0)</f>
        <v>27570</v>
      </c>
      <c r="D31" s="1006"/>
      <c r="E31" s="1007"/>
      <c r="F31" s="1008">
        <f>'数据-取费表'!B41</f>
        <v>5.6000000000000001E-2</v>
      </c>
      <c r="G31" s="1009" t="s">
        <v>2467</v>
      </c>
      <c r="H31" s="1010"/>
      <c r="I31" s="1010"/>
      <c r="J31" s="1010"/>
      <c r="K31" s="1011"/>
    </row>
    <row r="32" spans="1:33" s="969" customFormat="1" ht="13.5" customHeight="1" thickBot="1">
      <c r="A32" s="999" t="s">
        <v>2468</v>
      </c>
      <c r="B32" s="1000"/>
      <c r="C32" s="1001">
        <f ca="1">ROUND((C4-C21-C22-C23-C25-C28-C31)/(1+C24+D25+D28),0)</f>
        <v>469710</v>
      </c>
      <c r="D32" s="1000"/>
      <c r="E32" s="1000"/>
      <c r="F32" s="1000"/>
      <c r="G32" s="1002" t="s">
        <v>2469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 zoomScale="80" zoomScaleNormal="80" workbookViewId="0">
      <selection activeCell="B2" sqref="B2"/>
    </sheetView>
  </sheetViews>
  <sheetFormatPr defaultColWidth="9" defaultRowHeight="14.25"/>
  <cols>
    <col min="1" max="1" width="10.5" style="402" customWidth="1"/>
    <col min="2" max="2" width="15.75" style="402" customWidth="1"/>
    <col min="3" max="3" width="20.25" style="402" customWidth="1"/>
    <col min="4" max="4" width="12.25" style="402" customWidth="1"/>
    <col min="5" max="5" width="16.875" style="402" customWidth="1"/>
    <col min="6" max="6" width="12.25" style="402" customWidth="1"/>
    <col min="7" max="7" width="16.75" style="402" customWidth="1"/>
    <col min="8" max="8" width="12.25" style="402" customWidth="1"/>
    <col min="9" max="9" width="17.7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2479</v>
      </c>
      <c r="B1" s="2578" t="s">
        <v>2480</v>
      </c>
      <c r="C1" s="1632" t="s">
        <v>2481</v>
      </c>
      <c r="D1" s="1619" t="s">
        <v>3004</v>
      </c>
      <c r="E1" s="2579"/>
      <c r="F1" s="2580" t="s">
        <v>2482</v>
      </c>
      <c r="G1" s="1629" t="s">
        <v>2483</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1386</v>
      </c>
      <c r="B2" s="1417">
        <f>IF(C2="——",ROUND(C49*D3/10000,0),ROUND(C49*D3/10000,0)-D2)</f>
        <v>280338</v>
      </c>
      <c r="C2" s="2582" t="s">
        <v>70</v>
      </c>
      <c r="D2" s="1364" t="e">
        <f ca="1">SUMIF(INDIRECT("'"&amp;F2&amp;"'"&amp;"!A:A"),"承租人权益价值",INDIRECT("'"&amp;F2&amp;"'"&amp;"!c:c"))</f>
        <v>#REF!</v>
      </c>
      <c r="E2" s="2583" t="s">
        <v>2484</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1387</v>
      </c>
      <c r="B3" s="398">
        <f>IF(C2="——",C49,ROUND(B2*10000/D3,0))</f>
        <v>56816</v>
      </c>
      <c r="C3" s="399" t="s">
        <v>2485</v>
      </c>
      <c r="D3" s="398">
        <f>IF(D1="",'数据-汇总表'!E3,SUMIF('数据-汇总表'!$C19:$C33,D1,'数据-汇总表'!$E19:$E33))</f>
        <v>49341.37</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2486</v>
      </c>
      <c r="B4" s="401"/>
      <c r="C4" s="3210" t="s">
        <v>2487</v>
      </c>
      <c r="D4" s="3223"/>
      <c r="E4" s="3224" t="s">
        <v>2488</v>
      </c>
      <c r="F4" s="3225"/>
      <c r="G4" s="3210" t="s">
        <v>2489</v>
      </c>
      <c r="H4" s="3223"/>
      <c r="I4" s="3210" t="s">
        <v>2490</v>
      </c>
      <c r="J4" s="3223"/>
      <c r="K4" s="2592" t="s">
        <v>2491</v>
      </c>
      <c r="L4" s="1129"/>
      <c r="M4" s="1130"/>
      <c r="N4" s="1130"/>
      <c r="O4" s="1130"/>
      <c r="P4" s="3226" t="s">
        <v>2492</v>
      </c>
      <c r="Q4" s="3227"/>
      <c r="R4" s="3232" t="s">
        <v>2488</v>
      </c>
      <c r="S4" s="3233"/>
      <c r="T4" s="3232" t="s">
        <v>2489</v>
      </c>
      <c r="U4" s="3233"/>
      <c r="V4" s="3219" t="s">
        <v>2490</v>
      </c>
      <c r="W4" s="3219"/>
      <c r="X4" s="1811"/>
      <c r="Y4" s="3232" t="s">
        <v>2492</v>
      </c>
      <c r="Z4" s="3233"/>
      <c r="AA4" s="3220" t="s">
        <v>2488</v>
      </c>
      <c r="AB4" s="3220" t="s">
        <v>2489</v>
      </c>
      <c r="AC4" s="3220" t="s">
        <v>2490</v>
      </c>
    </row>
    <row r="5" spans="1:29" ht="15">
      <c r="A5" s="403"/>
      <c r="B5" s="404"/>
      <c r="C5" s="3261" t="s">
        <v>3065</v>
      </c>
      <c r="D5" s="3241"/>
      <c r="E5" s="3262" t="s">
        <v>3082</v>
      </c>
      <c r="F5" s="3249"/>
      <c r="G5" s="3261" t="s">
        <v>3091</v>
      </c>
      <c r="H5" s="3241"/>
      <c r="I5" s="3261" t="s">
        <v>3401</v>
      </c>
      <c r="J5" s="3241"/>
      <c r="K5" s="2593"/>
      <c r="L5" s="1129"/>
      <c r="M5" s="1130"/>
      <c r="N5" s="1130"/>
      <c r="O5" s="1130"/>
      <c r="P5" s="3228"/>
      <c r="Q5" s="3229"/>
      <c r="R5" s="3234"/>
      <c r="S5" s="3235"/>
      <c r="T5" s="3234"/>
      <c r="U5" s="3235"/>
      <c r="V5" s="3219"/>
      <c r="W5" s="3219"/>
      <c r="X5" s="1811"/>
      <c r="Y5" s="3234"/>
      <c r="Z5" s="3235"/>
      <c r="AA5" s="3221"/>
      <c r="AB5" s="3221"/>
      <c r="AC5" s="3221"/>
    </row>
    <row r="6" spans="1:29" ht="15.75" thickBot="1">
      <c r="A6" s="405"/>
      <c r="B6" s="406"/>
      <c r="C6" s="3238" t="s">
        <v>2497</v>
      </c>
      <c r="D6" s="3239"/>
      <c r="E6" s="3246" t="s">
        <v>2497</v>
      </c>
      <c r="F6" s="3247"/>
      <c r="G6" s="3238" t="s">
        <v>2497</v>
      </c>
      <c r="H6" s="3239"/>
      <c r="I6" s="3238" t="s">
        <v>2497</v>
      </c>
      <c r="J6" s="3239"/>
      <c r="K6" s="2593" t="s">
        <v>2498</v>
      </c>
      <c r="L6" s="1129"/>
      <c r="M6" s="1130"/>
      <c r="N6" s="1130"/>
      <c r="O6" s="1130"/>
      <c r="P6" s="3230"/>
      <c r="Q6" s="3231"/>
      <c r="R6" s="3234"/>
      <c r="S6" s="3235"/>
      <c r="T6" s="3236"/>
      <c r="U6" s="3237"/>
      <c r="V6" s="3219"/>
      <c r="W6" s="3219"/>
      <c r="X6" s="1811"/>
      <c r="Y6" s="3236"/>
      <c r="Z6" s="3237"/>
      <c r="AA6" s="3222"/>
      <c r="AB6" s="3222"/>
      <c r="AC6" s="3222"/>
    </row>
    <row r="7" spans="1:29" s="117" customFormat="1" ht="15.75" thickBot="1">
      <c r="A7" s="407" t="s">
        <v>2499</v>
      </c>
      <c r="B7" s="408"/>
      <c r="C7" s="409">
        <f>'数据-取费表'!B2</f>
        <v>43926</v>
      </c>
      <c r="D7" s="410">
        <v>100</v>
      </c>
      <c r="E7" s="411">
        <f>C7</f>
        <v>43926</v>
      </c>
      <c r="F7" s="412">
        <f>SUMIF(58:58,YEAR(E7)&amp;"-"&amp;MONTH(E7),59:59)</f>
        <v>100</v>
      </c>
      <c r="G7" s="411">
        <f>C7</f>
        <v>43926</v>
      </c>
      <c r="H7" s="410">
        <f>SUMIF(58:58,YEAR(G7)&amp;"-"&amp;MONTH(G7),59:59)</f>
        <v>100</v>
      </c>
      <c r="I7" s="411">
        <f>C7</f>
        <v>43926</v>
      </c>
      <c r="J7" s="410">
        <f>SUMIF(58:58,YEAR(I7)&amp;"-"&amp;MONTH(I7),59:59)</f>
        <v>100</v>
      </c>
      <c r="K7" s="2594"/>
      <c r="L7" s="1131"/>
      <c r="M7" s="1132"/>
      <c r="N7" s="1132"/>
      <c r="O7" s="1132"/>
      <c r="P7" s="3242" t="s">
        <v>2500</v>
      </c>
      <c r="Q7" s="3244"/>
      <c r="R7" s="769" t="s">
        <v>23</v>
      </c>
      <c r="S7" s="770">
        <f t="shared" ref="S7:S15" si="0">F7</f>
        <v>100</v>
      </c>
      <c r="T7" s="769" t="s">
        <v>23</v>
      </c>
      <c r="U7" s="770">
        <f t="shared" ref="U7:U15" si="1">H7</f>
        <v>100</v>
      </c>
      <c r="V7" s="769" t="s">
        <v>23</v>
      </c>
      <c r="W7" s="770">
        <f t="shared" ref="W7:W15" si="2">J7</f>
        <v>100</v>
      </c>
      <c r="X7" s="771"/>
      <c r="Y7" s="3242" t="s">
        <v>2500</v>
      </c>
      <c r="Z7" s="3243"/>
      <c r="AA7" s="772">
        <f>D7/F7</f>
        <v>1</v>
      </c>
      <c r="AB7" s="772">
        <f>D7/H7</f>
        <v>1</v>
      </c>
      <c r="AC7" s="772">
        <f>D7/J7</f>
        <v>1</v>
      </c>
    </row>
    <row r="8" spans="1:29" s="117" customFormat="1" ht="15.75" thickBot="1">
      <c r="A8" s="407" t="s">
        <v>2501</v>
      </c>
      <c r="B8" s="408"/>
      <c r="C8" s="413" t="s">
        <v>2502</v>
      </c>
      <c r="D8" s="410">
        <v>100</v>
      </c>
      <c r="E8" s="2595" t="s">
        <v>3083</v>
      </c>
      <c r="F8" s="412">
        <f>SUMIF(61:61,E8,62:62)-SUMIF(61:61,C8,62:62)+100</f>
        <v>100</v>
      </c>
      <c r="G8" s="413" t="s">
        <v>3083</v>
      </c>
      <c r="H8" s="410">
        <f>SUMIF(61:61,G8,62:62)-SUMIF(61:61,C8,62:62)+100</f>
        <v>100</v>
      </c>
      <c r="I8" s="2595" t="s">
        <v>3083</v>
      </c>
      <c r="J8" s="410">
        <f>SUMIF(61:61,I8,62:62)-SUMIF(61:61,C8,62:62)+100</f>
        <v>100</v>
      </c>
      <c r="K8" s="2594"/>
      <c r="L8" s="1131"/>
      <c r="M8" s="1132"/>
      <c r="N8" s="1132"/>
      <c r="O8" s="1132"/>
      <c r="P8" s="3242" t="s">
        <v>2503</v>
      </c>
      <c r="Q8" s="3243"/>
      <c r="R8" s="769" t="s">
        <v>23</v>
      </c>
      <c r="S8" s="770">
        <f t="shared" si="0"/>
        <v>100</v>
      </c>
      <c r="T8" s="769" t="s">
        <v>23</v>
      </c>
      <c r="U8" s="770">
        <f t="shared" si="1"/>
        <v>100</v>
      </c>
      <c r="V8" s="769" t="s">
        <v>23</v>
      </c>
      <c r="W8" s="770">
        <f t="shared" si="2"/>
        <v>100</v>
      </c>
      <c r="X8" s="771"/>
      <c r="Y8" s="3242" t="s">
        <v>2503</v>
      </c>
      <c r="Z8" s="3243"/>
      <c r="AA8" s="772">
        <f t="shared" ref="AA8:AA19" si="3">D8/F8</f>
        <v>1</v>
      </c>
      <c r="AB8" s="772">
        <f t="shared" ref="AB8:AB19" si="4">D8/H8</f>
        <v>1</v>
      </c>
      <c r="AC8" s="772">
        <f t="shared" ref="AC8:AC19" si="5">D8/J8</f>
        <v>1</v>
      </c>
    </row>
    <row r="9" spans="1:29" s="117" customFormat="1">
      <c r="A9" s="414" t="s">
        <v>2504</v>
      </c>
      <c r="B9" s="71" t="s">
        <v>2505</v>
      </c>
      <c r="C9" s="2970" t="s">
        <v>3079</v>
      </c>
      <c r="D9" s="134">
        <v>100</v>
      </c>
      <c r="E9" s="416" t="s">
        <v>3035</v>
      </c>
      <c r="F9" s="417">
        <f>SUMIF(63:63,E9,64:64)-SUMIF(63:63,C9,64:64)+100</f>
        <v>100</v>
      </c>
      <c r="G9" s="418" t="s">
        <v>3035</v>
      </c>
      <c r="H9" s="134">
        <f>SUMIF(63:63,G9,64:64)-SUMIF(63:63,C9,64:64)+100</f>
        <v>100</v>
      </c>
      <c r="I9" s="418" t="s">
        <v>3035</v>
      </c>
      <c r="J9" s="134">
        <f>SUMIF(63:63,I9,64:64)-SUMIF(63:63,C9,64:64)+100</f>
        <v>100</v>
      </c>
      <c r="K9" s="2594"/>
      <c r="L9" s="1131"/>
      <c r="M9" s="1132"/>
      <c r="N9" s="1132"/>
      <c r="O9" s="1132"/>
      <c r="P9" s="3212"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772">
        <f t="shared" si="5"/>
        <v>1</v>
      </c>
    </row>
    <row r="10" spans="1:29" s="426" customFormat="1" ht="27">
      <c r="A10" s="420"/>
      <c r="B10" s="421" t="s">
        <v>2508</v>
      </c>
      <c r="C10" s="422" t="s">
        <v>3080</v>
      </c>
      <c r="D10" s="135">
        <v>100</v>
      </c>
      <c r="E10" s="423" t="s">
        <v>3080</v>
      </c>
      <c r="F10" s="424">
        <f>SUMIF(65:65,E10,66:66)-SUMIF(65:65,C10,66:66)+100</f>
        <v>100</v>
      </c>
      <c r="G10" s="422" t="s">
        <v>3080</v>
      </c>
      <c r="H10" s="135">
        <f>SUMIF(65:65,G10,66:66)-SUMIF(65:65,C10,66:66)+100</f>
        <v>100</v>
      </c>
      <c r="I10" s="422" t="s">
        <v>3080</v>
      </c>
      <c r="J10" s="135">
        <f>SUMIF(65:65,I10,66:66)-SUMIF(65:65,C10,66:66)+100</f>
        <v>100</v>
      </c>
      <c r="K10" s="425">
        <v>1</v>
      </c>
      <c r="L10" s="1134"/>
      <c r="M10" s="1135"/>
      <c r="N10" s="1135"/>
      <c r="O10" s="1135"/>
      <c r="P10" s="3212"/>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2509</v>
      </c>
      <c r="C11" s="428">
        <f>'数据-汇总表'!I4</f>
        <v>1.39</v>
      </c>
      <c r="D11" s="135">
        <v>100</v>
      </c>
      <c r="E11" s="429">
        <v>2</v>
      </c>
      <c r="F11" s="424">
        <f>LOOKUP(E11,68:68,69:69)-LOOKUP(C11,68:68,69:69)+100</f>
        <v>98</v>
      </c>
      <c r="G11" s="428">
        <v>1.02</v>
      </c>
      <c r="H11" s="135">
        <f>LOOKUP(G11,68:68,69:69)-LOOKUP(C11,68:68,69:69)+100</f>
        <v>100</v>
      </c>
      <c r="I11" s="428">
        <v>2</v>
      </c>
      <c r="J11" s="135">
        <f>LOOKUP(I11,68:68,69:69)-LOOKUP(C11,68:68,69:69)+100</f>
        <v>98</v>
      </c>
      <c r="K11" s="425">
        <v>2</v>
      </c>
      <c r="L11" s="1137"/>
      <c r="M11" s="1130"/>
      <c r="N11" s="1130"/>
      <c r="O11" s="1130"/>
      <c r="P11" s="3212"/>
      <c r="Q11" s="1793" t="str">
        <f t="shared" si="6"/>
        <v>容积率</v>
      </c>
      <c r="R11" s="769" t="s">
        <v>21</v>
      </c>
      <c r="S11" s="770">
        <f t="shared" si="0"/>
        <v>98</v>
      </c>
      <c r="T11" s="769" t="s">
        <v>21</v>
      </c>
      <c r="U11" s="770">
        <f t="shared" si="1"/>
        <v>100</v>
      </c>
      <c r="V11" s="769" t="s">
        <v>21</v>
      </c>
      <c r="W11" s="770">
        <f t="shared" si="2"/>
        <v>98</v>
      </c>
      <c r="X11" s="771"/>
      <c r="Y11" s="3061"/>
      <c r="Z11" s="55" t="str">
        <f t="shared" si="7"/>
        <v>容积率</v>
      </c>
      <c r="AA11" s="772">
        <f t="shared" si="3"/>
        <v>1.0204081632653061</v>
      </c>
      <c r="AB11" s="772">
        <f t="shared" si="4"/>
        <v>1</v>
      </c>
      <c r="AC11" s="772">
        <f t="shared" si="5"/>
        <v>1.0204081632653061</v>
      </c>
    </row>
    <row r="12" spans="1:29" s="117" customFormat="1" ht="15">
      <c r="A12" s="430"/>
      <c r="B12" s="2971" t="s">
        <v>3084</v>
      </c>
      <c r="C12" s="2972" t="s">
        <v>3085</v>
      </c>
      <c r="D12" s="432">
        <v>100</v>
      </c>
      <c r="E12" s="2972" t="s">
        <v>3086</v>
      </c>
      <c r="F12" s="424">
        <f>SUMIF(70:70,E12,71:71)-SUMIF(70:70,C12,71:71)+100</f>
        <v>98</v>
      </c>
      <c r="G12" s="2972" t="s">
        <v>3085</v>
      </c>
      <c r="H12" s="135">
        <f>SUMIF(70:70,G12,71:71)-SUMIF(70:70,C12,71:71)+100</f>
        <v>100</v>
      </c>
      <c r="I12" s="2972" t="s">
        <v>3086</v>
      </c>
      <c r="J12" s="135">
        <f>SUMIF(70:70,I12,71:71)-SUMIF(70:70,C12,71:71)+100</f>
        <v>98</v>
      </c>
      <c r="K12" s="2597"/>
      <c r="L12" s="1131"/>
      <c r="M12" s="1132"/>
      <c r="N12" s="1132"/>
      <c r="O12" s="1132"/>
      <c r="P12" s="3212"/>
      <c r="Q12" s="1793" t="str">
        <f t="shared" si="6"/>
        <v>其他</v>
      </c>
      <c r="R12" s="769" t="s">
        <v>21</v>
      </c>
      <c r="S12" s="770">
        <f t="shared" si="0"/>
        <v>98</v>
      </c>
      <c r="T12" s="769" t="s">
        <v>21</v>
      </c>
      <c r="U12" s="770">
        <f t="shared" si="1"/>
        <v>100</v>
      </c>
      <c r="V12" s="769" t="s">
        <v>21</v>
      </c>
      <c r="W12" s="770">
        <f t="shared" si="2"/>
        <v>98</v>
      </c>
      <c r="X12" s="771"/>
      <c r="Y12" s="3061"/>
      <c r="Z12" s="55" t="str">
        <f t="shared" si="7"/>
        <v>其他</v>
      </c>
      <c r="AA12" s="772">
        <f>D12/F12</f>
        <v>1.0204081632653061</v>
      </c>
      <c r="AB12" s="772">
        <f>D12/H12</f>
        <v>1</v>
      </c>
      <c r="AC12" s="772">
        <f>D12/J12</f>
        <v>1.0204081632653061</v>
      </c>
    </row>
    <row r="13" spans="1:29" ht="15">
      <c r="A13" s="427"/>
      <c r="B13" s="2596"/>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12"/>
      <c r="Q13" s="1793">
        <f t="shared" si="6"/>
        <v>0</v>
      </c>
      <c r="R13" s="769" t="s">
        <v>21</v>
      </c>
      <c r="S13" s="770">
        <f t="shared" si="0"/>
        <v>100</v>
      </c>
      <c r="T13" s="769" t="s">
        <v>21</v>
      </c>
      <c r="U13" s="770">
        <f t="shared" si="1"/>
        <v>100</v>
      </c>
      <c r="V13" s="769" t="s">
        <v>21</v>
      </c>
      <c r="W13" s="770">
        <f t="shared" si="2"/>
        <v>100</v>
      </c>
      <c r="X13" s="771"/>
      <c r="Y13" s="3061"/>
      <c r="Z13" s="55">
        <f t="shared" si="7"/>
        <v>0</v>
      </c>
      <c r="AA13" s="772">
        <f t="shared" si="3"/>
        <v>1</v>
      </c>
      <c r="AB13" s="772">
        <f t="shared" si="4"/>
        <v>1</v>
      </c>
      <c r="AC13" s="772">
        <f t="shared" si="5"/>
        <v>1</v>
      </c>
    </row>
    <row r="14" spans="1:29" ht="15.75" thickBot="1">
      <c r="A14" s="435"/>
      <c r="B14" s="2598"/>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12"/>
      <c r="Q14" s="1793">
        <f t="shared" si="6"/>
        <v>0</v>
      </c>
      <c r="R14" s="769" t="s">
        <v>21</v>
      </c>
      <c r="S14" s="770">
        <f t="shared" si="0"/>
        <v>100</v>
      </c>
      <c r="T14" s="769" t="s">
        <v>21</v>
      </c>
      <c r="U14" s="770">
        <f t="shared" si="1"/>
        <v>100</v>
      </c>
      <c r="V14" s="769" t="s">
        <v>21</v>
      </c>
      <c r="W14" s="770">
        <f t="shared" si="2"/>
        <v>100</v>
      </c>
      <c r="X14" s="771"/>
      <c r="Y14" s="3061"/>
      <c r="Z14" s="55">
        <f t="shared" si="7"/>
        <v>0</v>
      </c>
      <c r="AA14" s="772">
        <f t="shared" si="3"/>
        <v>1</v>
      </c>
      <c r="AB14" s="772">
        <f t="shared" si="4"/>
        <v>1</v>
      </c>
      <c r="AC14" s="772">
        <f t="shared" si="5"/>
        <v>1</v>
      </c>
    </row>
    <row r="15" spans="1:29" ht="99.75">
      <c r="A15" s="439" t="s">
        <v>2510</v>
      </c>
      <c r="B15" s="69" t="s">
        <v>2048</v>
      </c>
      <c r="C15" s="2599" t="str">
        <f>估价对象房地状况!C3</f>
        <v>估价对象周边居住用地比例一般、居住小区规模和社区发展完善程度一般，周边有兴盛馨苑、上林苑等小区，综合评价居住社区成熟度一般</v>
      </c>
      <c r="D15" s="440">
        <v>100</v>
      </c>
      <c r="E15" s="2973" t="s">
        <v>3092</v>
      </c>
      <c r="F15" s="440">
        <f>SUMIF(76:76,E16,77:77)-SUMIF(76:76,C16,77:77)+100</f>
        <v>100</v>
      </c>
      <c r="G15" s="2973" t="s">
        <v>3092</v>
      </c>
      <c r="H15" s="440">
        <f>SUMIF(76:76,G16,77:77)-SUMIF(76:76,C16,77:77)+100</f>
        <v>100</v>
      </c>
      <c r="I15" s="2973" t="s">
        <v>3092</v>
      </c>
      <c r="J15" s="440">
        <f>SUMIF(76:76,I16,77:77)-SUMIF(76:76,C16,77:77)+100</f>
        <v>100</v>
      </c>
      <c r="K15" s="444">
        <v>2</v>
      </c>
      <c r="L15" s="1139"/>
      <c r="M15" s="1130"/>
      <c r="N15" s="1130"/>
      <c r="O15" s="1130"/>
      <c r="P15" s="3259" t="s">
        <v>2511</v>
      </c>
      <c r="Q15" s="1808" t="str">
        <f t="shared" si="6"/>
        <v>居住社区成熟度</v>
      </c>
      <c r="R15" s="773" t="s">
        <v>21</v>
      </c>
      <c r="S15" s="774">
        <f t="shared" si="0"/>
        <v>100</v>
      </c>
      <c r="T15" s="773" t="s">
        <v>21</v>
      </c>
      <c r="U15" s="774">
        <f t="shared" si="1"/>
        <v>100</v>
      </c>
      <c r="V15" s="773" t="s">
        <v>21</v>
      </c>
      <c r="W15" s="774">
        <f t="shared" si="2"/>
        <v>100</v>
      </c>
      <c r="X15" s="1811"/>
      <c r="Y15" s="3215" t="s">
        <v>2511</v>
      </c>
      <c r="Z15" s="1812" t="str">
        <f t="shared" si="7"/>
        <v>居住社区成熟度</v>
      </c>
      <c r="AA15" s="1809">
        <f t="shared" si="3"/>
        <v>1</v>
      </c>
      <c r="AB15" s="1809">
        <f t="shared" si="4"/>
        <v>1</v>
      </c>
      <c r="AC15" s="1809">
        <f t="shared" si="5"/>
        <v>1</v>
      </c>
    </row>
    <row r="16" spans="1:29" ht="15">
      <c r="A16" s="427"/>
      <c r="B16" s="445"/>
      <c r="C16" s="446" t="s">
        <v>3060</v>
      </c>
      <c r="D16" s="447"/>
      <c r="E16" s="2600" t="s">
        <v>3060</v>
      </c>
      <c r="F16" s="447"/>
      <c r="G16" s="2600" t="s">
        <v>3060</v>
      </c>
      <c r="H16" s="449"/>
      <c r="I16" s="2600" t="s">
        <v>3060</v>
      </c>
      <c r="J16" s="447"/>
      <c r="K16" s="2602"/>
      <c r="L16" s="1139"/>
      <c r="M16" s="1130"/>
      <c r="N16" s="1130"/>
      <c r="O16" s="1130"/>
      <c r="P16" s="3260"/>
      <c r="Q16" s="1808"/>
      <c r="R16" s="773"/>
      <c r="S16" s="774"/>
      <c r="T16" s="773"/>
      <c r="U16" s="774"/>
      <c r="V16" s="773"/>
      <c r="W16" s="774"/>
      <c r="X16" s="1811"/>
      <c r="Y16" s="3216"/>
      <c r="Z16" s="1812"/>
      <c r="AA16" s="1809">
        <v>1</v>
      </c>
      <c r="AB16" s="1809">
        <v>1</v>
      </c>
      <c r="AC16" s="1809">
        <v>1</v>
      </c>
    </row>
    <row r="17" spans="1:29" ht="99.75">
      <c r="A17" s="427"/>
      <c r="B17" s="450" t="s">
        <v>2054</v>
      </c>
      <c r="C17" s="2603" t="str">
        <f>估价对象房地状况!C6</f>
        <v>估价对象周边道路状况较好、公共交通通达情况较好、停车便捷程度较好，周边临近8号线德茂站、周边有341/453等公交线路，综合评价交通便捷度较好</v>
      </c>
      <c r="D17" s="449">
        <v>100</v>
      </c>
      <c r="E17" s="2974" t="s">
        <v>3093</v>
      </c>
      <c r="F17" s="449">
        <f>SUMIF(78:78,E18,79:79)-SUMIF(78:78,C18,79:79)+100</f>
        <v>100</v>
      </c>
      <c r="G17" s="2974" t="s">
        <v>3093</v>
      </c>
      <c r="H17" s="454">
        <f>SUMIF(78:78,G18,79:79)-SUMIF(78:78,C18,79:79)+100</f>
        <v>100</v>
      </c>
      <c r="I17" s="2974" t="s">
        <v>3093</v>
      </c>
      <c r="J17" s="454">
        <f>SUMIF(78:78,I18,79:79)-SUMIF(78:78,C18,79:79)+100</f>
        <v>100</v>
      </c>
      <c r="K17" s="444">
        <v>1</v>
      </c>
      <c r="L17" s="1139"/>
      <c r="M17" s="1130"/>
      <c r="N17" s="1130"/>
      <c r="O17" s="1130"/>
      <c r="P17" s="3260"/>
      <c r="Q17" s="1808" t="str">
        <f>B17</f>
        <v>交通便捷度</v>
      </c>
      <c r="R17" s="773" t="s">
        <v>21</v>
      </c>
      <c r="S17" s="774">
        <f>F17</f>
        <v>100</v>
      </c>
      <c r="T17" s="773" t="s">
        <v>21</v>
      </c>
      <c r="U17" s="774">
        <f>H17</f>
        <v>100</v>
      </c>
      <c r="V17" s="773" t="s">
        <v>21</v>
      </c>
      <c r="W17" s="774">
        <f>J17</f>
        <v>100</v>
      </c>
      <c r="X17" s="1811"/>
      <c r="Y17" s="3216"/>
      <c r="Z17" s="1812" t="str">
        <f>Q17</f>
        <v>交通便捷度</v>
      </c>
      <c r="AA17" s="1809">
        <f t="shared" si="3"/>
        <v>1</v>
      </c>
      <c r="AB17" s="1809">
        <f t="shared" si="4"/>
        <v>1</v>
      </c>
      <c r="AC17" s="1809">
        <f t="shared" si="5"/>
        <v>1</v>
      </c>
    </row>
    <row r="18" spans="1:29" ht="15">
      <c r="A18" s="427"/>
      <c r="B18" s="455"/>
      <c r="C18" s="2604" t="s">
        <v>3081</v>
      </c>
      <c r="D18" s="449"/>
      <c r="E18" s="2605" t="s">
        <v>3081</v>
      </c>
      <c r="F18" s="449"/>
      <c r="G18" s="2605" t="s">
        <v>3081</v>
      </c>
      <c r="H18" s="447"/>
      <c r="I18" s="2605" t="s">
        <v>3081</v>
      </c>
      <c r="J18" s="447"/>
      <c r="K18" s="2602"/>
      <c r="L18" s="1139"/>
      <c r="M18" s="1130"/>
      <c r="N18" s="1130"/>
      <c r="O18" s="1130"/>
      <c r="P18" s="3260"/>
      <c r="Q18" s="1808"/>
      <c r="R18" s="773"/>
      <c r="S18" s="774"/>
      <c r="T18" s="773"/>
      <c r="U18" s="774"/>
      <c r="V18" s="773"/>
      <c r="W18" s="774"/>
      <c r="X18" s="1811"/>
      <c r="Y18" s="3216"/>
      <c r="Z18" s="1812"/>
      <c r="AA18" s="1809">
        <v>1</v>
      </c>
      <c r="AB18" s="1809">
        <v>1</v>
      </c>
      <c r="AC18" s="1809">
        <v>1</v>
      </c>
    </row>
    <row r="19" spans="1:29" ht="42.75">
      <c r="A19" s="427"/>
      <c r="B19" s="450" t="s">
        <v>2053</v>
      </c>
      <c r="C19" s="2603" t="str">
        <f>估价对象房地状况!C7</f>
        <v>估价对象所在区域公共配套设施齐备情况一般</v>
      </c>
      <c r="D19" s="454">
        <v>100</v>
      </c>
      <c r="E19" s="458" t="s">
        <v>3053</v>
      </c>
      <c r="F19" s="454">
        <f>SUMIF(80:80,E20,81:81)-SUMIF(80:80,C20,81:81)+100</f>
        <v>100</v>
      </c>
      <c r="G19" s="458" t="s">
        <v>3053</v>
      </c>
      <c r="H19" s="449">
        <f>SUMIF(80:80,G20,81:81)-SUMIF(80:80,C20,81:81)+100</f>
        <v>100</v>
      </c>
      <c r="I19" s="458" t="s">
        <v>3053</v>
      </c>
      <c r="J19" s="449">
        <f>SUMIF(80:80,I20,81:81)-SUMIF(80:80,C20,81:81)+100</f>
        <v>100</v>
      </c>
      <c r="K19" s="444">
        <v>1</v>
      </c>
      <c r="L19" s="1139"/>
      <c r="M19" s="1130"/>
      <c r="N19" s="1130"/>
      <c r="O19" s="1130"/>
      <c r="P19" s="3260"/>
      <c r="Q19" s="1808" t="str">
        <f>B19</f>
        <v>公共配套设施</v>
      </c>
      <c r="R19" s="773" t="s">
        <v>21</v>
      </c>
      <c r="S19" s="774">
        <f>F19</f>
        <v>100</v>
      </c>
      <c r="T19" s="773" t="s">
        <v>21</v>
      </c>
      <c r="U19" s="774">
        <f>H19</f>
        <v>100</v>
      </c>
      <c r="V19" s="773" t="s">
        <v>21</v>
      </c>
      <c r="W19" s="774">
        <f>J19</f>
        <v>100</v>
      </c>
      <c r="X19" s="1811"/>
      <c r="Y19" s="3216"/>
      <c r="Z19" s="1812" t="str">
        <f>Q19</f>
        <v>公共配套设施</v>
      </c>
      <c r="AA19" s="1809">
        <f t="shared" si="3"/>
        <v>1</v>
      </c>
      <c r="AB19" s="1809">
        <f t="shared" si="4"/>
        <v>1</v>
      </c>
      <c r="AC19" s="1809">
        <f t="shared" si="5"/>
        <v>1</v>
      </c>
    </row>
    <row r="20" spans="1:29" ht="15">
      <c r="A20" s="427"/>
      <c r="B20" s="455"/>
      <c r="C20" s="446" t="s">
        <v>3060</v>
      </c>
      <c r="D20" s="447"/>
      <c r="E20" s="2600" t="s">
        <v>3060</v>
      </c>
      <c r="F20" s="447"/>
      <c r="G20" s="2600" t="s">
        <v>3060</v>
      </c>
      <c r="H20" s="447"/>
      <c r="I20" s="2600" t="s">
        <v>3060</v>
      </c>
      <c r="J20" s="447"/>
      <c r="K20" s="2602"/>
      <c r="L20" s="1139"/>
      <c r="M20" s="1130"/>
      <c r="N20" s="1130"/>
      <c r="O20" s="1130"/>
      <c r="P20" s="3260"/>
      <c r="Q20" s="1808"/>
      <c r="R20" s="773"/>
      <c r="S20" s="774"/>
      <c r="T20" s="773"/>
      <c r="U20" s="774"/>
      <c r="V20" s="773"/>
      <c r="W20" s="774"/>
      <c r="X20" s="1811"/>
      <c r="Y20" s="3216"/>
      <c r="Z20" s="1812"/>
      <c r="AA20" s="1809">
        <v>1</v>
      </c>
      <c r="AB20" s="1809">
        <v>1</v>
      </c>
      <c r="AC20" s="1809">
        <v>1</v>
      </c>
    </row>
    <row r="21" spans="1:29" ht="28.5">
      <c r="A21" s="427"/>
      <c r="B21" s="1383" t="s">
        <v>2055</v>
      </c>
      <c r="C21" s="2603" t="str">
        <f>估价对象房地状况!C8</f>
        <v>估价对象所在区域基础设施水平较好</v>
      </c>
      <c r="D21" s="449">
        <v>100</v>
      </c>
      <c r="E21" s="458" t="s">
        <v>3055</v>
      </c>
      <c r="F21" s="454">
        <f>SUMIF(82:82,E22,83:83)-SUMIF(82:82,C22,83:83)+100</f>
        <v>100</v>
      </c>
      <c r="G21" s="458" t="s">
        <v>3055</v>
      </c>
      <c r="H21" s="449">
        <f>SUMIF(82:82,G22,83:83)-SUMIF(82:82,C22,83:83)+100</f>
        <v>100</v>
      </c>
      <c r="I21" s="458" t="s">
        <v>3055</v>
      </c>
      <c r="J21" s="449">
        <f>SUMIF(82:82,I22,83:83)-SUMIF(82:82,C22,83:83)+100</f>
        <v>100</v>
      </c>
      <c r="K21" s="444">
        <v>1</v>
      </c>
      <c r="L21" s="1139"/>
      <c r="M21" s="1130"/>
      <c r="N21" s="1130"/>
      <c r="O21" s="1130"/>
      <c r="P21" s="3260"/>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3"/>
      <c r="C22" s="2604" t="s">
        <v>3077</v>
      </c>
      <c r="D22" s="447"/>
      <c r="E22" s="446" t="s">
        <v>3077</v>
      </c>
      <c r="F22" s="447"/>
      <c r="G22" s="446" t="s">
        <v>3077</v>
      </c>
      <c r="H22" s="447"/>
      <c r="I22" s="446" t="s">
        <v>3077</v>
      </c>
      <c r="J22" s="447"/>
      <c r="K22" s="2608"/>
      <c r="L22" s="1139"/>
      <c r="M22" s="1130"/>
      <c r="N22" s="1130"/>
      <c r="O22" s="1130"/>
      <c r="P22" s="3260"/>
      <c r="Q22" s="1808"/>
      <c r="R22" s="773"/>
      <c r="S22" s="774"/>
      <c r="T22" s="773"/>
      <c r="U22" s="774"/>
      <c r="V22" s="773"/>
      <c r="W22" s="774"/>
      <c r="X22" s="1811"/>
      <c r="Y22" s="3216"/>
      <c r="Z22" s="1812"/>
      <c r="AA22" s="1809">
        <v>1</v>
      </c>
      <c r="AB22" s="1809">
        <v>1</v>
      </c>
      <c r="AC22" s="1809">
        <v>1</v>
      </c>
    </row>
    <row r="23" spans="1:29" ht="71.25">
      <c r="A23" s="427"/>
      <c r="B23" s="450" t="s">
        <v>2057</v>
      </c>
      <c r="C23" s="2603" t="str">
        <f>估价对象房地状况!C9</f>
        <v>区域自然环境好；人文环境较好；周边有南海子公园等，综合评价环境状况较好</v>
      </c>
      <c r="D23" s="449">
        <v>100</v>
      </c>
      <c r="E23" s="453" t="s">
        <v>3057</v>
      </c>
      <c r="F23" s="449">
        <f>SUMIF(84:84,E24,85:85)-SUMIF(84:84,C24,85:85)+100</f>
        <v>100</v>
      </c>
      <c r="G23" s="453" t="s">
        <v>3057</v>
      </c>
      <c r="H23" s="449">
        <f>SUMIF(84:84,G24,85:85)-SUMIF(84:84,C24,85:85)+100</f>
        <v>100</v>
      </c>
      <c r="I23" s="453" t="s">
        <v>3057</v>
      </c>
      <c r="J23" s="449">
        <f>SUMIF(84:84,I24,85:85)-SUMIF(84:84,C24,85:85)+100</f>
        <v>100</v>
      </c>
      <c r="K23" s="444">
        <v>1</v>
      </c>
      <c r="L23" s="1139"/>
      <c r="M23" s="1130"/>
      <c r="N23" s="1130"/>
      <c r="O23" s="1130"/>
      <c r="P23" s="3260"/>
      <c r="Q23" s="1808" t="str">
        <f>B23</f>
        <v>自然及人文环境</v>
      </c>
      <c r="R23" s="773" t="s">
        <v>21</v>
      </c>
      <c r="S23" s="774">
        <f>F23</f>
        <v>100</v>
      </c>
      <c r="T23" s="773" t="s">
        <v>21</v>
      </c>
      <c r="U23" s="774">
        <f>H23</f>
        <v>100</v>
      </c>
      <c r="V23" s="773" t="s">
        <v>21</v>
      </c>
      <c r="W23" s="774">
        <f>J23</f>
        <v>100</v>
      </c>
      <c r="X23" s="1811"/>
      <c r="Y23" s="3216"/>
      <c r="Z23" s="1812" t="str">
        <f>Q23</f>
        <v>自然及人文环境</v>
      </c>
      <c r="AA23" s="1809">
        <f>D23/F23</f>
        <v>1</v>
      </c>
      <c r="AB23" s="1809">
        <f>D23/H23</f>
        <v>1</v>
      </c>
      <c r="AC23" s="1809">
        <f>D23/J23</f>
        <v>1</v>
      </c>
    </row>
    <row r="24" spans="1:29" ht="15">
      <c r="A24" s="427"/>
      <c r="B24" s="455"/>
      <c r="C24" s="446" t="s">
        <v>3081</v>
      </c>
      <c r="D24" s="447"/>
      <c r="E24" s="2600" t="s">
        <v>3081</v>
      </c>
      <c r="F24" s="447"/>
      <c r="G24" s="2600" t="s">
        <v>3081</v>
      </c>
      <c r="H24" s="447"/>
      <c r="I24" s="2600" t="s">
        <v>3081</v>
      </c>
      <c r="J24" s="447"/>
      <c r="K24" s="2602"/>
      <c r="L24" s="1139"/>
      <c r="M24" s="1130"/>
      <c r="N24" s="1130"/>
      <c r="O24" s="1130"/>
      <c r="P24" s="3260"/>
      <c r="Q24" s="1808"/>
      <c r="R24" s="773"/>
      <c r="S24" s="774"/>
      <c r="T24" s="773"/>
      <c r="U24" s="774"/>
      <c r="V24" s="773"/>
      <c r="W24" s="774"/>
      <c r="X24" s="1811"/>
      <c r="Y24" s="3216"/>
      <c r="Z24" s="1812"/>
      <c r="AA24" s="1809">
        <v>1</v>
      </c>
      <c r="AB24" s="1809">
        <v>1</v>
      </c>
      <c r="AC24" s="1809">
        <v>1</v>
      </c>
    </row>
    <row r="25" spans="1:29" ht="15">
      <c r="A25" s="427"/>
      <c r="B25" s="421" t="s">
        <v>2512</v>
      </c>
      <c r="C25" s="459" t="s">
        <v>3066</v>
      </c>
      <c r="D25" s="434">
        <v>100</v>
      </c>
      <c r="E25" s="459" t="s">
        <v>3066</v>
      </c>
      <c r="F25" s="434">
        <f>SUMIF(86:86,E25,87:87)-SUMIF(86:86,C25,87:87)+100</f>
        <v>100</v>
      </c>
      <c r="G25" s="459" t="s">
        <v>3066</v>
      </c>
      <c r="H25" s="434">
        <f>SUMIF(86:86,G25,87:87)-SUMIF(86:86,C25,87:87)+100</f>
        <v>100</v>
      </c>
      <c r="I25" s="459" t="s">
        <v>3066</v>
      </c>
      <c r="J25" s="434">
        <f>SUMIF(86:86,I25,87:87)-SUMIF(86:86,C25,87:87)+100</f>
        <v>100</v>
      </c>
      <c r="K25" s="425">
        <v>1</v>
      </c>
      <c r="L25" s="1139"/>
      <c r="M25" s="1130"/>
      <c r="N25" s="1130"/>
      <c r="O25" s="1130"/>
      <c r="P25" s="326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6"/>
      <c r="Z25" s="1812" t="str">
        <f>Q25</f>
        <v>楼层-1</v>
      </c>
      <c r="AA25" s="1809">
        <f t="shared" ref="AA25:AA46" si="15">D25/F25</f>
        <v>1</v>
      </c>
      <c r="AB25" s="1809">
        <f t="shared" ref="AB25:AB46" si="16">D25/H25</f>
        <v>1</v>
      </c>
      <c r="AC25" s="1809">
        <f t="shared" ref="AC25:AC46" si="17">D25/J25</f>
        <v>1</v>
      </c>
    </row>
    <row r="26" spans="1:29" ht="15">
      <c r="A26" s="427"/>
      <c r="B26" s="421" t="s">
        <v>2513</v>
      </c>
      <c r="C26" s="459" t="s">
        <v>3066</v>
      </c>
      <c r="D26" s="434">
        <v>100</v>
      </c>
      <c r="E26" s="459" t="s">
        <v>3066</v>
      </c>
      <c r="F26" s="434">
        <f>SUMIF(88:88,E26,89:89)-SUMIF(88:88,C26,89:89)+100</f>
        <v>100</v>
      </c>
      <c r="G26" s="459" t="s">
        <v>3066</v>
      </c>
      <c r="H26" s="434">
        <f>SUMIF(88:88,G26,89:89)-SUMIF(88:88,C26,89:89)+100</f>
        <v>100</v>
      </c>
      <c r="I26" s="459" t="s">
        <v>3066</v>
      </c>
      <c r="J26" s="434">
        <f>SUMIF(88:88,I26,89:89)-SUMIF(88:88,C26,89:89)+100</f>
        <v>100</v>
      </c>
      <c r="K26" s="425">
        <v>1</v>
      </c>
      <c r="L26" s="1139"/>
      <c r="M26" s="1130"/>
      <c r="N26" s="1130"/>
      <c r="O26" s="1130"/>
      <c r="P26" s="3260"/>
      <c r="Q26" s="1808" t="str">
        <f t="shared" si="11"/>
        <v>朝向</v>
      </c>
      <c r="R26" s="773" t="s">
        <v>21</v>
      </c>
      <c r="S26" s="774">
        <f t="shared" si="12"/>
        <v>100</v>
      </c>
      <c r="T26" s="773" t="s">
        <v>21</v>
      </c>
      <c r="U26" s="774">
        <f t="shared" si="13"/>
        <v>100</v>
      </c>
      <c r="V26" s="773" t="s">
        <v>21</v>
      </c>
      <c r="W26" s="774">
        <f t="shared" si="14"/>
        <v>100</v>
      </c>
      <c r="X26" s="1811"/>
      <c r="Y26" s="3216"/>
      <c r="Z26" s="1812" t="str">
        <f>Q26</f>
        <v>朝向</v>
      </c>
      <c r="AA26" s="1809">
        <f t="shared" si="15"/>
        <v>1</v>
      </c>
      <c r="AB26" s="1809">
        <f t="shared" si="16"/>
        <v>1</v>
      </c>
      <c r="AC26" s="1809">
        <f t="shared" si="17"/>
        <v>1</v>
      </c>
    </row>
    <row r="27" spans="1:29" s="117" customFormat="1" ht="15">
      <c r="A27" s="430"/>
      <c r="B27" s="1385"/>
      <c r="C27" s="431"/>
      <c r="D27" s="461">
        <v>100</v>
      </c>
      <c r="E27" s="464"/>
      <c r="F27" s="461">
        <f>SUMIF(90:90,E27,91:91)-SUMIF(90:90,C27,91:91)+100</f>
        <v>100</v>
      </c>
      <c r="G27" s="462"/>
      <c r="H27" s="461">
        <f>SUMIF(90:90,G27,91:91)-SUMIF(90:90,C27,91:91)+100</f>
        <v>100</v>
      </c>
      <c r="I27" s="464"/>
      <c r="J27" s="461">
        <f>SUMIF(90:90,I27,91:91)-SUMIF(90:90,C27,91:91)+100</f>
        <v>100</v>
      </c>
      <c r="K27" s="2597"/>
      <c r="L27" s="1131"/>
      <c r="M27" s="1132"/>
      <c r="N27" s="1132"/>
      <c r="O27" s="1132"/>
      <c r="P27" s="3260"/>
      <c r="Q27" s="1793">
        <f t="shared" si="11"/>
        <v>0</v>
      </c>
      <c r="R27" s="769" t="s">
        <v>21</v>
      </c>
      <c r="S27" s="770">
        <f t="shared" si="12"/>
        <v>100</v>
      </c>
      <c r="T27" s="769" t="s">
        <v>21</v>
      </c>
      <c r="U27" s="770">
        <f t="shared" si="13"/>
        <v>100</v>
      </c>
      <c r="V27" s="769" t="s">
        <v>21</v>
      </c>
      <c r="W27" s="770">
        <f t="shared" si="14"/>
        <v>100</v>
      </c>
      <c r="X27" s="771"/>
      <c r="Y27" s="3216"/>
      <c r="Z27" s="55">
        <f>Q27</f>
        <v>0</v>
      </c>
      <c r="AA27" s="1809">
        <f t="shared" si="15"/>
        <v>1</v>
      </c>
      <c r="AB27" s="1809">
        <f t="shared" si="16"/>
        <v>1</v>
      </c>
      <c r="AC27" s="1809">
        <f t="shared" si="17"/>
        <v>1</v>
      </c>
    </row>
    <row r="28" spans="1:29" ht="15">
      <c r="A28" s="427"/>
      <c r="B28" s="1385"/>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60"/>
      <c r="Q28" s="1808">
        <f t="shared" si="11"/>
        <v>0</v>
      </c>
      <c r="R28" s="773" t="s">
        <v>21</v>
      </c>
      <c r="S28" s="774">
        <f t="shared" si="12"/>
        <v>100</v>
      </c>
      <c r="T28" s="773" t="s">
        <v>21</v>
      </c>
      <c r="U28" s="774">
        <f t="shared" si="13"/>
        <v>100</v>
      </c>
      <c r="V28" s="773" t="s">
        <v>21</v>
      </c>
      <c r="W28" s="774">
        <f t="shared" si="14"/>
        <v>100</v>
      </c>
      <c r="X28" s="1811"/>
      <c r="Y28" s="3216"/>
      <c r="Z28" s="1812">
        <f t="shared" ref="Z28:Z46" si="18">Q28</f>
        <v>0</v>
      </c>
      <c r="AA28" s="1809">
        <f t="shared" si="15"/>
        <v>1</v>
      </c>
      <c r="AB28" s="1809">
        <f t="shared" si="16"/>
        <v>1</v>
      </c>
      <c r="AC28" s="1809">
        <f t="shared" si="17"/>
        <v>1</v>
      </c>
    </row>
    <row r="29" spans="1:29" ht="15">
      <c r="A29" s="427"/>
      <c r="B29" s="1385"/>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60"/>
      <c r="Q29" s="1808">
        <f t="shared" si="11"/>
        <v>0</v>
      </c>
      <c r="R29" s="773" t="s">
        <v>21</v>
      </c>
      <c r="S29" s="774">
        <f t="shared" si="12"/>
        <v>100</v>
      </c>
      <c r="T29" s="773" t="s">
        <v>21</v>
      </c>
      <c r="U29" s="774">
        <f t="shared" si="13"/>
        <v>100</v>
      </c>
      <c r="V29" s="773" t="s">
        <v>21</v>
      </c>
      <c r="W29" s="774">
        <f t="shared" si="14"/>
        <v>100</v>
      </c>
      <c r="X29" s="1811"/>
      <c r="Y29" s="3216"/>
      <c r="Z29" s="1812">
        <f t="shared" si="18"/>
        <v>0</v>
      </c>
      <c r="AA29" s="1809">
        <f t="shared" si="15"/>
        <v>1</v>
      </c>
      <c r="AB29" s="1809">
        <f t="shared" si="16"/>
        <v>1</v>
      </c>
      <c r="AC29" s="1809">
        <f t="shared" si="17"/>
        <v>1</v>
      </c>
    </row>
    <row r="30" spans="1:29" ht="15">
      <c r="A30" s="427"/>
      <c r="B30" s="1385"/>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60"/>
      <c r="Q30" s="1808">
        <f t="shared" si="11"/>
        <v>0</v>
      </c>
      <c r="R30" s="773" t="s">
        <v>21</v>
      </c>
      <c r="S30" s="774">
        <f t="shared" si="12"/>
        <v>100</v>
      </c>
      <c r="T30" s="773" t="s">
        <v>21</v>
      </c>
      <c r="U30" s="774">
        <f t="shared" si="13"/>
        <v>100</v>
      </c>
      <c r="V30" s="773" t="s">
        <v>21</v>
      </c>
      <c r="W30" s="774">
        <f t="shared" si="14"/>
        <v>100</v>
      </c>
      <c r="X30" s="1811"/>
      <c r="Y30" s="3216"/>
      <c r="Z30" s="1812">
        <f t="shared" si="18"/>
        <v>0</v>
      </c>
      <c r="AA30" s="1809">
        <f t="shared" si="15"/>
        <v>1</v>
      </c>
      <c r="AB30" s="1809">
        <f t="shared" si="16"/>
        <v>1</v>
      </c>
      <c r="AC30" s="1809">
        <f t="shared" si="17"/>
        <v>1</v>
      </c>
    </row>
    <row r="31" spans="1:29" ht="15.75" thickBot="1">
      <c r="A31" s="435"/>
      <c r="B31" s="1385"/>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60"/>
      <c r="Q31" s="1808">
        <f t="shared" si="11"/>
        <v>0</v>
      </c>
      <c r="R31" s="773" t="s">
        <v>21</v>
      </c>
      <c r="S31" s="774">
        <f t="shared" si="12"/>
        <v>100</v>
      </c>
      <c r="T31" s="773" t="s">
        <v>21</v>
      </c>
      <c r="U31" s="774">
        <f t="shared" si="13"/>
        <v>100</v>
      </c>
      <c r="V31" s="773" t="s">
        <v>21</v>
      </c>
      <c r="W31" s="774">
        <f t="shared" si="14"/>
        <v>100</v>
      </c>
      <c r="X31" s="1811"/>
      <c r="Y31" s="3216"/>
      <c r="Z31" s="1812">
        <f t="shared" si="18"/>
        <v>0</v>
      </c>
      <c r="AA31" s="1809">
        <f t="shared" si="15"/>
        <v>1</v>
      </c>
      <c r="AB31" s="1809">
        <f t="shared" si="16"/>
        <v>1</v>
      </c>
      <c r="AC31" s="1809">
        <f t="shared" si="17"/>
        <v>1</v>
      </c>
    </row>
    <row r="32" spans="1:29" ht="15">
      <c r="A32" s="439" t="s">
        <v>2514</v>
      </c>
      <c r="B32" s="71" t="s">
        <v>2515</v>
      </c>
      <c r="C32" s="2613" t="s">
        <v>3067</v>
      </c>
      <c r="D32" s="466">
        <v>100</v>
      </c>
      <c r="E32" s="2614" t="s">
        <v>3067</v>
      </c>
      <c r="F32" s="460">
        <f>SUMIF(100:100,E32,101:101)-SUMIF(100:100,C32,101:101)+100</f>
        <v>100</v>
      </c>
      <c r="G32" s="2614" t="s">
        <v>3067</v>
      </c>
      <c r="H32" s="466">
        <f>SUMIF(100:100,G32,101:101)-SUMIF(100:100,C32,101:101)+100</f>
        <v>100</v>
      </c>
      <c r="I32" s="2614" t="s">
        <v>3067</v>
      </c>
      <c r="J32" s="434">
        <f>SUMIF(100:100,I32,101:101)-SUMIF(100:100,C32,101:101)+100</f>
        <v>100</v>
      </c>
      <c r="K32" s="425">
        <v>1</v>
      </c>
      <c r="L32" s="1139"/>
      <c r="M32" s="1130"/>
      <c r="N32" s="1130"/>
      <c r="O32" s="1130"/>
      <c r="P32" s="3255" t="s">
        <v>2516</v>
      </c>
      <c r="Q32" s="1808" t="str">
        <f t="shared" si="11"/>
        <v>建筑类型</v>
      </c>
      <c r="R32" s="773" t="s">
        <v>21</v>
      </c>
      <c r="S32" s="774">
        <f t="shared" si="12"/>
        <v>100</v>
      </c>
      <c r="T32" s="773" t="s">
        <v>21</v>
      </c>
      <c r="U32" s="774">
        <f t="shared" si="13"/>
        <v>100</v>
      </c>
      <c r="V32" s="773" t="s">
        <v>21</v>
      </c>
      <c r="W32" s="774">
        <f t="shared" si="14"/>
        <v>100</v>
      </c>
      <c r="X32" s="1811"/>
      <c r="Y32" s="3218" t="s">
        <v>2516</v>
      </c>
      <c r="Z32" s="1812" t="str">
        <f t="shared" si="18"/>
        <v>建筑类型</v>
      </c>
      <c r="AA32" s="1809">
        <f t="shared" si="15"/>
        <v>1</v>
      </c>
      <c r="AB32" s="1809">
        <f t="shared" si="16"/>
        <v>1</v>
      </c>
      <c r="AC32" s="1809">
        <f t="shared" si="17"/>
        <v>1</v>
      </c>
    </row>
    <row r="33" spans="1:29" s="470" customFormat="1" ht="15">
      <c r="A33" s="467"/>
      <c r="B33" s="421" t="s">
        <v>2517</v>
      </c>
      <c r="C33" s="468">
        <f>'数据-汇总表'!E3</f>
        <v>123740.26</v>
      </c>
      <c r="D33" s="135">
        <v>100</v>
      </c>
      <c r="E33" s="429">
        <v>145091</v>
      </c>
      <c r="F33" s="424">
        <f>LOOKUP(E33,103:103,104:104)-LOOKUP(C33,103:103,104:104)+100</f>
        <v>100</v>
      </c>
      <c r="G33" s="428">
        <v>48600</v>
      </c>
      <c r="H33" s="135">
        <f>LOOKUP(G33,103:103,104:104)-LOOKUP(C33,103:103,104:104)+100</f>
        <v>98</v>
      </c>
      <c r="I33" s="429">
        <v>133506</v>
      </c>
      <c r="J33" s="135">
        <f>LOOKUP(I33,103:103,104:104)-LOOKUP(C33,103:103,104:104)+100</f>
        <v>100</v>
      </c>
      <c r="K33" s="2597"/>
      <c r="L33" s="1137"/>
      <c r="M33" s="1140"/>
      <c r="N33" s="1140"/>
      <c r="O33" s="1140"/>
      <c r="P33" s="3256"/>
      <c r="Q33" s="775" t="str">
        <f t="shared" si="11"/>
        <v>项目建筑规模</v>
      </c>
      <c r="R33" s="776" t="s">
        <v>21</v>
      </c>
      <c r="S33" s="777">
        <f t="shared" si="12"/>
        <v>100</v>
      </c>
      <c r="T33" s="776" t="s">
        <v>21</v>
      </c>
      <c r="U33" s="777">
        <f t="shared" si="13"/>
        <v>98</v>
      </c>
      <c r="V33" s="776" t="s">
        <v>21</v>
      </c>
      <c r="W33" s="777">
        <f t="shared" si="14"/>
        <v>100</v>
      </c>
      <c r="X33" s="778"/>
      <c r="Y33" s="3218"/>
      <c r="Z33" s="779" t="str">
        <f t="shared" si="18"/>
        <v>项目建筑规模</v>
      </c>
      <c r="AA33" s="1809">
        <f t="shared" si="15"/>
        <v>1</v>
      </c>
      <c r="AB33" s="1809">
        <f t="shared" si="16"/>
        <v>1.0204081632653061</v>
      </c>
      <c r="AC33" s="1809">
        <f t="shared" si="17"/>
        <v>1</v>
      </c>
    </row>
    <row r="34" spans="1:29" ht="15">
      <c r="A34" s="471"/>
      <c r="B34" s="421" t="s">
        <v>2518</v>
      </c>
      <c r="C34" s="2615" t="s">
        <v>3069</v>
      </c>
      <c r="D34" s="434">
        <v>100</v>
      </c>
      <c r="E34" s="2616" t="s">
        <v>3069</v>
      </c>
      <c r="F34" s="460">
        <f>SUMIF(105:105,E34,106:106)-SUMIF(105:105,C34,106:106)+100</f>
        <v>100</v>
      </c>
      <c r="G34" s="2616" t="s">
        <v>3069</v>
      </c>
      <c r="H34" s="434">
        <f>SUMIF(105:105,G34,106:106)-SUMIF(105:105,C34,106:106)+100</f>
        <v>100</v>
      </c>
      <c r="I34" s="2616" t="s">
        <v>3069</v>
      </c>
      <c r="J34" s="434">
        <f>SUMIF(105:105,I34,106:106)-SUMIF(105:105,C34,106:106)+100</f>
        <v>100</v>
      </c>
      <c r="K34" s="425">
        <v>1</v>
      </c>
      <c r="L34" s="1139"/>
      <c r="M34" s="1130"/>
      <c r="N34" s="1130"/>
      <c r="O34" s="1130"/>
      <c r="P34" s="3256"/>
      <c r="Q34" s="1808" t="str">
        <f t="shared" si="11"/>
        <v>建筑结构</v>
      </c>
      <c r="R34" s="773" t="s">
        <v>21</v>
      </c>
      <c r="S34" s="774">
        <f t="shared" si="12"/>
        <v>100</v>
      </c>
      <c r="T34" s="773" t="s">
        <v>21</v>
      </c>
      <c r="U34" s="774">
        <f t="shared" si="13"/>
        <v>100</v>
      </c>
      <c r="V34" s="773" t="s">
        <v>21</v>
      </c>
      <c r="W34" s="774">
        <f t="shared" si="14"/>
        <v>100</v>
      </c>
      <c r="X34" s="1811"/>
      <c r="Y34" s="3218"/>
      <c r="Z34" s="1812" t="str">
        <f t="shared" si="18"/>
        <v>建筑结构</v>
      </c>
      <c r="AA34" s="1809">
        <f t="shared" si="15"/>
        <v>1</v>
      </c>
      <c r="AB34" s="1809">
        <f t="shared" si="16"/>
        <v>1</v>
      </c>
      <c r="AC34" s="1809">
        <f t="shared" si="17"/>
        <v>1</v>
      </c>
    </row>
    <row r="35" spans="1:29" ht="15">
      <c r="A35" s="471"/>
      <c r="B35" s="421" t="s">
        <v>2519</v>
      </c>
      <c r="C35" s="2609" t="s">
        <v>3071</v>
      </c>
      <c r="D35" s="434">
        <v>100</v>
      </c>
      <c r="E35" s="2610" t="s">
        <v>3071</v>
      </c>
      <c r="F35" s="460">
        <f>SUMIF(107:107,E35,108:108)-SUMIF(107:107,C35,108:108)+100</f>
        <v>100</v>
      </c>
      <c r="G35" s="2610" t="s">
        <v>3071</v>
      </c>
      <c r="H35" s="434">
        <f>SUMIF(107:107,G35,108:108)-SUMIF(107:107,C35,108:108)+100</f>
        <v>100</v>
      </c>
      <c r="I35" s="2610" t="s">
        <v>3071</v>
      </c>
      <c r="J35" s="434">
        <f>SUMIF(107:107,I35,108:108)-SUMIF(107:107,C35,108:108)+100</f>
        <v>100</v>
      </c>
      <c r="K35" s="425">
        <v>1</v>
      </c>
      <c r="L35" s="1139"/>
      <c r="M35" s="1130"/>
      <c r="N35" s="1130"/>
      <c r="O35" s="1130"/>
      <c r="P35" s="3256"/>
      <c r="Q35" s="1808" t="str">
        <f t="shared" si="11"/>
        <v>建筑品质</v>
      </c>
      <c r="R35" s="773" t="s">
        <v>21</v>
      </c>
      <c r="S35" s="774">
        <f t="shared" si="12"/>
        <v>100</v>
      </c>
      <c r="T35" s="773" t="s">
        <v>21</v>
      </c>
      <c r="U35" s="774">
        <f t="shared" si="13"/>
        <v>100</v>
      </c>
      <c r="V35" s="773" t="s">
        <v>21</v>
      </c>
      <c r="W35" s="774">
        <f t="shared" si="14"/>
        <v>100</v>
      </c>
      <c r="X35" s="1811"/>
      <c r="Y35" s="3218"/>
      <c r="Z35" s="1812" t="str">
        <f t="shared" si="18"/>
        <v>建筑品质</v>
      </c>
      <c r="AA35" s="1809">
        <f t="shared" si="15"/>
        <v>1</v>
      </c>
      <c r="AB35" s="1809">
        <f t="shared" si="16"/>
        <v>1</v>
      </c>
      <c r="AC35" s="1809">
        <f t="shared" si="17"/>
        <v>1</v>
      </c>
    </row>
    <row r="36" spans="1:29" ht="15">
      <c r="A36" s="471"/>
      <c r="B36" s="421" t="s">
        <v>2520</v>
      </c>
      <c r="C36" s="2609" t="s">
        <v>3073</v>
      </c>
      <c r="D36" s="434">
        <v>100</v>
      </c>
      <c r="E36" s="2610" t="s">
        <v>3073</v>
      </c>
      <c r="F36" s="460">
        <f>SUMIF(109:109,E36,110:110)-SUMIF(109:109,C36,110:110)+100</f>
        <v>100</v>
      </c>
      <c r="G36" s="2610" t="s">
        <v>3073</v>
      </c>
      <c r="H36" s="434">
        <f>SUMIF(109:109,G36,110:110)-SUMIF(109:109,C36,110:110)+100</f>
        <v>100</v>
      </c>
      <c r="I36" s="2610" t="s">
        <v>3073</v>
      </c>
      <c r="J36" s="434">
        <f>SUMIF(109:109,I36,110:110)-SUMIF(109:109,C36,110:110)+100</f>
        <v>100</v>
      </c>
      <c r="K36" s="425">
        <v>1</v>
      </c>
      <c r="L36" s="1139"/>
      <c r="M36" s="1130"/>
      <c r="N36" s="1130"/>
      <c r="O36" s="1130"/>
      <c r="P36" s="3256"/>
      <c r="Q36" s="1808" t="str">
        <f t="shared" si="11"/>
        <v>公共部分装修</v>
      </c>
      <c r="R36" s="773" t="s">
        <v>21</v>
      </c>
      <c r="S36" s="774">
        <f t="shared" si="12"/>
        <v>100</v>
      </c>
      <c r="T36" s="773" t="s">
        <v>21</v>
      </c>
      <c r="U36" s="774">
        <f t="shared" si="13"/>
        <v>100</v>
      </c>
      <c r="V36" s="773" t="s">
        <v>21</v>
      </c>
      <c r="W36" s="774">
        <f t="shared" si="14"/>
        <v>100</v>
      </c>
      <c r="X36" s="1811"/>
      <c r="Y36" s="3218"/>
      <c r="Z36" s="1812" t="str">
        <f t="shared" si="18"/>
        <v>公共部分装修</v>
      </c>
      <c r="AA36" s="1809">
        <f t="shared" si="15"/>
        <v>1</v>
      </c>
      <c r="AB36" s="1809">
        <f t="shared" si="16"/>
        <v>1</v>
      </c>
      <c r="AC36" s="1809">
        <f t="shared" si="17"/>
        <v>1</v>
      </c>
    </row>
    <row r="37" spans="1:29" s="117" customFormat="1" ht="15">
      <c r="A37" s="472"/>
      <c r="B37" s="421" t="s">
        <v>2521</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1"/>
      <c r="M37" s="1132"/>
      <c r="N37" s="1132"/>
      <c r="O37" s="1132"/>
      <c r="P37" s="3256"/>
      <c r="Q37" s="1793" t="str">
        <f t="shared" si="11"/>
        <v>成新度</v>
      </c>
      <c r="R37" s="769" t="s">
        <v>21</v>
      </c>
      <c r="S37" s="770">
        <f t="shared" si="12"/>
        <v>100</v>
      </c>
      <c r="T37" s="769" t="s">
        <v>21</v>
      </c>
      <c r="U37" s="770">
        <f t="shared" si="13"/>
        <v>100</v>
      </c>
      <c r="V37" s="769" t="s">
        <v>21</v>
      </c>
      <c r="W37" s="770">
        <f t="shared" si="14"/>
        <v>100</v>
      </c>
      <c r="X37" s="771"/>
      <c r="Y37" s="3218"/>
      <c r="Z37" s="55" t="str">
        <f t="shared" si="18"/>
        <v>成新度</v>
      </c>
      <c r="AA37" s="772">
        <f t="shared" si="15"/>
        <v>1</v>
      </c>
      <c r="AB37" s="772">
        <f t="shared" si="16"/>
        <v>1</v>
      </c>
      <c r="AC37" s="772">
        <f t="shared" si="17"/>
        <v>1</v>
      </c>
    </row>
    <row r="38" spans="1:29" ht="15">
      <c r="A38" s="471"/>
      <c r="B38" s="421" t="s">
        <v>2522</v>
      </c>
      <c r="C38" s="2609" t="s">
        <v>3075</v>
      </c>
      <c r="D38" s="434">
        <v>100</v>
      </c>
      <c r="E38" s="2610" t="s">
        <v>3075</v>
      </c>
      <c r="F38" s="460">
        <f>SUMIF(114:114,E38,115:115)-SUMIF(114:114,C38,115:115)+100</f>
        <v>100</v>
      </c>
      <c r="G38" s="2610" t="s">
        <v>3075</v>
      </c>
      <c r="H38" s="434">
        <f>SUMIF(114:114,G38,115:115)-SUMIF(114:114,C38,115:115)+100</f>
        <v>100</v>
      </c>
      <c r="I38" s="2610" t="s">
        <v>3075</v>
      </c>
      <c r="J38" s="434">
        <f>SUMIF(114:114,I38,115:115)-SUMIF(114:114,C38,115:115)+100</f>
        <v>100</v>
      </c>
      <c r="K38" s="425">
        <v>1</v>
      </c>
      <c r="L38" s="1139"/>
      <c r="M38" s="1130"/>
      <c r="N38" s="1130"/>
      <c r="O38" s="1130"/>
      <c r="P38" s="3256" t="s">
        <v>2516</v>
      </c>
      <c r="Q38" s="1808" t="str">
        <f t="shared" si="11"/>
        <v>物业管理</v>
      </c>
      <c r="R38" s="773" t="s">
        <v>21</v>
      </c>
      <c r="S38" s="774">
        <f t="shared" si="12"/>
        <v>100</v>
      </c>
      <c r="T38" s="773" t="s">
        <v>21</v>
      </c>
      <c r="U38" s="774">
        <f t="shared" si="13"/>
        <v>100</v>
      </c>
      <c r="V38" s="773" t="s">
        <v>21</v>
      </c>
      <c r="W38" s="774">
        <f t="shared" si="14"/>
        <v>100</v>
      </c>
      <c r="X38" s="1811"/>
      <c r="Y38" s="3218" t="s">
        <v>2516</v>
      </c>
      <c r="Z38" s="1812" t="str">
        <f t="shared" si="18"/>
        <v>物业管理</v>
      </c>
      <c r="AA38" s="1809">
        <f t="shared" si="15"/>
        <v>1</v>
      </c>
      <c r="AB38" s="1809">
        <f t="shared" si="16"/>
        <v>1</v>
      </c>
      <c r="AC38" s="1809">
        <f t="shared" si="17"/>
        <v>1</v>
      </c>
    </row>
    <row r="39" spans="1:29" ht="15">
      <c r="A39" s="471"/>
      <c r="B39" s="421" t="s">
        <v>2523</v>
      </c>
      <c r="C39" s="2609" t="s">
        <v>3077</v>
      </c>
      <c r="D39" s="434">
        <v>100</v>
      </c>
      <c r="E39" s="2610" t="s">
        <v>3077</v>
      </c>
      <c r="F39" s="460">
        <f>SUMIF(116:116,E39,117:117)-SUMIF(116:116,C39,117:117)+100</f>
        <v>100</v>
      </c>
      <c r="G39" s="2610" t="s">
        <v>3077</v>
      </c>
      <c r="H39" s="434">
        <f>SUMIF(116:116,G39,117:117)-SUMIF(116:116,C39,117:117)+100</f>
        <v>100</v>
      </c>
      <c r="I39" s="2610" t="s">
        <v>3077</v>
      </c>
      <c r="J39" s="434">
        <f>SUMIF(116:116,I39,117:117)-SUMIF(116:116,C39,117:117)+100</f>
        <v>100</v>
      </c>
      <c r="K39" s="425">
        <v>1</v>
      </c>
      <c r="L39" s="1139"/>
      <c r="M39" s="1130"/>
      <c r="N39" s="1130"/>
      <c r="O39" s="1130"/>
      <c r="P39" s="3256"/>
      <c r="Q39" s="1808" t="str">
        <f t="shared" si="11"/>
        <v>市政基础设施</v>
      </c>
      <c r="R39" s="773" t="s">
        <v>21</v>
      </c>
      <c r="S39" s="774">
        <f t="shared" si="12"/>
        <v>100</v>
      </c>
      <c r="T39" s="773" t="s">
        <v>21</v>
      </c>
      <c r="U39" s="774">
        <f t="shared" si="13"/>
        <v>100</v>
      </c>
      <c r="V39" s="773" t="s">
        <v>21</v>
      </c>
      <c r="W39" s="774">
        <f t="shared" si="14"/>
        <v>100</v>
      </c>
      <c r="X39" s="1811"/>
      <c r="Y39" s="3218"/>
      <c r="Z39" s="1812" t="str">
        <f t="shared" si="18"/>
        <v>市政基础设施</v>
      </c>
      <c r="AA39" s="1809">
        <f t="shared" si="15"/>
        <v>1</v>
      </c>
      <c r="AB39" s="1809">
        <f t="shared" si="16"/>
        <v>1</v>
      </c>
      <c r="AC39" s="1809">
        <f t="shared" si="17"/>
        <v>1</v>
      </c>
    </row>
    <row r="40" spans="1:29" ht="15">
      <c r="A40" s="471"/>
      <c r="B40" s="421" t="s">
        <v>2524</v>
      </c>
      <c r="C40" s="2609" t="s">
        <v>70</v>
      </c>
      <c r="D40" s="434">
        <v>100</v>
      </c>
      <c r="E40" s="2610" t="s">
        <v>70</v>
      </c>
      <c r="F40" s="460">
        <f>SUMIF(118:118,E40,119:119)-SUMIF(118:118,C40,119:119)+100</f>
        <v>100</v>
      </c>
      <c r="G40" s="2610" t="s">
        <v>70</v>
      </c>
      <c r="H40" s="434">
        <f>SUMIF(118:118,G40,119:119)-SUMIF(118:118,C40,119:119)+100</f>
        <v>100</v>
      </c>
      <c r="I40" s="2610" t="s">
        <v>70</v>
      </c>
      <c r="J40" s="434">
        <f>SUMIF(118:118,I40,119:119)-SUMIF(118:118,C40,119:119)+100</f>
        <v>100</v>
      </c>
      <c r="K40" s="425">
        <v>1</v>
      </c>
      <c r="L40" s="1139"/>
      <c r="M40" s="1130"/>
      <c r="N40" s="1130"/>
      <c r="O40" s="1130"/>
      <c r="P40" s="3256"/>
      <c r="Q40" s="1808" t="str">
        <f t="shared" si="11"/>
        <v>房型</v>
      </c>
      <c r="R40" s="773" t="s">
        <v>21</v>
      </c>
      <c r="S40" s="774">
        <f t="shared" si="12"/>
        <v>100</v>
      </c>
      <c r="T40" s="773" t="s">
        <v>21</v>
      </c>
      <c r="U40" s="774">
        <f t="shared" si="13"/>
        <v>100</v>
      </c>
      <c r="V40" s="773" t="s">
        <v>21</v>
      </c>
      <c r="W40" s="774">
        <f t="shared" si="14"/>
        <v>100</v>
      </c>
      <c r="X40" s="1811"/>
      <c r="Y40" s="3218"/>
      <c r="Z40" s="1812" t="str">
        <f t="shared" si="18"/>
        <v>房型</v>
      </c>
      <c r="AA40" s="1809">
        <f t="shared" si="15"/>
        <v>1</v>
      </c>
      <c r="AB40" s="1809">
        <f t="shared" si="16"/>
        <v>1</v>
      </c>
      <c r="AC40" s="1809">
        <f t="shared" si="17"/>
        <v>1</v>
      </c>
    </row>
    <row r="41" spans="1:29" s="470" customFormat="1" ht="28.5">
      <c r="A41" s="467"/>
      <c r="B41" s="421" t="s">
        <v>2525</v>
      </c>
      <c r="C41" s="468" t="s">
        <v>3066</v>
      </c>
      <c r="D41" s="135">
        <v>100</v>
      </c>
      <c r="E41" s="429" t="s">
        <v>70</v>
      </c>
      <c r="F41" s="424">
        <f>SUMIF(120:120,E41,121:121)-SUMIF(120:120,C41,121:121)+100</f>
        <v>100</v>
      </c>
      <c r="G41" s="429" t="s">
        <v>70</v>
      </c>
      <c r="H41" s="135">
        <f>SUMIF(120:120,G41,121:121)-SUMIF(120:120,C41,121:121)+100</f>
        <v>100</v>
      </c>
      <c r="I41" s="429" t="s">
        <v>70</v>
      </c>
      <c r="J41" s="434">
        <f>SUMIF(120:120,I41,121:121)-SUMIF(120:120,C41,121:121)+100</f>
        <v>100</v>
      </c>
      <c r="K41" s="2597"/>
      <c r="L41" s="1137"/>
      <c r="M41" s="1140"/>
      <c r="N41" s="1140"/>
      <c r="O41" s="1140"/>
      <c r="P41" s="325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09">
        <f t="shared" si="15"/>
        <v>1</v>
      </c>
      <c r="AB41" s="1809">
        <f t="shared" si="16"/>
        <v>1</v>
      </c>
      <c r="AC41" s="1809">
        <f t="shared" si="17"/>
        <v>1</v>
      </c>
    </row>
    <row r="42" spans="1:29" ht="15">
      <c r="A42" s="471"/>
      <c r="B42" s="421" t="s">
        <v>2526</v>
      </c>
      <c r="C42" s="2609" t="s">
        <v>3089</v>
      </c>
      <c r="D42" s="434">
        <v>100</v>
      </c>
      <c r="E42" s="2610" t="s">
        <v>3089</v>
      </c>
      <c r="F42" s="460">
        <f>SUMIF(122:122,E42,123:123)-SUMIF(122:122,C42,123:123)+100</f>
        <v>100</v>
      </c>
      <c r="G42" s="2610" t="s">
        <v>3089</v>
      </c>
      <c r="H42" s="434">
        <f>SUMIF(122:122,G42,123:123)-SUMIF(122:122,C42,123:123)+100</f>
        <v>100</v>
      </c>
      <c r="I42" s="2610" t="s">
        <v>3089</v>
      </c>
      <c r="J42" s="434">
        <f>SUMIF(122:122,I42,123:123)-SUMIF(122:122,C42,123:123)+100</f>
        <v>100</v>
      </c>
      <c r="K42" s="425">
        <v>2</v>
      </c>
      <c r="L42" s="1139"/>
      <c r="M42" s="1130"/>
      <c r="N42" s="1130"/>
      <c r="O42" s="1130"/>
      <c r="P42" s="3256"/>
      <c r="Q42" s="1808" t="str">
        <f t="shared" si="11"/>
        <v>内部装修</v>
      </c>
      <c r="R42" s="773" t="s">
        <v>21</v>
      </c>
      <c r="S42" s="774">
        <f t="shared" si="12"/>
        <v>100</v>
      </c>
      <c r="T42" s="773" t="s">
        <v>21</v>
      </c>
      <c r="U42" s="774">
        <f t="shared" si="13"/>
        <v>100</v>
      </c>
      <c r="V42" s="773" t="s">
        <v>21</v>
      </c>
      <c r="W42" s="774">
        <f t="shared" si="14"/>
        <v>100</v>
      </c>
      <c r="X42" s="1811"/>
      <c r="Y42" s="3218"/>
      <c r="Z42" s="1812" t="str">
        <f t="shared" si="18"/>
        <v>内部装修</v>
      </c>
      <c r="AA42" s="1809">
        <f t="shared" si="15"/>
        <v>1</v>
      </c>
      <c r="AB42" s="1809">
        <f t="shared" si="16"/>
        <v>1</v>
      </c>
      <c r="AC42" s="1809">
        <f t="shared" si="17"/>
        <v>1</v>
      </c>
    </row>
    <row r="43" spans="1:29" ht="15">
      <c r="A43" s="471"/>
      <c r="B43" s="421" t="s">
        <v>2527</v>
      </c>
      <c r="C43" s="2609" t="s">
        <v>3081</v>
      </c>
      <c r="D43" s="434">
        <v>100</v>
      </c>
      <c r="E43" s="2610" t="s">
        <v>3081</v>
      </c>
      <c r="F43" s="460">
        <f>SUMIF(124:124,E43,125:125)-SUMIF(124:124,C43,125:125)+100</f>
        <v>100</v>
      </c>
      <c r="G43" s="2610" t="s">
        <v>3081</v>
      </c>
      <c r="H43" s="434">
        <f>SUMIF(124:124,G43,125:125)-SUMIF(124:124,C43,125:125)+100</f>
        <v>100</v>
      </c>
      <c r="I43" s="2610" t="s">
        <v>3081</v>
      </c>
      <c r="J43" s="434">
        <f>SUMIF(124:124,I43,125:125)-SUMIF(124:124,C43,125:125)+100</f>
        <v>100</v>
      </c>
      <c r="K43" s="425">
        <v>1</v>
      </c>
      <c r="L43" s="1139"/>
      <c r="M43" s="1130"/>
      <c r="N43" s="1130"/>
      <c r="O43" s="1130"/>
      <c r="P43" s="3256"/>
      <c r="Q43" s="1808" t="str">
        <f t="shared" si="11"/>
        <v>内部装修维护情况</v>
      </c>
      <c r="R43" s="773" t="s">
        <v>21</v>
      </c>
      <c r="S43" s="774">
        <f t="shared" si="12"/>
        <v>100</v>
      </c>
      <c r="T43" s="773" t="s">
        <v>21</v>
      </c>
      <c r="U43" s="774">
        <f t="shared" si="13"/>
        <v>100</v>
      </c>
      <c r="V43" s="773" t="s">
        <v>21</v>
      </c>
      <c r="W43" s="774">
        <f t="shared" si="14"/>
        <v>100</v>
      </c>
      <c r="X43" s="1811"/>
      <c r="Y43" s="3218"/>
      <c r="Z43" s="1812" t="str">
        <f t="shared" si="18"/>
        <v>内部装修维护情况</v>
      </c>
      <c r="AA43" s="1809">
        <f t="shared" si="15"/>
        <v>1</v>
      </c>
      <c r="AB43" s="1809">
        <f t="shared" si="16"/>
        <v>1</v>
      </c>
      <c r="AC43" s="1809">
        <f t="shared" si="17"/>
        <v>1</v>
      </c>
    </row>
    <row r="44" spans="1:29" s="117" customFormat="1" ht="15">
      <c r="A44" s="472"/>
      <c r="B44" s="1385"/>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56"/>
      <c r="Q44" s="1793">
        <f t="shared" si="11"/>
        <v>0</v>
      </c>
      <c r="R44" s="769" t="s">
        <v>21</v>
      </c>
      <c r="S44" s="770">
        <f t="shared" si="12"/>
        <v>100</v>
      </c>
      <c r="T44" s="769" t="s">
        <v>21</v>
      </c>
      <c r="U44" s="770">
        <f t="shared" si="13"/>
        <v>100</v>
      </c>
      <c r="V44" s="769" t="s">
        <v>21</v>
      </c>
      <c r="W44" s="770">
        <f t="shared" si="14"/>
        <v>100</v>
      </c>
      <c r="X44" s="771"/>
      <c r="Y44" s="3218"/>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56"/>
      <c r="Q45" s="1808">
        <f t="shared" si="11"/>
        <v>0</v>
      </c>
      <c r="R45" s="773" t="s">
        <v>21</v>
      </c>
      <c r="S45" s="774">
        <f t="shared" si="12"/>
        <v>100</v>
      </c>
      <c r="T45" s="773" t="s">
        <v>21</v>
      </c>
      <c r="U45" s="774">
        <f t="shared" si="13"/>
        <v>100</v>
      </c>
      <c r="V45" s="773" t="s">
        <v>21</v>
      </c>
      <c r="W45" s="774">
        <f t="shared" si="14"/>
        <v>100</v>
      </c>
      <c r="X45" s="1811"/>
      <c r="Y45" s="3218"/>
      <c r="Z45" s="1812">
        <f t="shared" si="18"/>
        <v>0</v>
      </c>
      <c r="AA45" s="1809">
        <f t="shared" si="15"/>
        <v>1</v>
      </c>
      <c r="AB45" s="1809">
        <f t="shared" si="16"/>
        <v>1</v>
      </c>
      <c r="AC45" s="1809">
        <f t="shared" si="17"/>
        <v>1</v>
      </c>
    </row>
    <row r="46" spans="1:29" ht="15.75" thickBot="1">
      <c r="A46" s="477"/>
      <c r="B46" s="2598"/>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57"/>
      <c r="Q46" s="1808">
        <f t="shared" si="11"/>
        <v>0</v>
      </c>
      <c r="R46" s="773" t="s">
        <v>20</v>
      </c>
      <c r="S46" s="774">
        <f t="shared" si="12"/>
        <v>100</v>
      </c>
      <c r="T46" s="773" t="s">
        <v>20</v>
      </c>
      <c r="U46" s="774">
        <f t="shared" si="13"/>
        <v>100</v>
      </c>
      <c r="V46" s="773" t="s">
        <v>20</v>
      </c>
      <c r="W46" s="774">
        <f t="shared" si="14"/>
        <v>100</v>
      </c>
      <c r="X46" s="1811"/>
      <c r="Y46" s="3258"/>
      <c r="Z46" s="1812">
        <f t="shared" si="18"/>
        <v>0</v>
      </c>
      <c r="AA46" s="1809">
        <f t="shared" si="15"/>
        <v>1</v>
      </c>
      <c r="AB46" s="1809">
        <f t="shared" si="16"/>
        <v>1</v>
      </c>
      <c r="AC46" s="1809">
        <f t="shared" si="17"/>
        <v>1</v>
      </c>
    </row>
    <row r="47" spans="1:29" ht="15">
      <c r="A47" s="478" t="s">
        <v>2528</v>
      </c>
      <c r="B47" s="479"/>
      <c r="C47" s="1406" t="s">
        <v>19</v>
      </c>
      <c r="D47" s="1407"/>
      <c r="E47" s="1408">
        <v>52449</v>
      </c>
      <c r="F47" s="1409"/>
      <c r="G47" s="2982">
        <v>60000</v>
      </c>
      <c r="H47" s="1411"/>
      <c r="I47" s="1408">
        <v>52449</v>
      </c>
      <c r="J47" s="1411"/>
      <c r="K47" s="2617"/>
      <c r="L47" s="1142"/>
      <c r="M47" s="1143"/>
      <c r="N47" s="1130"/>
      <c r="O47" s="1143"/>
      <c r="P47" s="3213" t="str">
        <f>A47</f>
        <v>成交单价（元/平方米）</v>
      </c>
      <c r="Q47" s="3213"/>
      <c r="R47" s="3254">
        <f>E47</f>
        <v>52449</v>
      </c>
      <c r="S47" s="3254"/>
      <c r="T47" s="3254">
        <f>G47</f>
        <v>60000</v>
      </c>
      <c r="U47" s="3254"/>
      <c r="V47" s="3254">
        <f>I47</f>
        <v>52449</v>
      </c>
      <c r="W47" s="3254"/>
      <c r="X47" s="758"/>
      <c r="Y47" s="780"/>
      <c r="Z47" s="758"/>
      <c r="AA47" s="758"/>
      <c r="AB47" s="758"/>
      <c r="AC47" s="758"/>
    </row>
    <row r="48" spans="1:29" ht="15.75" thickBot="1">
      <c r="A48" s="485" t="s">
        <v>2529</v>
      </c>
      <c r="B48" s="486"/>
      <c r="C48" s="1412">
        <f>R49</f>
        <v>56816</v>
      </c>
      <c r="D48" s="1413"/>
      <c r="E48" s="1414">
        <f>R48</f>
        <v>54612</v>
      </c>
      <c r="F48" s="1414"/>
      <c r="G48" s="1412">
        <f>T48</f>
        <v>61224</v>
      </c>
      <c r="H48" s="1413"/>
      <c r="I48" s="1414">
        <f>V48</f>
        <v>54612</v>
      </c>
      <c r="J48" s="1413"/>
      <c r="K48" s="2618"/>
      <c r="L48" s="1142"/>
      <c r="M48" s="1143">
        <v>56000</v>
      </c>
      <c r="N48" s="1143"/>
      <c r="O48" s="1143"/>
      <c r="P48" s="3213" t="str">
        <f>A48</f>
        <v>比较价值（元/平方米）</v>
      </c>
      <c r="Q48" s="3213"/>
      <c r="R48" s="3254">
        <f>IF(F1="售价",ROUND(PRODUCT(R47,AA7:AA46),0),ROUND(PRODUCT(R47,AA7:AA46),1))</f>
        <v>54612</v>
      </c>
      <c r="S48" s="3254"/>
      <c r="T48" s="3254">
        <f>IF(F1="售价",ROUND(PRODUCT(T47,AB7:AB46),0),ROUND(PRODUCT(T47,AB7:AB46),1))</f>
        <v>61224</v>
      </c>
      <c r="U48" s="3254"/>
      <c r="V48" s="3254">
        <f>IF(F1="售价",ROUND(PRODUCT(V47,AC7:AC46),0),ROUND(PRODUCT(V47,AC7:AC46),1))</f>
        <v>54612</v>
      </c>
      <c r="W48" s="3254"/>
      <c r="X48" s="758"/>
      <c r="Y48" s="758"/>
      <c r="Z48" s="758"/>
      <c r="AA48" s="758"/>
      <c r="AB48" s="758"/>
      <c r="AC48" s="758"/>
    </row>
    <row r="49" spans="1:29" ht="15.75" thickBot="1">
      <c r="A49" s="491" t="s">
        <v>3046</v>
      </c>
      <c r="B49" s="492"/>
      <c r="C49" s="1415">
        <f>R49</f>
        <v>56816</v>
      </c>
      <c r="D49" s="1416"/>
      <c r="E49" s="1416"/>
      <c r="F49" s="1416"/>
      <c r="G49" s="1416"/>
      <c r="H49" s="1416"/>
      <c r="I49" s="1416"/>
      <c r="J49" s="1416"/>
      <c r="K49" s="2619"/>
      <c r="L49" s="1142"/>
      <c r="M49" s="3002" t="s">
        <v>3364</v>
      </c>
      <c r="N49" s="1143"/>
      <c r="O49" s="1143"/>
      <c r="P49" s="3207" t="str">
        <f>A49</f>
        <v>估价对象住宅用房的比较价值（楼面单价，元/平方米）</v>
      </c>
      <c r="Q49" s="3208"/>
      <c r="R49" s="3253">
        <f>IF(F1="售价",ROUND(AVERAGE(R48:V48),0),ROUND(AVERAGE(R48:V48),1))</f>
        <v>56816</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2530</v>
      </c>
      <c r="D52" s="497"/>
      <c r="E52" s="498">
        <f>IF(E47&lt;E48,E48/E47-1,E47/E48-1)</f>
        <v>4.1240061774294956E-2</v>
      </c>
      <c r="F52" s="499" t="str">
        <f>IF(OR(E52&gt;=0.3,E52&lt;=-0.3),"超过30%","")</f>
        <v/>
      </c>
      <c r="G52" s="498">
        <f>IF(G47&lt;G48,G48/G47-1,G47/G48-1)</f>
        <v>2.0399999999999974E-2</v>
      </c>
      <c r="H52" s="499" t="str">
        <f>IF(OR(G52&gt;=0.3,G52&lt;=-0.3),"超过30%","")</f>
        <v/>
      </c>
      <c r="I52" s="498">
        <f>IF(I47&lt;I48,I48/I47-1,I47/I48-1)</f>
        <v>4.1240061774294956E-2</v>
      </c>
      <c r="J52" s="499" t="str">
        <f>IF(OR(I52&gt;=0.3,I52&lt;=-0.3),"超过30%","")</f>
        <v/>
      </c>
      <c r="K52" s="1104"/>
      <c r="L52" s="1105"/>
      <c r="M52" s="1143"/>
      <c r="N52" s="1143"/>
      <c r="O52" s="1143"/>
    </row>
    <row r="53" spans="1:29" ht="13.5" customHeight="1">
      <c r="A53" s="1143"/>
      <c r="B53" s="1143"/>
      <c r="C53" s="496" t="s">
        <v>2531</v>
      </c>
      <c r="D53" s="500"/>
      <c r="E53" s="498">
        <f>IF(E48&lt;G48,G48/E48-1,E48/G48-1)</f>
        <v>0.12107229180399903</v>
      </c>
      <c r="F53" s="499" t="str">
        <f>IF(OR(E53&gt;=0.2,E53&lt;=-0.2),"超过20%","")</f>
        <v/>
      </c>
      <c r="G53" s="498">
        <f>IF(G48&lt;I48,I48/G48-1,G48/I48-1)</f>
        <v>0.12107229180399903</v>
      </c>
      <c r="H53" s="499" t="str">
        <f>IF(OR(G53&gt;=0.2,G53&lt;=-0.2),"超过20%","")</f>
        <v/>
      </c>
      <c r="I53" s="498">
        <f>IF(I48&lt;E48,E48/I48-1,I48/E48-1)</f>
        <v>0</v>
      </c>
      <c r="J53" s="499" t="str">
        <f>IF(OR(I53&gt;=0.2,I53&lt;=-0.2),"超过20%","")</f>
        <v/>
      </c>
      <c r="K53" s="1104"/>
      <c r="L53" s="1105"/>
      <c r="M53" s="1143"/>
      <c r="N53" s="1143"/>
      <c r="O53" s="1143"/>
    </row>
    <row r="54" spans="1:29" s="501" customFormat="1" ht="13.5" customHeight="1">
      <c r="A54" s="1144"/>
      <c r="B54" s="1144"/>
      <c r="C54" s="496" t="s">
        <v>2532</v>
      </c>
      <c r="D54" s="500"/>
      <c r="E54" s="498">
        <f>IF(E47&lt;G47,G47/E47-1,E47/G47-1)</f>
        <v>0.14396842647142938</v>
      </c>
      <c r="F54" s="499" t="str">
        <f>IF(OR(E54&gt;=0.3,E54&lt;=-0.3),"超过30%","")</f>
        <v/>
      </c>
      <c r="G54" s="498">
        <f>IF(G47&lt;I47,I47/G47-1,G47/I47-1)</f>
        <v>0.14396842647142938</v>
      </c>
      <c r="H54" s="499" t="str">
        <f>IF(OR(G54&gt;=0.3,G54&lt;=-0.3),"超过30%","")</f>
        <v/>
      </c>
      <c r="I54" s="498">
        <f>IF(I47&lt;E47,E47/I47-1,I47/E47-1)</f>
        <v>0</v>
      </c>
      <c r="J54" s="499" t="str">
        <f>IF(OR(I54&gt;=0.3,I54&lt;=-0.3),"超过30%","")</f>
        <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2533</v>
      </c>
      <c r="B57" s="758"/>
      <c r="C57" s="763"/>
      <c r="D57" s="763"/>
      <c r="E57" s="763"/>
      <c r="F57" s="764"/>
      <c r="G57" s="764"/>
      <c r="H57" s="763"/>
      <c r="I57" s="763"/>
      <c r="J57" s="763"/>
      <c r="K57" s="1159"/>
      <c r="L57" s="1160"/>
      <c r="M57" s="1158"/>
      <c r="N57" s="1158"/>
      <c r="O57" s="1158"/>
      <c r="P57" s="2622"/>
      <c r="Q57" s="503"/>
    </row>
    <row r="58" spans="1:29" s="507" customFormat="1" ht="15">
      <c r="A58" s="504" t="s">
        <v>2534</v>
      </c>
      <c r="B58" s="505"/>
      <c r="C58" s="1574" t="str">
        <f>YEAR(C7)&amp;"-"&amp;MONTH(C7)</f>
        <v>2020-4</v>
      </c>
      <c r="D58" s="1573">
        <f>EDATE(C58,-1)</f>
        <v>43891</v>
      </c>
      <c r="E58" s="1573">
        <f>EDATE(D58,-1)</f>
        <v>43862</v>
      </c>
      <c r="F58" s="1573">
        <f t="shared" ref="F58:O58" si="19">EDATE(E58,-1)</f>
        <v>43831</v>
      </c>
      <c r="G58" s="1573">
        <f t="shared" si="19"/>
        <v>43800</v>
      </c>
      <c r="H58" s="1573">
        <f t="shared" si="19"/>
        <v>43770</v>
      </c>
      <c r="I58" s="1573">
        <f t="shared" si="19"/>
        <v>43739</v>
      </c>
      <c r="J58" s="1573">
        <f t="shared" si="19"/>
        <v>43709</v>
      </c>
      <c r="K58" s="1573">
        <f t="shared" si="19"/>
        <v>43678</v>
      </c>
      <c r="L58" s="1573">
        <f t="shared" si="19"/>
        <v>43647</v>
      </c>
      <c r="M58" s="1573">
        <f t="shared" si="19"/>
        <v>43617</v>
      </c>
      <c r="N58" s="1573">
        <f t="shared" si="19"/>
        <v>43586</v>
      </c>
      <c r="O58" s="1573">
        <f t="shared" si="19"/>
        <v>43556</v>
      </c>
      <c r="P58" s="1568"/>
    </row>
    <row r="59" spans="1:29" s="117" customFormat="1" ht="15">
      <c r="A59" s="508"/>
      <c r="B59" s="2623"/>
      <c r="C59" s="1571">
        <v>100</v>
      </c>
      <c r="D59" s="510">
        <v>99</v>
      </c>
      <c r="E59" s="511">
        <v>98</v>
      </c>
      <c r="F59" s="510">
        <v>97</v>
      </c>
      <c r="G59" s="511">
        <v>96</v>
      </c>
      <c r="H59" s="510">
        <v>95</v>
      </c>
      <c r="I59" s="511">
        <v>94</v>
      </c>
      <c r="J59" s="510">
        <v>93</v>
      </c>
      <c r="K59" s="511">
        <v>92</v>
      </c>
      <c r="L59" s="510">
        <v>91</v>
      </c>
      <c r="M59" s="511">
        <v>90</v>
      </c>
      <c r="N59" s="510">
        <v>89</v>
      </c>
      <c r="O59" s="511">
        <v>88</v>
      </c>
      <c r="P59" s="2624"/>
    </row>
    <row r="60" spans="1:29" s="117" customFormat="1" ht="15.75" thickBot="1">
      <c r="A60" s="514" t="s">
        <v>2535</v>
      </c>
      <c r="B60" s="515"/>
      <c r="C60" s="516"/>
      <c r="D60" s="517"/>
      <c r="E60" s="517"/>
      <c r="F60" s="517"/>
      <c r="G60" s="517"/>
      <c r="H60" s="517"/>
      <c r="I60" s="517"/>
      <c r="J60" s="517"/>
      <c r="K60" s="517"/>
      <c r="L60" s="517"/>
      <c r="M60" s="518"/>
      <c r="N60" s="517"/>
      <c r="O60" s="518"/>
      <c r="P60" s="2624"/>
      <c r="Q60" s="503"/>
    </row>
    <row r="61" spans="1:29" s="117" customFormat="1" ht="15">
      <c r="A61" s="520" t="s">
        <v>2536</v>
      </c>
      <c r="B61" s="509"/>
      <c r="C61" s="521" t="s">
        <v>2537</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2538</v>
      </c>
      <c r="B63" s="527" t="s">
        <v>2505</v>
      </c>
      <c r="C63" s="528" t="str">
        <f>C9</f>
        <v>住宅</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2508</v>
      </c>
      <c r="C65" s="538" t="s">
        <v>2539</v>
      </c>
      <c r="D65" s="538" t="s">
        <v>2540</v>
      </c>
      <c r="E65" s="538" t="s">
        <v>2541</v>
      </c>
      <c r="F65" s="538" t="s">
        <v>2542</v>
      </c>
      <c r="G65" s="538" t="s">
        <v>2543</v>
      </c>
      <c r="H65" s="538" t="s">
        <v>2544</v>
      </c>
      <c r="I65" s="538" t="s">
        <v>2545</v>
      </c>
      <c r="J65" s="538"/>
      <c r="K65" s="539"/>
      <c r="L65" s="540"/>
      <c r="M65" s="541"/>
      <c r="N65" s="1151"/>
      <c r="O65" s="1151"/>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6"/>
      <c r="Q66" s="503"/>
    </row>
    <row r="67" spans="1:17" ht="15.75" thickTop="1">
      <c r="A67" s="533"/>
      <c r="B67" s="545" t="s">
        <v>2509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8">
        <v>8</v>
      </c>
      <c r="L68" s="548">
        <v>9</v>
      </c>
      <c r="M68" s="548">
        <v>10</v>
      </c>
      <c r="N68" s="1151"/>
      <c r="O68" s="1151"/>
      <c r="P68" s="2626"/>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26"/>
      <c r="Q69" s="503"/>
    </row>
    <row r="70" spans="1:17" s="470" customFormat="1" ht="15.75" thickTop="1">
      <c r="A70" s="552"/>
      <c r="B70" s="537" t="str">
        <f>B12</f>
        <v>其他</v>
      </c>
      <c r="C70" s="2968" t="s">
        <v>3085</v>
      </c>
      <c r="D70" s="2968" t="s">
        <v>3086</v>
      </c>
      <c r="E70" s="553"/>
      <c r="F70" s="553"/>
      <c r="G70" s="553"/>
      <c r="H70" s="554"/>
      <c r="I70" s="554"/>
      <c r="J70" s="554"/>
      <c r="K70" s="554"/>
      <c r="L70" s="555"/>
      <c r="M70" s="556"/>
      <c r="N70" s="1153"/>
      <c r="O70" s="1153"/>
      <c r="P70" s="2627"/>
      <c r="Q70" s="558"/>
    </row>
    <row r="71" spans="1:17" s="470" customFormat="1" ht="15.75" thickBot="1">
      <c r="A71" s="552"/>
      <c r="B71" s="542"/>
      <c r="C71" s="559">
        <v>100</v>
      </c>
      <c r="D71" s="535">
        <v>98</v>
      </c>
      <c r="E71" s="535"/>
      <c r="F71" s="535"/>
      <c r="G71" s="535"/>
      <c r="H71" s="535"/>
      <c r="I71" s="535"/>
      <c r="J71" s="535"/>
      <c r="K71" s="535"/>
      <c r="L71" s="535"/>
      <c r="M71" s="536"/>
      <c r="N71" s="1152"/>
      <c r="O71" s="1152"/>
      <c r="P71" s="2627"/>
      <c r="Q71" s="558"/>
    </row>
    <row r="72" spans="1:17" s="470" customFormat="1" ht="15.75" thickTop="1">
      <c r="A72" s="552"/>
      <c r="B72" s="537">
        <f>B13</f>
        <v>0</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0</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2510</v>
      </c>
      <c r="B76" s="527" t="s">
        <v>2546</v>
      </c>
      <c r="C76" s="572" t="s">
        <v>2547</v>
      </c>
      <c r="D76" s="572" t="s">
        <v>2548</v>
      </c>
      <c r="E76" s="572" t="s">
        <v>2549</v>
      </c>
      <c r="F76" s="572" t="s">
        <v>2550</v>
      </c>
      <c r="G76" s="572" t="s">
        <v>2551</v>
      </c>
      <c r="H76" s="528"/>
      <c r="I76" s="528"/>
      <c r="J76" s="528"/>
      <c r="K76" s="573"/>
      <c r="L76" s="574"/>
      <c r="M76" s="575"/>
      <c r="N76" s="1151"/>
      <c r="O76" s="1151"/>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6"/>
      <c r="Q77" s="503"/>
    </row>
    <row r="78" spans="1:17" ht="15.75" thickTop="1">
      <c r="A78" s="533"/>
      <c r="B78" s="537" t="s">
        <v>2552</v>
      </c>
      <c r="C78" s="577" t="s">
        <v>2547</v>
      </c>
      <c r="D78" s="577" t="s">
        <v>2548</v>
      </c>
      <c r="E78" s="577" t="s">
        <v>2549</v>
      </c>
      <c r="F78" s="577" t="s">
        <v>2550</v>
      </c>
      <c r="G78" s="577" t="s">
        <v>2551</v>
      </c>
      <c r="H78" s="538"/>
      <c r="I78" s="538"/>
      <c r="J78" s="538"/>
      <c r="K78" s="539"/>
      <c r="L78" s="540"/>
      <c r="M78" s="541"/>
      <c r="N78" s="1151"/>
      <c r="O78" s="1151"/>
      <c r="P78" s="2626"/>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6"/>
      <c r="Q79" s="503"/>
    </row>
    <row r="80" spans="1:17" ht="15.75" thickTop="1">
      <c r="A80" s="533"/>
      <c r="B80" s="537" t="s">
        <v>2553</v>
      </c>
      <c r="C80" s="577" t="s">
        <v>2547</v>
      </c>
      <c r="D80" s="577" t="s">
        <v>2548</v>
      </c>
      <c r="E80" s="577" t="s">
        <v>2549</v>
      </c>
      <c r="F80" s="577" t="s">
        <v>2550</v>
      </c>
      <c r="G80" s="577" t="s">
        <v>2551</v>
      </c>
      <c r="H80" s="538"/>
      <c r="I80" s="538"/>
      <c r="J80" s="538"/>
      <c r="K80" s="539"/>
      <c r="L80" s="540"/>
      <c r="M80" s="541"/>
      <c r="N80" s="1151"/>
      <c r="O80" s="1151"/>
      <c r="P80" s="2626"/>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6"/>
      <c r="Q81" s="503"/>
    </row>
    <row r="82" spans="1:17" ht="15.75" thickTop="1">
      <c r="A82" s="533"/>
      <c r="B82" s="545" t="s">
        <v>2055</v>
      </c>
      <c r="C82" s="538" t="s">
        <v>2554</v>
      </c>
      <c r="D82" s="538" t="s">
        <v>2555</v>
      </c>
      <c r="E82" s="538" t="s">
        <v>2556</v>
      </c>
      <c r="F82" s="538" t="s">
        <v>2557</v>
      </c>
      <c r="G82" s="538" t="s">
        <v>2558</v>
      </c>
      <c r="H82" s="538"/>
      <c r="I82" s="538"/>
      <c r="J82" s="538"/>
      <c r="K82" s="538"/>
      <c r="L82" s="538"/>
      <c r="M82" s="1381"/>
      <c r="N82" s="1152"/>
      <c r="O82" s="1152"/>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6"/>
      <c r="Q83" s="503"/>
    </row>
    <row r="84" spans="1:17" ht="15.75" thickTop="1">
      <c r="A84" s="533"/>
      <c r="B84" s="537" t="s">
        <v>2559</v>
      </c>
      <c r="C84" s="577" t="s">
        <v>2547</v>
      </c>
      <c r="D84" s="577" t="s">
        <v>2548</v>
      </c>
      <c r="E84" s="577" t="s">
        <v>2549</v>
      </c>
      <c r="F84" s="577" t="s">
        <v>2550</v>
      </c>
      <c r="G84" s="577" t="s">
        <v>2551</v>
      </c>
      <c r="H84" s="538"/>
      <c r="I84" s="538"/>
      <c r="J84" s="538"/>
      <c r="K84" s="539"/>
      <c r="L84" s="540"/>
      <c r="M84" s="541"/>
      <c r="N84" s="1151"/>
      <c r="O84" s="1151"/>
      <c r="P84" s="2626"/>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2"/>
      <c r="O85" s="1152"/>
      <c r="P85" s="2626"/>
      <c r="Q85" s="503"/>
    </row>
    <row r="86" spans="1:17" s="117" customFormat="1" ht="15.75" thickTop="1">
      <c r="A86" s="578"/>
      <c r="B86" s="537" t="s">
        <v>2560</v>
      </c>
      <c r="C86" s="553" t="s">
        <v>3066</v>
      </c>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6"/>
      <c r="Q87" s="503"/>
    </row>
    <row r="88" spans="1:17" s="117" customFormat="1" ht="15.75" thickTop="1">
      <c r="A88" s="578"/>
      <c r="B88" s="537" t="s">
        <v>2561</v>
      </c>
      <c r="C88" s="553" t="s">
        <v>3066</v>
      </c>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6"/>
      <c r="Q89" s="503"/>
    </row>
    <row r="90" spans="1:17" s="470" customFormat="1" ht="15.75" thickTop="1">
      <c r="A90" s="552"/>
      <c r="B90" s="537">
        <f>B27</f>
        <v>0</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0</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0</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0</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0</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2514</v>
      </c>
      <c r="B100" s="527" t="s">
        <v>2562</v>
      </c>
      <c r="C100" s="2967" t="s">
        <v>3068</v>
      </c>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2"/>
      <c r="O101" s="1152"/>
      <c r="P101" s="2626"/>
      <c r="Q101" s="503"/>
    </row>
    <row r="102" spans="1:17" ht="29.25" thickTop="1">
      <c r="A102" s="533"/>
      <c r="B102" s="537" t="s">
        <v>2563</v>
      </c>
      <c r="C102" s="577" t="str">
        <f>C103&amp;"(含)"&amp;"-"&amp;D103</f>
        <v>0(含)-50000</v>
      </c>
      <c r="D102" s="577" t="str">
        <f t="shared" ref="D102:L102" si="27">D103&amp;"(含)"&amp;"-"&amp;E103</f>
        <v>50000(含)-100000</v>
      </c>
      <c r="E102" s="577" t="str">
        <f t="shared" si="27"/>
        <v>100000(含)-150000</v>
      </c>
      <c r="F102" s="577" t="str">
        <f t="shared" si="27"/>
        <v>150000(含)-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v>0</v>
      </c>
      <c r="D103" s="594">
        <v>50000</v>
      </c>
      <c r="E103" s="594">
        <v>100000</v>
      </c>
      <c r="F103" s="594">
        <v>150000</v>
      </c>
      <c r="G103" s="594"/>
      <c r="H103" s="594"/>
      <c r="I103" s="594"/>
      <c r="J103" s="595"/>
      <c r="K103" s="595"/>
      <c r="L103" s="596"/>
      <c r="M103" s="597"/>
      <c r="N103" s="1153"/>
      <c r="O103" s="1153"/>
      <c r="P103" s="2627"/>
      <c r="Q103" s="558"/>
    </row>
    <row r="104" spans="1:17" s="470" customFormat="1" ht="15.75" thickBot="1">
      <c r="A104" s="552"/>
      <c r="B104" s="542"/>
      <c r="C104" s="559">
        <v>100</v>
      </c>
      <c r="D104" s="535">
        <v>101</v>
      </c>
      <c r="E104" s="559">
        <v>102</v>
      </c>
      <c r="F104" s="535">
        <v>103</v>
      </c>
      <c r="G104" s="535"/>
      <c r="H104" s="535"/>
      <c r="I104" s="535"/>
      <c r="J104" s="535"/>
      <c r="K104" s="535"/>
      <c r="L104" s="535"/>
      <c r="M104" s="535"/>
      <c r="N104" s="1152"/>
      <c r="O104" s="1152"/>
      <c r="P104" s="2627"/>
      <c r="Q104" s="558"/>
    </row>
    <row r="105" spans="1:17" ht="15" thickTop="1">
      <c r="A105" s="598"/>
      <c r="B105" s="537" t="s">
        <v>2564</v>
      </c>
      <c r="C105" s="2968" t="s">
        <v>3070</v>
      </c>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6"/>
      <c r="Q106" s="503"/>
    </row>
    <row r="107" spans="1:17" ht="15" thickTop="1">
      <c r="A107" s="598"/>
      <c r="B107" s="537" t="s">
        <v>2565</v>
      </c>
      <c r="C107" s="2969" t="s">
        <v>3072</v>
      </c>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52"/>
      <c r="O108" s="1152"/>
      <c r="P108" s="2626"/>
      <c r="Q108" s="503"/>
    </row>
    <row r="109" spans="1:17" ht="15" thickTop="1">
      <c r="A109" s="598"/>
      <c r="B109" s="537" t="s">
        <v>2566</v>
      </c>
      <c r="C109" s="2968" t="s">
        <v>3074</v>
      </c>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6"/>
      <c r="Q110" s="503"/>
    </row>
    <row r="111" spans="1:17" s="470" customFormat="1" ht="15" thickTop="1">
      <c r="A111" s="592"/>
      <c r="B111" s="537" t="s">
        <v>1958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7"/>
      <c r="Q113" s="558"/>
    </row>
    <row r="114" spans="1:17" ht="15" thickTop="1">
      <c r="A114" s="598"/>
      <c r="B114" s="537" t="s">
        <v>2567</v>
      </c>
      <c r="C114" s="2968" t="s">
        <v>3076</v>
      </c>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6"/>
      <c r="Q115" s="503"/>
    </row>
    <row r="116" spans="1:17" ht="15" thickTop="1">
      <c r="A116" s="598"/>
      <c r="B116" s="537" t="s">
        <v>2568</v>
      </c>
      <c r="C116" s="2968" t="s">
        <v>3078</v>
      </c>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6"/>
      <c r="Q117" s="503"/>
    </row>
    <row r="118" spans="1:17" ht="15" thickTop="1">
      <c r="A118" s="598"/>
      <c r="B118" s="537" t="s">
        <v>2569</v>
      </c>
      <c r="C118" s="582" t="s">
        <v>3066</v>
      </c>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6"/>
      <c r="Q119" s="503"/>
    </row>
    <row r="120" spans="1:17" s="470" customFormat="1" ht="28.5" thickTop="1">
      <c r="A120" s="592"/>
      <c r="B120" s="537" t="s">
        <v>2525</v>
      </c>
      <c r="C120" s="553" t="s">
        <v>3066</v>
      </c>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7"/>
      <c r="Q121" s="558"/>
    </row>
    <row r="122" spans="1:17" ht="15" thickTop="1">
      <c r="A122" s="598"/>
      <c r="B122" s="537" t="s">
        <v>2570</v>
      </c>
      <c r="C122" s="2968" t="s">
        <v>3074</v>
      </c>
      <c r="D122" s="2968" t="s">
        <v>3087</v>
      </c>
      <c r="E122" s="2968" t="s">
        <v>3088</v>
      </c>
      <c r="F122" s="2969" t="s">
        <v>3090</v>
      </c>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26"/>
      <c r="Q123" s="503"/>
    </row>
    <row r="124" spans="1:17" ht="15" thickTop="1">
      <c r="A124" s="598"/>
      <c r="B124" s="537" t="s">
        <v>2571</v>
      </c>
      <c r="C124" s="577" t="s">
        <v>2547</v>
      </c>
      <c r="D124" s="577" t="s">
        <v>2548</v>
      </c>
      <c r="E124" s="577" t="s">
        <v>2549</v>
      </c>
      <c r="F124" s="577" t="s">
        <v>2550</v>
      </c>
      <c r="G124" s="577" t="s">
        <v>2551</v>
      </c>
      <c r="H124" s="538"/>
      <c r="I124" s="538"/>
      <c r="J124" s="538"/>
      <c r="K124" s="539"/>
      <c r="L124" s="540"/>
      <c r="M124" s="541"/>
      <c r="N124" s="1151"/>
      <c r="O124" s="1151"/>
      <c r="P124" s="2627"/>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6"/>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2572</v>
      </c>
    </row>
    <row r="137" spans="1:17" ht="15">
      <c r="B137" s="2634" t="s">
        <v>2573</v>
      </c>
      <c r="C137" s="2635"/>
      <c r="D137" s="2635"/>
      <c r="E137" s="2635"/>
      <c r="F137" s="2635"/>
      <c r="G137" s="2636"/>
      <c r="H137" s="2637"/>
      <c r="I137" s="2638" t="s">
        <v>2574</v>
      </c>
      <c r="J137" s="2635"/>
      <c r="K137" s="2639"/>
    </row>
    <row r="138" spans="1:17" ht="15">
      <c r="B138" s="2640"/>
      <c r="C138" s="145" t="s">
        <v>2575</v>
      </c>
      <c r="D138" s="145" t="s">
        <v>2576</v>
      </c>
      <c r="E138" s="2641" t="s">
        <v>2577</v>
      </c>
      <c r="F138" s="2642" t="s">
        <v>2578</v>
      </c>
      <c r="G138" s="145" t="s">
        <v>2576</v>
      </c>
      <c r="H138" s="146" t="s">
        <v>2577</v>
      </c>
      <c r="I138" s="2643"/>
      <c r="J138" s="145" t="s">
        <v>2579</v>
      </c>
      <c r="K138" s="146" t="s">
        <v>2580</v>
      </c>
    </row>
    <row r="139" spans="1:17" ht="15">
      <c r="B139" s="1083">
        <v>6</v>
      </c>
      <c r="C139" s="1084">
        <v>96</v>
      </c>
      <c r="D139" s="2644" t="s">
        <v>2581</v>
      </c>
      <c r="E139" s="1085">
        <v>100</v>
      </c>
      <c r="F139" s="1086">
        <v>102.5</v>
      </c>
      <c r="G139" s="2644" t="s">
        <v>2581</v>
      </c>
      <c r="H139" s="1087">
        <v>105</v>
      </c>
      <c r="I139" s="2645" t="s">
        <v>2582</v>
      </c>
      <c r="J139" s="1084">
        <v>20</v>
      </c>
      <c r="K139" s="1088">
        <f>C145/(J139-2)</f>
        <v>4.0555555555555553E-3</v>
      </c>
    </row>
    <row r="140" spans="1:17" ht="15">
      <c r="B140" s="1089">
        <v>5</v>
      </c>
      <c r="C140" s="1090">
        <v>100</v>
      </c>
      <c r="D140" s="1090"/>
      <c r="E140" s="1091"/>
      <c r="F140" s="1092">
        <v>102</v>
      </c>
      <c r="G140" s="1090"/>
      <c r="H140" s="1093"/>
      <c r="I140" s="2646" t="s">
        <v>2583</v>
      </c>
      <c r="J140" s="314">
        <f>ROUNDUP((J139-1)/2,0)</f>
        <v>10</v>
      </c>
      <c r="K140" s="1094">
        <v>100</v>
      </c>
    </row>
    <row r="141" spans="1:17" ht="15">
      <c r="B141" s="1089">
        <v>4</v>
      </c>
      <c r="C141" s="1090">
        <v>102</v>
      </c>
      <c r="D141" s="1090"/>
      <c r="E141" s="1091"/>
      <c r="F141" s="1092">
        <v>101.5</v>
      </c>
      <c r="G141" s="1090"/>
      <c r="H141" s="1093"/>
      <c r="I141" s="2646" t="s">
        <v>2584</v>
      </c>
      <c r="J141" s="314">
        <v>1</v>
      </c>
      <c r="K141" s="1095">
        <f>ROUND(100+(J141-J140)*K139*100,1)</f>
        <v>96.4</v>
      </c>
    </row>
    <row r="142" spans="1:17" ht="15">
      <c r="B142" s="1089">
        <v>3</v>
      </c>
      <c r="C142" s="1090">
        <v>103</v>
      </c>
      <c r="D142" s="1090"/>
      <c r="E142" s="1091"/>
      <c r="F142" s="1092">
        <v>101</v>
      </c>
      <c r="G142" s="1090"/>
      <c r="H142" s="1093"/>
      <c r="I142" s="2646" t="s">
        <v>2585</v>
      </c>
      <c r="J142" s="314">
        <f>J139</f>
        <v>20</v>
      </c>
      <c r="K142" s="1096">
        <v>95</v>
      </c>
    </row>
    <row r="143" spans="1:17" ht="15">
      <c r="B143" s="1089">
        <v>2</v>
      </c>
      <c r="C143" s="1090">
        <v>100</v>
      </c>
      <c r="D143" s="1090"/>
      <c r="E143" s="1091"/>
      <c r="F143" s="1092">
        <v>100.5</v>
      </c>
      <c r="G143" s="1090"/>
      <c r="H143" s="1093"/>
      <c r="I143" s="2646" t="s">
        <v>2586</v>
      </c>
      <c r="J143" s="1090">
        <v>15</v>
      </c>
      <c r="K143" s="1095">
        <f>ROUND(100+(J143-J140)*K139*100,1)</f>
        <v>102</v>
      </c>
    </row>
    <row r="144" spans="1:17" ht="15">
      <c r="B144" s="1089">
        <v>1</v>
      </c>
      <c r="C144" s="1090">
        <v>98</v>
      </c>
      <c r="D144" s="2647" t="s">
        <v>2587</v>
      </c>
      <c r="E144" s="1091">
        <v>102</v>
      </c>
      <c r="F144" s="1097">
        <v>100</v>
      </c>
      <c r="G144" s="2647" t="s">
        <v>2587</v>
      </c>
      <c r="H144" s="1093">
        <v>105</v>
      </c>
      <c r="I144" s="2646" t="s">
        <v>2586</v>
      </c>
      <c r="J144" s="1090">
        <v>18</v>
      </c>
      <c r="K144" s="1095">
        <f>ROUND(100+(J144-J140)*K139*100,1)</f>
        <v>103.2</v>
      </c>
    </row>
    <row r="145" spans="2:11" ht="15.75" thickBot="1">
      <c r="B145" s="2648" t="s">
        <v>2588</v>
      </c>
      <c r="C145" s="1098">
        <f>ROUND(MAX(C139:C144)/MIN(C139:C144)-1,3)</f>
        <v>7.2999999999999995E-2</v>
      </c>
      <c r="D145" s="1099"/>
      <c r="E145" s="1099"/>
      <c r="F145" s="2649" t="s">
        <v>2589</v>
      </c>
      <c r="G145" s="2650"/>
      <c r="H145" s="2651"/>
      <c r="I145" s="2652" t="s">
        <v>2586</v>
      </c>
      <c r="J145" s="1100">
        <v>8</v>
      </c>
      <c r="K145" s="1101">
        <f>ROUND(100+(J145-J140)*K139*100,1)</f>
        <v>99.2</v>
      </c>
    </row>
    <row r="147" spans="2:11">
      <c r="B147" s="2633" t="s">
        <v>2590</v>
      </c>
    </row>
    <row r="148" spans="2:11">
      <c r="B148" s="2633" t="s">
        <v>2591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3" sqref="D3"/>
    </sheetView>
  </sheetViews>
  <sheetFormatPr defaultColWidth="9" defaultRowHeight="14.25"/>
  <cols>
    <col min="1" max="1" width="10.5" style="402" customWidth="1"/>
    <col min="2" max="2" width="15.75" style="402" customWidth="1"/>
    <col min="3" max="3" width="20.25" style="402" customWidth="1"/>
    <col min="4" max="4" width="12.25" style="402" customWidth="1"/>
    <col min="5" max="5" width="16.25" style="402" customWidth="1"/>
    <col min="6" max="6" width="12.25" style="402" customWidth="1"/>
    <col min="7" max="7" width="16.125" style="402" customWidth="1"/>
    <col min="8" max="8" width="12.25" style="402" customWidth="1"/>
    <col min="9" max="9" width="15.7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2479</v>
      </c>
      <c r="B1" s="2578" t="s">
        <v>2480</v>
      </c>
      <c r="C1" s="1632" t="s">
        <v>2481</v>
      </c>
      <c r="D1" s="1619" t="s">
        <v>3006</v>
      </c>
      <c r="E1" s="2579"/>
      <c r="F1" s="2580" t="s">
        <v>2482</v>
      </c>
      <c r="G1" s="1629" t="s">
        <v>2483</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1386</v>
      </c>
      <c r="B2" s="1417">
        <f>IF(C2="——",ROUND(C49*D3/10000,0),ROUND(C49*D3/10000,0)-D2)</f>
        <v>181639</v>
      </c>
      <c r="C2" s="2582" t="s">
        <v>70</v>
      </c>
      <c r="D2" s="1364" t="e">
        <f ca="1">SUMIF(INDIRECT("'"&amp;F2&amp;"'"&amp;"!A:A"),"承租人权益价值",INDIRECT("'"&amp;F2&amp;"'"&amp;"!c:c"))</f>
        <v>#REF!</v>
      </c>
      <c r="E2" s="2583" t="s">
        <v>2282</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1387</v>
      </c>
      <c r="B3" s="398">
        <f>IF(C2="——",C49,ROUND(B2*10000/D3,0))</f>
        <v>77399</v>
      </c>
      <c r="C3" s="399" t="s">
        <v>2485</v>
      </c>
      <c r="D3" s="398">
        <f>IF(D1="",'数据-汇总表'!E3,SUMIF('数据-汇总表'!$C19:$C33,D1,'数据-汇总表'!$E19:$E33))</f>
        <v>23467.85</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2486</v>
      </c>
      <c r="B4" s="401"/>
      <c r="C4" s="3210" t="s">
        <v>2487</v>
      </c>
      <c r="D4" s="3223"/>
      <c r="E4" s="3224" t="s">
        <v>2488</v>
      </c>
      <c r="F4" s="3225"/>
      <c r="G4" s="3210" t="s">
        <v>2489</v>
      </c>
      <c r="H4" s="3223"/>
      <c r="I4" s="3210" t="s">
        <v>2490</v>
      </c>
      <c r="J4" s="3223"/>
      <c r="K4" s="2592" t="s">
        <v>2491</v>
      </c>
      <c r="L4" s="1129"/>
      <c r="M4" s="1130"/>
      <c r="N4" s="1130"/>
      <c r="O4" s="1130"/>
      <c r="P4" s="3226" t="s">
        <v>2492</v>
      </c>
      <c r="Q4" s="3227"/>
      <c r="R4" s="3232" t="s">
        <v>2488</v>
      </c>
      <c r="S4" s="3233"/>
      <c r="T4" s="3232" t="s">
        <v>2489</v>
      </c>
      <c r="U4" s="3233"/>
      <c r="V4" s="3219" t="s">
        <v>2490</v>
      </c>
      <c r="W4" s="3219"/>
      <c r="X4" s="2948"/>
      <c r="Y4" s="3232" t="s">
        <v>2492</v>
      </c>
      <c r="Z4" s="3233"/>
      <c r="AA4" s="3220" t="s">
        <v>2488</v>
      </c>
      <c r="AB4" s="3220" t="s">
        <v>2489</v>
      </c>
      <c r="AC4" s="3220" t="s">
        <v>2490</v>
      </c>
    </row>
    <row r="5" spans="1:29" ht="15">
      <c r="A5" s="403"/>
      <c r="B5" s="404"/>
      <c r="C5" s="3261" t="s">
        <v>3065</v>
      </c>
      <c r="D5" s="3241"/>
      <c r="E5" s="3262" t="s">
        <v>3416</v>
      </c>
      <c r="F5" s="3249"/>
      <c r="G5" s="3261" t="s">
        <v>3098</v>
      </c>
      <c r="H5" s="3241"/>
      <c r="I5" s="3261" t="s">
        <v>3415</v>
      </c>
      <c r="J5" s="3241"/>
      <c r="K5" s="2593"/>
      <c r="L5" s="1129"/>
      <c r="M5" s="1130"/>
      <c r="N5" s="1130"/>
      <c r="O5" s="1130"/>
      <c r="P5" s="3228"/>
      <c r="Q5" s="3229"/>
      <c r="R5" s="3234"/>
      <c r="S5" s="3235"/>
      <c r="T5" s="3234"/>
      <c r="U5" s="3235"/>
      <c r="V5" s="3219"/>
      <c r="W5" s="3219"/>
      <c r="X5" s="2948"/>
      <c r="Y5" s="3234"/>
      <c r="Z5" s="3235"/>
      <c r="AA5" s="3221"/>
      <c r="AB5" s="3221"/>
      <c r="AC5" s="3221"/>
    </row>
    <row r="6" spans="1:29" ht="15.75" thickBot="1">
      <c r="A6" s="405"/>
      <c r="B6" s="406"/>
      <c r="C6" s="3238" t="s">
        <v>2497</v>
      </c>
      <c r="D6" s="3239"/>
      <c r="E6" s="3246" t="s">
        <v>2497</v>
      </c>
      <c r="F6" s="3247"/>
      <c r="G6" s="3238" t="s">
        <v>2497</v>
      </c>
      <c r="H6" s="3239"/>
      <c r="I6" s="3238" t="s">
        <v>2497</v>
      </c>
      <c r="J6" s="3239"/>
      <c r="K6" s="2593" t="s">
        <v>2498</v>
      </c>
      <c r="L6" s="1129"/>
      <c r="M6" s="1130"/>
      <c r="N6" s="1130"/>
      <c r="O6" s="1130"/>
      <c r="P6" s="3230"/>
      <c r="Q6" s="3231"/>
      <c r="R6" s="3234"/>
      <c r="S6" s="3235"/>
      <c r="T6" s="3236"/>
      <c r="U6" s="3237"/>
      <c r="V6" s="3219"/>
      <c r="W6" s="3219"/>
      <c r="X6" s="2948"/>
      <c r="Y6" s="3236"/>
      <c r="Z6" s="3237"/>
      <c r="AA6" s="3222"/>
      <c r="AB6" s="3222"/>
      <c r="AC6" s="3222"/>
    </row>
    <row r="7" spans="1:29" s="117" customFormat="1" ht="15.75" thickBot="1">
      <c r="A7" s="407" t="s">
        <v>2499</v>
      </c>
      <c r="B7" s="408"/>
      <c r="C7" s="409">
        <f>'数据-取费表'!B2</f>
        <v>43926</v>
      </c>
      <c r="D7" s="410">
        <v>100</v>
      </c>
      <c r="E7" s="411">
        <f>C7</f>
        <v>43926</v>
      </c>
      <c r="F7" s="412">
        <f>SUMIF(58:58,YEAR(E7)&amp;"-"&amp;MONTH(E7),59:59)</f>
        <v>100</v>
      </c>
      <c r="G7" s="411">
        <f>C7</f>
        <v>43926</v>
      </c>
      <c r="H7" s="410">
        <f>SUMIF(58:58,YEAR(G7)&amp;"-"&amp;MONTH(G7),59:59)</f>
        <v>100</v>
      </c>
      <c r="I7" s="411">
        <f>C7</f>
        <v>43926</v>
      </c>
      <c r="J7" s="410">
        <f>SUMIF(58:58,YEAR(I7)&amp;"-"&amp;MONTH(I7),59:59)</f>
        <v>100</v>
      </c>
      <c r="K7" s="2594"/>
      <c r="L7" s="1131"/>
      <c r="M7" s="1132"/>
      <c r="N7" s="1132"/>
      <c r="O7" s="1132"/>
      <c r="P7" s="3242" t="s">
        <v>2500</v>
      </c>
      <c r="Q7" s="3244"/>
      <c r="R7" s="769" t="s">
        <v>23</v>
      </c>
      <c r="S7" s="770">
        <f t="shared" ref="S7:S15" si="0">F7</f>
        <v>100</v>
      </c>
      <c r="T7" s="769" t="s">
        <v>23</v>
      </c>
      <c r="U7" s="770">
        <f t="shared" ref="U7:U15" si="1">H7</f>
        <v>100</v>
      </c>
      <c r="V7" s="769" t="s">
        <v>23</v>
      </c>
      <c r="W7" s="770">
        <f t="shared" ref="W7:W15" si="2">J7</f>
        <v>100</v>
      </c>
      <c r="X7" s="771"/>
      <c r="Y7" s="3242" t="s">
        <v>2500</v>
      </c>
      <c r="Z7" s="3243"/>
      <c r="AA7" s="772">
        <f>D7/F7</f>
        <v>1</v>
      </c>
      <c r="AB7" s="772">
        <f>D7/H7</f>
        <v>1</v>
      </c>
      <c r="AC7" s="772">
        <f>D7/J7</f>
        <v>1</v>
      </c>
    </row>
    <row r="8" spans="1:29" s="117" customFormat="1" ht="15.75" thickBot="1">
      <c r="A8" s="407" t="s">
        <v>2501</v>
      </c>
      <c r="B8" s="408"/>
      <c r="C8" s="413" t="s">
        <v>2502</v>
      </c>
      <c r="D8" s="410">
        <v>100</v>
      </c>
      <c r="E8" s="2595" t="s">
        <v>3083</v>
      </c>
      <c r="F8" s="412">
        <f>SUMIF(61:61,E8,62:62)-SUMIF(61:61,C8,62:62)+100</f>
        <v>100</v>
      </c>
      <c r="G8" s="413" t="s">
        <v>3083</v>
      </c>
      <c r="H8" s="410">
        <f>SUMIF(61:61,G8,62:62)-SUMIF(61:61,C8,62:62)+100</f>
        <v>100</v>
      </c>
      <c r="I8" s="2595" t="s">
        <v>3083</v>
      </c>
      <c r="J8" s="410">
        <f>SUMIF(61:61,I8,62:62)-SUMIF(61:61,C8,62:62)+100</f>
        <v>100</v>
      </c>
      <c r="K8" s="2594"/>
      <c r="L8" s="1131"/>
      <c r="M8" s="1132"/>
      <c r="N8" s="1132"/>
      <c r="O8" s="1132"/>
      <c r="P8" s="3242" t="s">
        <v>2503</v>
      </c>
      <c r="Q8" s="3243"/>
      <c r="R8" s="769" t="s">
        <v>23</v>
      </c>
      <c r="S8" s="770">
        <f t="shared" si="0"/>
        <v>100</v>
      </c>
      <c r="T8" s="769" t="s">
        <v>23</v>
      </c>
      <c r="U8" s="770">
        <f t="shared" si="1"/>
        <v>100</v>
      </c>
      <c r="V8" s="769" t="s">
        <v>23</v>
      </c>
      <c r="W8" s="770">
        <f t="shared" si="2"/>
        <v>100</v>
      </c>
      <c r="X8" s="771"/>
      <c r="Y8" s="3242" t="s">
        <v>2503</v>
      </c>
      <c r="Z8" s="3243"/>
      <c r="AA8" s="772">
        <f t="shared" ref="AA8:AA19" si="3">D8/F8</f>
        <v>1</v>
      </c>
      <c r="AB8" s="772">
        <f t="shared" ref="AB8:AB19" si="4">D8/H8</f>
        <v>1</v>
      </c>
      <c r="AC8" s="772">
        <f t="shared" ref="AC8:AC19" si="5">D8/J8</f>
        <v>1</v>
      </c>
    </row>
    <row r="9" spans="1:29" s="117" customFormat="1">
      <c r="A9" s="414" t="s">
        <v>2504</v>
      </c>
      <c r="B9" s="71" t="s">
        <v>2505</v>
      </c>
      <c r="C9" s="2970" t="s">
        <v>3079</v>
      </c>
      <c r="D9" s="134">
        <v>100</v>
      </c>
      <c r="E9" s="416" t="s">
        <v>3035</v>
      </c>
      <c r="F9" s="417">
        <f>SUMIF(63:63,E9,64:64)-SUMIF(63:63,C9,64:64)+100</f>
        <v>100</v>
      </c>
      <c r="G9" s="418" t="s">
        <v>3035</v>
      </c>
      <c r="H9" s="134">
        <f>SUMIF(63:63,G9,64:64)-SUMIF(63:63,C9,64:64)+100</f>
        <v>100</v>
      </c>
      <c r="I9" s="418" t="s">
        <v>3035</v>
      </c>
      <c r="J9" s="134">
        <f>SUMIF(63:63,I9,64:64)-SUMIF(63:63,C9,64:64)+100</f>
        <v>100</v>
      </c>
      <c r="K9" s="2594"/>
      <c r="L9" s="1131"/>
      <c r="M9" s="1132"/>
      <c r="N9" s="1132"/>
      <c r="O9" s="1132"/>
      <c r="P9" s="3212" t="s">
        <v>2506</v>
      </c>
      <c r="Q9" s="2936" t="str">
        <f t="shared" ref="Q9:Q15" si="6">B9</f>
        <v>用途</v>
      </c>
      <c r="R9" s="769" t="s">
        <v>17</v>
      </c>
      <c r="S9" s="770">
        <f t="shared" si="0"/>
        <v>100</v>
      </c>
      <c r="T9" s="769" t="s">
        <v>17</v>
      </c>
      <c r="U9" s="770">
        <f t="shared" si="1"/>
        <v>100</v>
      </c>
      <c r="V9" s="769" t="s">
        <v>17</v>
      </c>
      <c r="W9" s="770">
        <f t="shared" si="2"/>
        <v>100</v>
      </c>
      <c r="X9" s="771"/>
      <c r="Y9" s="3061" t="s">
        <v>2507</v>
      </c>
      <c r="Z9" s="2937" t="str">
        <f t="shared" ref="Z9:Z15" si="7">Q9</f>
        <v>用途</v>
      </c>
      <c r="AA9" s="772">
        <f t="shared" si="3"/>
        <v>1</v>
      </c>
      <c r="AB9" s="772">
        <f t="shared" si="4"/>
        <v>1</v>
      </c>
      <c r="AC9" s="772">
        <f t="shared" si="5"/>
        <v>1</v>
      </c>
    </row>
    <row r="10" spans="1:29" s="426" customFormat="1" ht="27">
      <c r="A10" s="420"/>
      <c r="B10" s="2945" t="s">
        <v>2508</v>
      </c>
      <c r="C10" s="422" t="s">
        <v>3080</v>
      </c>
      <c r="D10" s="135">
        <v>100</v>
      </c>
      <c r="E10" s="423" t="s">
        <v>3080</v>
      </c>
      <c r="F10" s="424">
        <f>SUMIF(65:65,E10,66:66)-SUMIF(65:65,C10,66:66)+100</f>
        <v>100</v>
      </c>
      <c r="G10" s="422" t="s">
        <v>3080</v>
      </c>
      <c r="H10" s="135">
        <f>SUMIF(65:65,G10,66:66)-SUMIF(65:65,C10,66:66)+100</f>
        <v>100</v>
      </c>
      <c r="I10" s="422" t="s">
        <v>3080</v>
      </c>
      <c r="J10" s="135">
        <f>SUMIF(65:65,I10,66:66)-SUMIF(65:65,C10,66:66)+100</f>
        <v>100</v>
      </c>
      <c r="K10" s="425">
        <v>1</v>
      </c>
      <c r="L10" s="1134"/>
      <c r="M10" s="1135"/>
      <c r="N10" s="1135"/>
      <c r="O10" s="1135"/>
      <c r="P10" s="3212"/>
      <c r="Q10" s="2936" t="str">
        <f t="shared" si="6"/>
        <v>土地使用年限（年）</v>
      </c>
      <c r="R10" s="769" t="s">
        <v>17</v>
      </c>
      <c r="S10" s="770">
        <f t="shared" si="0"/>
        <v>100</v>
      </c>
      <c r="T10" s="769" t="s">
        <v>17</v>
      </c>
      <c r="U10" s="770">
        <f t="shared" si="1"/>
        <v>100</v>
      </c>
      <c r="V10" s="769" t="s">
        <v>17</v>
      </c>
      <c r="W10" s="770">
        <f t="shared" si="2"/>
        <v>100</v>
      </c>
      <c r="X10" s="771"/>
      <c r="Y10" s="3061"/>
      <c r="Z10" s="2937" t="str">
        <f t="shared" si="7"/>
        <v>土地使用年限（年）</v>
      </c>
      <c r="AA10" s="772">
        <f t="shared" si="3"/>
        <v>1</v>
      </c>
      <c r="AB10" s="772">
        <f t="shared" si="4"/>
        <v>1</v>
      </c>
      <c r="AC10" s="772">
        <f t="shared" si="5"/>
        <v>1</v>
      </c>
    </row>
    <row r="11" spans="1:29" ht="15">
      <c r="A11" s="427"/>
      <c r="B11" s="2945" t="s">
        <v>2509</v>
      </c>
      <c r="C11" s="428">
        <f>'数据-汇总表'!I4</f>
        <v>1.39</v>
      </c>
      <c r="D11" s="135">
        <v>100</v>
      </c>
      <c r="E11" s="429">
        <v>0.47</v>
      </c>
      <c r="F11" s="424">
        <f>LOOKUP(E11,68:68,69:69)-LOOKUP(C11,68:68,69:69)+100</f>
        <v>102</v>
      </c>
      <c r="G11" s="428">
        <v>1.5</v>
      </c>
      <c r="H11" s="135">
        <f>LOOKUP(G11,68:68,69:69)-LOOKUP(C11,68:68,69:69)+100</f>
        <v>100</v>
      </c>
      <c r="I11" s="428">
        <v>2</v>
      </c>
      <c r="J11" s="135">
        <f>LOOKUP(I11,68:68,69:69)-LOOKUP(C11,68:68,69:69)+100</f>
        <v>98</v>
      </c>
      <c r="K11" s="425">
        <v>2</v>
      </c>
      <c r="L11" s="1137"/>
      <c r="M11" s="1130"/>
      <c r="N11" s="1130"/>
      <c r="O11" s="1130"/>
      <c r="P11" s="3212"/>
      <c r="Q11" s="2936" t="str">
        <f t="shared" si="6"/>
        <v>容积率</v>
      </c>
      <c r="R11" s="769" t="s">
        <v>21</v>
      </c>
      <c r="S11" s="770">
        <f t="shared" si="0"/>
        <v>102</v>
      </c>
      <c r="T11" s="769" t="s">
        <v>21</v>
      </c>
      <c r="U11" s="770">
        <f t="shared" si="1"/>
        <v>100</v>
      </c>
      <c r="V11" s="769" t="s">
        <v>21</v>
      </c>
      <c r="W11" s="770">
        <f t="shared" si="2"/>
        <v>98</v>
      </c>
      <c r="X11" s="771"/>
      <c r="Y11" s="3061"/>
      <c r="Z11" s="2937" t="str">
        <f t="shared" si="7"/>
        <v>容积率</v>
      </c>
      <c r="AA11" s="772">
        <f t="shared" si="3"/>
        <v>0.98039215686274506</v>
      </c>
      <c r="AB11" s="772">
        <f t="shared" si="4"/>
        <v>1</v>
      </c>
      <c r="AC11" s="772">
        <f t="shared" si="5"/>
        <v>1.0204081632653061</v>
      </c>
    </row>
    <row r="12" spans="1:29" s="117" customFormat="1" ht="15">
      <c r="A12" s="430"/>
      <c r="B12" s="2971" t="s">
        <v>3084</v>
      </c>
      <c r="C12" s="2972" t="s">
        <v>3085</v>
      </c>
      <c r="D12" s="432">
        <v>100</v>
      </c>
      <c r="E12" s="2972" t="s">
        <v>3085</v>
      </c>
      <c r="F12" s="424">
        <f>SUMIF(70:70,E12,71:71)-SUMIF(70:70,C12,71:71)+100</f>
        <v>100</v>
      </c>
      <c r="G12" s="2972" t="s">
        <v>3085</v>
      </c>
      <c r="H12" s="135">
        <f>SUMIF(70:70,G12,71:71)-SUMIF(70:70,C12,71:71)+100</f>
        <v>100</v>
      </c>
      <c r="I12" s="2972" t="s">
        <v>3413</v>
      </c>
      <c r="J12" s="135">
        <f>SUMIF(70:70,I12,71:71)-SUMIF(70:70,C12,71:71)+100</f>
        <v>98</v>
      </c>
      <c r="K12" s="2597"/>
      <c r="L12" s="1131"/>
      <c r="M12" s="1132"/>
      <c r="N12" s="1132"/>
      <c r="O12" s="1132"/>
      <c r="P12" s="3212"/>
      <c r="Q12" s="2936" t="str">
        <f t="shared" si="6"/>
        <v>其他</v>
      </c>
      <c r="R12" s="769" t="s">
        <v>21</v>
      </c>
      <c r="S12" s="770">
        <f t="shared" si="0"/>
        <v>100</v>
      </c>
      <c r="T12" s="769" t="s">
        <v>21</v>
      </c>
      <c r="U12" s="770">
        <f t="shared" si="1"/>
        <v>100</v>
      </c>
      <c r="V12" s="769" t="s">
        <v>21</v>
      </c>
      <c r="W12" s="770">
        <f t="shared" si="2"/>
        <v>98</v>
      </c>
      <c r="X12" s="771"/>
      <c r="Y12" s="3061"/>
      <c r="Z12" s="2937" t="str">
        <f t="shared" si="7"/>
        <v>其他</v>
      </c>
      <c r="AA12" s="772">
        <f>D12/F12</f>
        <v>1</v>
      </c>
      <c r="AB12" s="772">
        <f>D12/H12</f>
        <v>1</v>
      </c>
      <c r="AC12" s="772">
        <f>D12/J12</f>
        <v>1.0204081632653061</v>
      </c>
    </row>
    <row r="13" spans="1:29" ht="15">
      <c r="A13" s="427"/>
      <c r="B13" s="2596"/>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12"/>
      <c r="Q13" s="2936">
        <f t="shared" si="6"/>
        <v>0</v>
      </c>
      <c r="R13" s="769" t="s">
        <v>21</v>
      </c>
      <c r="S13" s="770">
        <f t="shared" si="0"/>
        <v>100</v>
      </c>
      <c r="T13" s="769" t="s">
        <v>21</v>
      </c>
      <c r="U13" s="770">
        <f t="shared" si="1"/>
        <v>100</v>
      </c>
      <c r="V13" s="769" t="s">
        <v>21</v>
      </c>
      <c r="W13" s="770">
        <f t="shared" si="2"/>
        <v>100</v>
      </c>
      <c r="X13" s="771"/>
      <c r="Y13" s="3061"/>
      <c r="Z13" s="2937">
        <f t="shared" si="7"/>
        <v>0</v>
      </c>
      <c r="AA13" s="772">
        <f t="shared" si="3"/>
        <v>1</v>
      </c>
      <c r="AB13" s="772">
        <f t="shared" si="4"/>
        <v>1</v>
      </c>
      <c r="AC13" s="772">
        <f t="shared" si="5"/>
        <v>1</v>
      </c>
    </row>
    <row r="14" spans="1:29" ht="15.75" thickBot="1">
      <c r="A14" s="435"/>
      <c r="B14" s="2598"/>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12"/>
      <c r="Q14" s="2936">
        <f t="shared" si="6"/>
        <v>0</v>
      </c>
      <c r="R14" s="769" t="s">
        <v>21</v>
      </c>
      <c r="S14" s="770">
        <f t="shared" si="0"/>
        <v>100</v>
      </c>
      <c r="T14" s="769" t="s">
        <v>21</v>
      </c>
      <c r="U14" s="770">
        <f t="shared" si="1"/>
        <v>100</v>
      </c>
      <c r="V14" s="769" t="s">
        <v>21</v>
      </c>
      <c r="W14" s="770">
        <f t="shared" si="2"/>
        <v>100</v>
      </c>
      <c r="X14" s="771"/>
      <c r="Y14" s="3061"/>
      <c r="Z14" s="2937">
        <f t="shared" si="7"/>
        <v>0</v>
      </c>
      <c r="AA14" s="772">
        <f t="shared" si="3"/>
        <v>1</v>
      </c>
      <c r="AB14" s="772">
        <f t="shared" si="4"/>
        <v>1</v>
      </c>
      <c r="AC14" s="772">
        <f t="shared" si="5"/>
        <v>1</v>
      </c>
    </row>
    <row r="15" spans="1:29" ht="99.75">
      <c r="A15" s="439" t="s">
        <v>2510</v>
      </c>
      <c r="B15" s="69" t="s">
        <v>2048</v>
      </c>
      <c r="C15" s="2599" t="str">
        <f>估价对象房地状况!C3</f>
        <v>估价对象周边居住用地比例一般、居住小区规模和社区发展完善程度一般，周边有兴盛馨苑、上林苑等小区，综合评价居住社区成熟度一般</v>
      </c>
      <c r="D15" s="440">
        <v>100</v>
      </c>
      <c r="E15" s="2973" t="s">
        <v>3092</v>
      </c>
      <c r="F15" s="440">
        <f>SUMIF(76:76,E16,77:77)-SUMIF(76:76,C16,77:77)+100</f>
        <v>100</v>
      </c>
      <c r="G15" s="2973" t="s">
        <v>3092</v>
      </c>
      <c r="H15" s="440">
        <f>SUMIF(76:76,G16,77:77)-SUMIF(76:76,C16,77:77)+100</f>
        <v>100</v>
      </c>
      <c r="I15" s="2973" t="s">
        <v>3092</v>
      </c>
      <c r="J15" s="440">
        <f>SUMIF(76:76,I16,77:77)-SUMIF(76:76,C16,77:77)+100</f>
        <v>100</v>
      </c>
      <c r="K15" s="444">
        <v>2</v>
      </c>
      <c r="L15" s="1139"/>
      <c r="M15" s="1130"/>
      <c r="N15" s="1130"/>
      <c r="O15" s="1130"/>
      <c r="P15" s="3259" t="s">
        <v>2511</v>
      </c>
      <c r="Q15" s="2950" t="str">
        <f t="shared" si="6"/>
        <v>居住社区成熟度</v>
      </c>
      <c r="R15" s="773" t="s">
        <v>21</v>
      </c>
      <c r="S15" s="774">
        <f t="shared" si="0"/>
        <v>100</v>
      </c>
      <c r="T15" s="773" t="s">
        <v>21</v>
      </c>
      <c r="U15" s="774">
        <f t="shared" si="1"/>
        <v>100</v>
      </c>
      <c r="V15" s="773" t="s">
        <v>21</v>
      </c>
      <c r="W15" s="774">
        <f t="shared" si="2"/>
        <v>100</v>
      </c>
      <c r="X15" s="2948"/>
      <c r="Y15" s="3215" t="s">
        <v>2511</v>
      </c>
      <c r="Z15" s="2949" t="str">
        <f t="shared" si="7"/>
        <v>居住社区成熟度</v>
      </c>
      <c r="AA15" s="2951">
        <f t="shared" si="3"/>
        <v>1</v>
      </c>
      <c r="AB15" s="2951">
        <f t="shared" si="4"/>
        <v>1</v>
      </c>
      <c r="AC15" s="2951">
        <f t="shared" si="5"/>
        <v>1</v>
      </c>
    </row>
    <row r="16" spans="1:29" ht="15">
      <c r="A16" s="427"/>
      <c r="B16" s="445"/>
      <c r="C16" s="446" t="s">
        <v>3060</v>
      </c>
      <c r="D16" s="447"/>
      <c r="E16" s="2600" t="s">
        <v>3060</v>
      </c>
      <c r="F16" s="447"/>
      <c r="G16" s="2600" t="s">
        <v>3060</v>
      </c>
      <c r="H16" s="449"/>
      <c r="I16" s="2600" t="s">
        <v>3060</v>
      </c>
      <c r="J16" s="447"/>
      <c r="K16" s="2602"/>
      <c r="L16" s="1139"/>
      <c r="M16" s="1130"/>
      <c r="N16" s="1130"/>
      <c r="O16" s="1130"/>
      <c r="P16" s="3260"/>
      <c r="Q16" s="2950"/>
      <c r="R16" s="773"/>
      <c r="S16" s="774"/>
      <c r="T16" s="773"/>
      <c r="U16" s="774"/>
      <c r="V16" s="773"/>
      <c r="W16" s="774"/>
      <c r="X16" s="2948"/>
      <c r="Y16" s="3216"/>
      <c r="Z16" s="2949"/>
      <c r="AA16" s="2951">
        <v>1</v>
      </c>
      <c r="AB16" s="2951">
        <v>1</v>
      </c>
      <c r="AC16" s="2951">
        <v>1</v>
      </c>
    </row>
    <row r="17" spans="1:29" ht="99.75">
      <c r="A17" s="427"/>
      <c r="B17" s="450" t="s">
        <v>2054</v>
      </c>
      <c r="C17" s="2603" t="str">
        <f>估价对象房地状况!C6</f>
        <v>估价对象周边道路状况较好、公共交通通达情况较好、停车便捷程度较好，周边临近8号线德茂站、周边有341/453等公交线路，综合评价交通便捷度较好</v>
      </c>
      <c r="D17" s="449">
        <v>100</v>
      </c>
      <c r="E17" s="2974" t="s">
        <v>3093</v>
      </c>
      <c r="F17" s="449">
        <f>SUMIF(78:78,E18,79:79)-SUMIF(78:78,C18,79:79)+100</f>
        <v>100</v>
      </c>
      <c r="G17" s="2974" t="s">
        <v>3093</v>
      </c>
      <c r="H17" s="454">
        <f>SUMIF(78:78,G18,79:79)-SUMIF(78:78,C18,79:79)+100</f>
        <v>100</v>
      </c>
      <c r="I17" s="2974" t="s">
        <v>3093</v>
      </c>
      <c r="J17" s="454">
        <f>SUMIF(78:78,I18,79:79)-SUMIF(78:78,C18,79:79)+100</f>
        <v>100</v>
      </c>
      <c r="K17" s="444">
        <v>1</v>
      </c>
      <c r="L17" s="1139"/>
      <c r="M17" s="1130"/>
      <c r="N17" s="1130"/>
      <c r="O17" s="1130"/>
      <c r="P17" s="3260"/>
      <c r="Q17" s="2950" t="str">
        <f>B17</f>
        <v>交通便捷度</v>
      </c>
      <c r="R17" s="773" t="s">
        <v>21</v>
      </c>
      <c r="S17" s="774">
        <f>F17</f>
        <v>100</v>
      </c>
      <c r="T17" s="773" t="s">
        <v>21</v>
      </c>
      <c r="U17" s="774">
        <f>H17</f>
        <v>100</v>
      </c>
      <c r="V17" s="773" t="s">
        <v>21</v>
      </c>
      <c r="W17" s="774">
        <f>J17</f>
        <v>100</v>
      </c>
      <c r="X17" s="2948"/>
      <c r="Y17" s="3216"/>
      <c r="Z17" s="2949" t="str">
        <f>Q17</f>
        <v>交通便捷度</v>
      </c>
      <c r="AA17" s="2951">
        <f t="shared" si="3"/>
        <v>1</v>
      </c>
      <c r="AB17" s="2951">
        <f t="shared" si="4"/>
        <v>1</v>
      </c>
      <c r="AC17" s="2951">
        <f t="shared" si="5"/>
        <v>1</v>
      </c>
    </row>
    <row r="18" spans="1:29" ht="15">
      <c r="A18" s="427"/>
      <c r="B18" s="455"/>
      <c r="C18" s="2604" t="s">
        <v>3081</v>
      </c>
      <c r="D18" s="449"/>
      <c r="E18" s="2605" t="s">
        <v>3081</v>
      </c>
      <c r="F18" s="449"/>
      <c r="G18" s="2605" t="s">
        <v>3081</v>
      </c>
      <c r="H18" s="447"/>
      <c r="I18" s="2605" t="s">
        <v>3081</v>
      </c>
      <c r="J18" s="447"/>
      <c r="K18" s="2602"/>
      <c r="L18" s="1139"/>
      <c r="M18" s="1130"/>
      <c r="N18" s="1130"/>
      <c r="O18" s="1130"/>
      <c r="P18" s="3260"/>
      <c r="Q18" s="2950"/>
      <c r="R18" s="773"/>
      <c r="S18" s="774"/>
      <c r="T18" s="773"/>
      <c r="U18" s="774"/>
      <c r="V18" s="773"/>
      <c r="W18" s="774"/>
      <c r="X18" s="2948"/>
      <c r="Y18" s="3216"/>
      <c r="Z18" s="2949"/>
      <c r="AA18" s="2951">
        <v>1</v>
      </c>
      <c r="AB18" s="2951">
        <v>1</v>
      </c>
      <c r="AC18" s="2951">
        <v>1</v>
      </c>
    </row>
    <row r="19" spans="1:29" ht="42.75">
      <c r="A19" s="427"/>
      <c r="B19" s="450" t="s">
        <v>2053</v>
      </c>
      <c r="C19" s="2603" t="str">
        <f>估价对象房地状况!C7</f>
        <v>估价对象所在区域公共配套设施齐备情况一般</v>
      </c>
      <c r="D19" s="454">
        <v>100</v>
      </c>
      <c r="E19" s="458" t="s">
        <v>3053</v>
      </c>
      <c r="F19" s="454">
        <f>SUMIF(80:80,E20,81:81)-SUMIF(80:80,C20,81:81)+100</f>
        <v>100</v>
      </c>
      <c r="G19" s="458" t="s">
        <v>3053</v>
      </c>
      <c r="H19" s="449">
        <f>SUMIF(80:80,G20,81:81)-SUMIF(80:80,C20,81:81)+100</f>
        <v>100</v>
      </c>
      <c r="I19" s="458" t="s">
        <v>3053</v>
      </c>
      <c r="J19" s="449">
        <f>SUMIF(80:80,I20,81:81)-SUMIF(80:80,C20,81:81)+100</f>
        <v>100</v>
      </c>
      <c r="K19" s="444">
        <v>1</v>
      </c>
      <c r="L19" s="1139"/>
      <c r="M19" s="1130"/>
      <c r="N19" s="1130"/>
      <c r="O19" s="1130"/>
      <c r="P19" s="3260"/>
      <c r="Q19" s="2950" t="str">
        <f>B19</f>
        <v>公共配套设施</v>
      </c>
      <c r="R19" s="773" t="s">
        <v>21</v>
      </c>
      <c r="S19" s="774">
        <f>F19</f>
        <v>100</v>
      </c>
      <c r="T19" s="773" t="s">
        <v>21</v>
      </c>
      <c r="U19" s="774">
        <f>H19</f>
        <v>100</v>
      </c>
      <c r="V19" s="773" t="s">
        <v>21</v>
      </c>
      <c r="W19" s="774">
        <f>J19</f>
        <v>100</v>
      </c>
      <c r="X19" s="2948"/>
      <c r="Y19" s="3216"/>
      <c r="Z19" s="2949" t="str">
        <f>Q19</f>
        <v>公共配套设施</v>
      </c>
      <c r="AA19" s="2951">
        <f t="shared" si="3"/>
        <v>1</v>
      </c>
      <c r="AB19" s="2951">
        <f t="shared" si="4"/>
        <v>1</v>
      </c>
      <c r="AC19" s="2951">
        <f t="shared" si="5"/>
        <v>1</v>
      </c>
    </row>
    <row r="20" spans="1:29" ht="15">
      <c r="A20" s="427"/>
      <c r="B20" s="455"/>
      <c r="C20" s="446" t="s">
        <v>3060</v>
      </c>
      <c r="D20" s="447"/>
      <c r="E20" s="2600" t="s">
        <v>3060</v>
      </c>
      <c r="F20" s="447"/>
      <c r="G20" s="2600" t="s">
        <v>3060</v>
      </c>
      <c r="H20" s="447"/>
      <c r="I20" s="2600" t="s">
        <v>3060</v>
      </c>
      <c r="J20" s="447"/>
      <c r="K20" s="2602"/>
      <c r="L20" s="1139"/>
      <c r="M20" s="1130"/>
      <c r="N20" s="1130"/>
      <c r="O20" s="1130"/>
      <c r="P20" s="3260"/>
      <c r="Q20" s="2950"/>
      <c r="R20" s="773"/>
      <c r="S20" s="774"/>
      <c r="T20" s="773"/>
      <c r="U20" s="774"/>
      <c r="V20" s="773"/>
      <c r="W20" s="774"/>
      <c r="X20" s="2948"/>
      <c r="Y20" s="3216"/>
      <c r="Z20" s="2949"/>
      <c r="AA20" s="2951">
        <v>1</v>
      </c>
      <c r="AB20" s="2951">
        <v>1</v>
      </c>
      <c r="AC20" s="2951">
        <v>1</v>
      </c>
    </row>
    <row r="21" spans="1:29" ht="28.5">
      <c r="A21" s="427"/>
      <c r="B21" s="1383" t="s">
        <v>2055</v>
      </c>
      <c r="C21" s="2603" t="str">
        <f>估价对象房地状况!C8</f>
        <v>估价对象所在区域基础设施水平较好</v>
      </c>
      <c r="D21" s="449">
        <v>100</v>
      </c>
      <c r="E21" s="458" t="s">
        <v>3055</v>
      </c>
      <c r="F21" s="454">
        <f>SUMIF(82:82,E22,83:83)-SUMIF(82:82,C22,83:83)+100</f>
        <v>100</v>
      </c>
      <c r="G21" s="458" t="s">
        <v>3055</v>
      </c>
      <c r="H21" s="449">
        <f>SUMIF(82:82,G22,83:83)-SUMIF(82:82,C22,83:83)+100</f>
        <v>100</v>
      </c>
      <c r="I21" s="458" t="s">
        <v>3055</v>
      </c>
      <c r="J21" s="449">
        <f>SUMIF(82:82,I22,83:83)-SUMIF(82:82,C22,83:83)+100</f>
        <v>100</v>
      </c>
      <c r="K21" s="444">
        <v>1</v>
      </c>
      <c r="L21" s="1139"/>
      <c r="M21" s="1130"/>
      <c r="N21" s="1130"/>
      <c r="O21" s="1130"/>
      <c r="P21" s="3260"/>
      <c r="Q21" s="2950" t="str">
        <f>B21</f>
        <v>基础设施水平</v>
      </c>
      <c r="R21" s="773" t="s">
        <v>17</v>
      </c>
      <c r="S21" s="774">
        <f>F21</f>
        <v>100</v>
      </c>
      <c r="T21" s="773" t="s">
        <v>17</v>
      </c>
      <c r="U21" s="774">
        <f>H21</f>
        <v>100</v>
      </c>
      <c r="V21" s="773" t="s">
        <v>17</v>
      </c>
      <c r="W21" s="774">
        <f>J21</f>
        <v>100</v>
      </c>
      <c r="X21" s="2948"/>
      <c r="Y21" s="3216"/>
      <c r="Z21" s="2949" t="str">
        <f>Q21</f>
        <v>基础设施水平</v>
      </c>
      <c r="AA21" s="2951">
        <f t="shared" ref="AA21" si="8">D21/F21</f>
        <v>1</v>
      </c>
      <c r="AB21" s="2951">
        <f t="shared" ref="AB21" si="9">D21/H21</f>
        <v>1</v>
      </c>
      <c r="AC21" s="2951">
        <f t="shared" ref="AC21" si="10">D21/J21</f>
        <v>1</v>
      </c>
    </row>
    <row r="22" spans="1:29" ht="15">
      <c r="A22" s="427"/>
      <c r="B22" s="1383"/>
      <c r="C22" s="2604" t="s">
        <v>3077</v>
      </c>
      <c r="D22" s="447"/>
      <c r="E22" s="446" t="s">
        <v>3077</v>
      </c>
      <c r="F22" s="447"/>
      <c r="G22" s="446" t="s">
        <v>3077</v>
      </c>
      <c r="H22" s="447"/>
      <c r="I22" s="446" t="s">
        <v>3077</v>
      </c>
      <c r="J22" s="447"/>
      <c r="K22" s="2608"/>
      <c r="L22" s="1139"/>
      <c r="M22" s="1130"/>
      <c r="N22" s="1130"/>
      <c r="O22" s="1130"/>
      <c r="P22" s="3260"/>
      <c r="Q22" s="2950"/>
      <c r="R22" s="773"/>
      <c r="S22" s="774"/>
      <c r="T22" s="773"/>
      <c r="U22" s="774"/>
      <c r="V22" s="773"/>
      <c r="W22" s="774"/>
      <c r="X22" s="2948"/>
      <c r="Y22" s="3216"/>
      <c r="Z22" s="2949"/>
      <c r="AA22" s="2951">
        <v>1</v>
      </c>
      <c r="AB22" s="2951">
        <v>1</v>
      </c>
      <c r="AC22" s="2951">
        <v>1</v>
      </c>
    </row>
    <row r="23" spans="1:29" ht="71.25">
      <c r="A23" s="427"/>
      <c r="B23" s="450" t="s">
        <v>2057</v>
      </c>
      <c r="C23" s="2603" t="str">
        <f>估价对象房地状况!C9</f>
        <v>区域自然环境好；人文环境较好；周边有南海子公园等，综合评价环境状况较好</v>
      </c>
      <c r="D23" s="449">
        <v>100</v>
      </c>
      <c r="E23" s="453" t="s">
        <v>3057</v>
      </c>
      <c r="F23" s="449">
        <f>SUMIF(84:84,E24,85:85)-SUMIF(84:84,C24,85:85)+100</f>
        <v>100</v>
      </c>
      <c r="G23" s="453" t="s">
        <v>3057</v>
      </c>
      <c r="H23" s="449">
        <f>SUMIF(84:84,G24,85:85)-SUMIF(84:84,C24,85:85)+100</f>
        <v>100</v>
      </c>
      <c r="I23" s="2974" t="s">
        <v>3094</v>
      </c>
      <c r="J23" s="449">
        <f>SUMIF(84:84,I24,85:85)-SUMIF(84:84,C24,85:85)+100</f>
        <v>100</v>
      </c>
      <c r="K23" s="444">
        <v>1</v>
      </c>
      <c r="L23" s="1139"/>
      <c r="M23" s="1130"/>
      <c r="N23" s="1130"/>
      <c r="O23" s="1130"/>
      <c r="P23" s="3260"/>
      <c r="Q23" s="2950" t="str">
        <f>B23</f>
        <v>自然及人文环境</v>
      </c>
      <c r="R23" s="773" t="s">
        <v>21</v>
      </c>
      <c r="S23" s="774">
        <f>F23</f>
        <v>100</v>
      </c>
      <c r="T23" s="773" t="s">
        <v>21</v>
      </c>
      <c r="U23" s="774">
        <f>H23</f>
        <v>100</v>
      </c>
      <c r="V23" s="773" t="s">
        <v>21</v>
      </c>
      <c r="W23" s="774">
        <f>J23</f>
        <v>100</v>
      </c>
      <c r="X23" s="2948"/>
      <c r="Y23" s="3216"/>
      <c r="Z23" s="2949" t="str">
        <f>Q23</f>
        <v>自然及人文环境</v>
      </c>
      <c r="AA23" s="2951">
        <f>D23/F23</f>
        <v>1</v>
      </c>
      <c r="AB23" s="2951">
        <f>D23/H23</f>
        <v>1</v>
      </c>
      <c r="AC23" s="2951">
        <f>D23/J23</f>
        <v>1</v>
      </c>
    </row>
    <row r="24" spans="1:29" ht="15">
      <c r="A24" s="427"/>
      <c r="B24" s="455"/>
      <c r="C24" s="446" t="s">
        <v>3081</v>
      </c>
      <c r="D24" s="447"/>
      <c r="E24" s="2600" t="s">
        <v>3081</v>
      </c>
      <c r="F24" s="447"/>
      <c r="G24" s="2600" t="s">
        <v>3081</v>
      </c>
      <c r="H24" s="447"/>
      <c r="I24" s="2600" t="s">
        <v>3081</v>
      </c>
      <c r="J24" s="447"/>
      <c r="K24" s="2602"/>
      <c r="L24" s="1139"/>
      <c r="M24" s="1130"/>
      <c r="N24" s="1130"/>
      <c r="O24" s="1130"/>
      <c r="P24" s="3260"/>
      <c r="Q24" s="2950"/>
      <c r="R24" s="773"/>
      <c r="S24" s="774"/>
      <c r="T24" s="773"/>
      <c r="U24" s="774"/>
      <c r="V24" s="773"/>
      <c r="W24" s="774"/>
      <c r="X24" s="2948"/>
      <c r="Y24" s="3216"/>
      <c r="Z24" s="2949"/>
      <c r="AA24" s="2951">
        <v>1</v>
      </c>
      <c r="AB24" s="2951">
        <v>1</v>
      </c>
      <c r="AC24" s="2951">
        <v>1</v>
      </c>
    </row>
    <row r="25" spans="1:29" ht="15">
      <c r="A25" s="427"/>
      <c r="B25" s="2945" t="s">
        <v>2512</v>
      </c>
      <c r="C25" s="459" t="s">
        <v>3066</v>
      </c>
      <c r="D25" s="434">
        <v>100</v>
      </c>
      <c r="E25" s="459" t="s">
        <v>3066</v>
      </c>
      <c r="F25" s="434">
        <f>SUMIF(86:86,E25,87:87)-SUMIF(86:86,C25,87:87)+100</f>
        <v>100</v>
      </c>
      <c r="G25" s="459" t="s">
        <v>3066</v>
      </c>
      <c r="H25" s="434">
        <f>SUMIF(86:86,G25,87:87)-SUMIF(86:86,C25,87:87)+100</f>
        <v>100</v>
      </c>
      <c r="I25" s="459" t="s">
        <v>3066</v>
      </c>
      <c r="J25" s="434">
        <f>SUMIF(86:86,I25,87:87)-SUMIF(86:86,C25,87:87)+100</f>
        <v>100</v>
      </c>
      <c r="K25" s="425">
        <v>1</v>
      </c>
      <c r="L25" s="1139"/>
      <c r="M25" s="1130"/>
      <c r="N25" s="1130"/>
      <c r="O25" s="1130"/>
      <c r="P25" s="3260"/>
      <c r="Q25" s="2950" t="str">
        <f t="shared" ref="Q25:Q46" si="11">B25</f>
        <v>楼层-1</v>
      </c>
      <c r="R25" s="773" t="s">
        <v>21</v>
      </c>
      <c r="S25" s="774">
        <f t="shared" ref="S25:S46" si="12">F25</f>
        <v>100</v>
      </c>
      <c r="T25" s="773" t="s">
        <v>21</v>
      </c>
      <c r="U25" s="774">
        <f t="shared" ref="U25:U46" si="13">H25</f>
        <v>100</v>
      </c>
      <c r="V25" s="773" t="s">
        <v>21</v>
      </c>
      <c r="W25" s="774">
        <f t="shared" ref="W25:W46" si="14">J25</f>
        <v>100</v>
      </c>
      <c r="X25" s="2948"/>
      <c r="Y25" s="3216"/>
      <c r="Z25" s="2949" t="str">
        <f>Q25</f>
        <v>楼层-1</v>
      </c>
      <c r="AA25" s="2951">
        <f t="shared" ref="AA25:AA46" si="15">D25/F25</f>
        <v>1</v>
      </c>
      <c r="AB25" s="2951">
        <f t="shared" ref="AB25:AB46" si="16">D25/H25</f>
        <v>1</v>
      </c>
      <c r="AC25" s="2951">
        <f t="shared" ref="AC25:AC46" si="17">D25/J25</f>
        <v>1</v>
      </c>
    </row>
    <row r="26" spans="1:29" ht="15">
      <c r="A26" s="427"/>
      <c r="B26" s="2945" t="s">
        <v>2513</v>
      </c>
      <c r="C26" s="459" t="s">
        <v>3066</v>
      </c>
      <c r="D26" s="434">
        <v>100</v>
      </c>
      <c r="E26" s="459" t="s">
        <v>3066</v>
      </c>
      <c r="F26" s="434">
        <f>SUMIF(88:88,E26,89:89)-SUMIF(88:88,C26,89:89)+100</f>
        <v>100</v>
      </c>
      <c r="G26" s="459" t="s">
        <v>3066</v>
      </c>
      <c r="H26" s="434">
        <f>SUMIF(88:88,G26,89:89)-SUMIF(88:88,C26,89:89)+100</f>
        <v>100</v>
      </c>
      <c r="I26" s="459" t="s">
        <v>3066</v>
      </c>
      <c r="J26" s="434">
        <f>SUMIF(88:88,I26,89:89)-SUMIF(88:88,C26,89:89)+100</f>
        <v>100</v>
      </c>
      <c r="K26" s="425">
        <v>1</v>
      </c>
      <c r="L26" s="1139"/>
      <c r="M26" s="1130"/>
      <c r="N26" s="1130"/>
      <c r="O26" s="1130"/>
      <c r="P26" s="3260"/>
      <c r="Q26" s="2950" t="str">
        <f t="shared" si="11"/>
        <v>朝向</v>
      </c>
      <c r="R26" s="773" t="s">
        <v>21</v>
      </c>
      <c r="S26" s="774">
        <f t="shared" si="12"/>
        <v>100</v>
      </c>
      <c r="T26" s="773" t="s">
        <v>21</v>
      </c>
      <c r="U26" s="774">
        <f t="shared" si="13"/>
        <v>100</v>
      </c>
      <c r="V26" s="773" t="s">
        <v>21</v>
      </c>
      <c r="W26" s="774">
        <f t="shared" si="14"/>
        <v>100</v>
      </c>
      <c r="X26" s="2948"/>
      <c r="Y26" s="3216"/>
      <c r="Z26" s="2949" t="str">
        <f>Q26</f>
        <v>朝向</v>
      </c>
      <c r="AA26" s="2951">
        <f t="shared" si="15"/>
        <v>1</v>
      </c>
      <c r="AB26" s="2951">
        <f t="shared" si="16"/>
        <v>1</v>
      </c>
      <c r="AC26" s="2951">
        <f t="shared" si="17"/>
        <v>1</v>
      </c>
    </row>
    <row r="27" spans="1:29" s="117" customFormat="1" ht="15">
      <c r="A27" s="430"/>
      <c r="B27" s="1385"/>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60"/>
      <c r="Q27" s="2936">
        <f t="shared" si="11"/>
        <v>0</v>
      </c>
      <c r="R27" s="769" t="s">
        <v>21</v>
      </c>
      <c r="S27" s="770">
        <f t="shared" si="12"/>
        <v>100</v>
      </c>
      <c r="T27" s="769" t="s">
        <v>21</v>
      </c>
      <c r="U27" s="770">
        <f t="shared" si="13"/>
        <v>100</v>
      </c>
      <c r="V27" s="769" t="s">
        <v>21</v>
      </c>
      <c r="W27" s="770">
        <f t="shared" si="14"/>
        <v>100</v>
      </c>
      <c r="X27" s="771"/>
      <c r="Y27" s="3216"/>
      <c r="Z27" s="2937">
        <f>Q27</f>
        <v>0</v>
      </c>
      <c r="AA27" s="2951">
        <f t="shared" si="15"/>
        <v>1</v>
      </c>
      <c r="AB27" s="2951">
        <f t="shared" si="16"/>
        <v>1</v>
      </c>
      <c r="AC27" s="2951">
        <f t="shared" si="17"/>
        <v>1</v>
      </c>
    </row>
    <row r="28" spans="1:29" ht="15">
      <c r="A28" s="427"/>
      <c r="B28" s="1385"/>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60"/>
      <c r="Q28" s="2950">
        <f t="shared" si="11"/>
        <v>0</v>
      </c>
      <c r="R28" s="773" t="s">
        <v>21</v>
      </c>
      <c r="S28" s="774">
        <f t="shared" si="12"/>
        <v>100</v>
      </c>
      <c r="T28" s="773" t="s">
        <v>21</v>
      </c>
      <c r="U28" s="774">
        <f t="shared" si="13"/>
        <v>100</v>
      </c>
      <c r="V28" s="773" t="s">
        <v>21</v>
      </c>
      <c r="W28" s="774">
        <f t="shared" si="14"/>
        <v>100</v>
      </c>
      <c r="X28" s="2948"/>
      <c r="Y28" s="3216"/>
      <c r="Z28" s="2949">
        <f t="shared" ref="Z28:Z46" si="18">Q28</f>
        <v>0</v>
      </c>
      <c r="AA28" s="2951">
        <f t="shared" si="15"/>
        <v>1</v>
      </c>
      <c r="AB28" s="2951">
        <f t="shared" si="16"/>
        <v>1</v>
      </c>
      <c r="AC28" s="2951">
        <f t="shared" si="17"/>
        <v>1</v>
      </c>
    </row>
    <row r="29" spans="1:29" ht="15">
      <c r="A29" s="427"/>
      <c r="B29" s="1385"/>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60"/>
      <c r="Q29" s="2950">
        <f t="shared" si="11"/>
        <v>0</v>
      </c>
      <c r="R29" s="773" t="s">
        <v>21</v>
      </c>
      <c r="S29" s="774">
        <f t="shared" si="12"/>
        <v>100</v>
      </c>
      <c r="T29" s="773" t="s">
        <v>21</v>
      </c>
      <c r="U29" s="774">
        <f t="shared" si="13"/>
        <v>100</v>
      </c>
      <c r="V29" s="773" t="s">
        <v>21</v>
      </c>
      <c r="W29" s="774">
        <f t="shared" si="14"/>
        <v>100</v>
      </c>
      <c r="X29" s="2948"/>
      <c r="Y29" s="3216"/>
      <c r="Z29" s="2949">
        <f t="shared" si="18"/>
        <v>0</v>
      </c>
      <c r="AA29" s="2951">
        <f t="shared" si="15"/>
        <v>1</v>
      </c>
      <c r="AB29" s="2951">
        <f t="shared" si="16"/>
        <v>1</v>
      </c>
      <c r="AC29" s="2951">
        <f t="shared" si="17"/>
        <v>1</v>
      </c>
    </row>
    <row r="30" spans="1:29" ht="15">
      <c r="A30" s="427"/>
      <c r="B30" s="1385"/>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60"/>
      <c r="Q30" s="2950">
        <f t="shared" si="11"/>
        <v>0</v>
      </c>
      <c r="R30" s="773" t="s">
        <v>21</v>
      </c>
      <c r="S30" s="774">
        <f t="shared" si="12"/>
        <v>100</v>
      </c>
      <c r="T30" s="773" t="s">
        <v>21</v>
      </c>
      <c r="U30" s="774">
        <f t="shared" si="13"/>
        <v>100</v>
      </c>
      <c r="V30" s="773" t="s">
        <v>21</v>
      </c>
      <c r="W30" s="774">
        <f t="shared" si="14"/>
        <v>100</v>
      </c>
      <c r="X30" s="2948"/>
      <c r="Y30" s="3216"/>
      <c r="Z30" s="2949">
        <f t="shared" si="18"/>
        <v>0</v>
      </c>
      <c r="AA30" s="2951">
        <f t="shared" si="15"/>
        <v>1</v>
      </c>
      <c r="AB30" s="2951">
        <f t="shared" si="16"/>
        <v>1</v>
      </c>
      <c r="AC30" s="2951">
        <f t="shared" si="17"/>
        <v>1</v>
      </c>
    </row>
    <row r="31" spans="1:29" ht="15.75" thickBot="1">
      <c r="A31" s="435"/>
      <c r="B31" s="1385"/>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60"/>
      <c r="Q31" s="2950">
        <f t="shared" si="11"/>
        <v>0</v>
      </c>
      <c r="R31" s="773" t="s">
        <v>21</v>
      </c>
      <c r="S31" s="774">
        <f t="shared" si="12"/>
        <v>100</v>
      </c>
      <c r="T31" s="773" t="s">
        <v>21</v>
      </c>
      <c r="U31" s="774">
        <f t="shared" si="13"/>
        <v>100</v>
      </c>
      <c r="V31" s="773" t="s">
        <v>21</v>
      </c>
      <c r="W31" s="774">
        <f t="shared" si="14"/>
        <v>100</v>
      </c>
      <c r="X31" s="2948"/>
      <c r="Y31" s="3216"/>
      <c r="Z31" s="2949">
        <f t="shared" si="18"/>
        <v>0</v>
      </c>
      <c r="AA31" s="2951">
        <f t="shared" si="15"/>
        <v>1</v>
      </c>
      <c r="AB31" s="2951">
        <f t="shared" si="16"/>
        <v>1</v>
      </c>
      <c r="AC31" s="2951">
        <f t="shared" si="17"/>
        <v>1</v>
      </c>
    </row>
    <row r="32" spans="1:29" ht="15">
      <c r="A32" s="439" t="s">
        <v>2514</v>
      </c>
      <c r="B32" s="71" t="s">
        <v>2515</v>
      </c>
      <c r="C32" s="2613" t="s">
        <v>3095</v>
      </c>
      <c r="D32" s="466">
        <v>100</v>
      </c>
      <c r="E32" s="2614" t="s">
        <v>3417</v>
      </c>
      <c r="F32" s="460">
        <f>SUMIF(100:100,E32,101:101)-SUMIF(100:100,C32,101:101)+100</f>
        <v>120</v>
      </c>
      <c r="G32" s="2614" t="s">
        <v>3097</v>
      </c>
      <c r="H32" s="466">
        <f>SUMIF(100:100,G32,101:101)-SUMIF(100:100,C32,101:101)+100</f>
        <v>110</v>
      </c>
      <c r="I32" s="2614" t="s">
        <v>3095</v>
      </c>
      <c r="J32" s="434">
        <f>SUMIF(100:100,I32,101:101)-SUMIF(100:100,C32,101:101)+100</f>
        <v>100</v>
      </c>
      <c r="K32" s="425">
        <v>5</v>
      </c>
      <c r="L32" s="1139"/>
      <c r="M32" s="1130"/>
      <c r="N32" s="1130"/>
      <c r="O32" s="1130"/>
      <c r="P32" s="3255" t="s">
        <v>2516</v>
      </c>
      <c r="Q32" s="2950" t="str">
        <f t="shared" si="11"/>
        <v>建筑类型</v>
      </c>
      <c r="R32" s="773" t="s">
        <v>21</v>
      </c>
      <c r="S32" s="774">
        <f t="shared" si="12"/>
        <v>120</v>
      </c>
      <c r="T32" s="773" t="s">
        <v>21</v>
      </c>
      <c r="U32" s="774">
        <f t="shared" si="13"/>
        <v>110</v>
      </c>
      <c r="V32" s="773" t="s">
        <v>21</v>
      </c>
      <c r="W32" s="774">
        <f t="shared" si="14"/>
        <v>100</v>
      </c>
      <c r="X32" s="2948"/>
      <c r="Y32" s="3218" t="s">
        <v>2516</v>
      </c>
      <c r="Z32" s="2949" t="str">
        <f t="shared" si="18"/>
        <v>建筑类型</v>
      </c>
      <c r="AA32" s="2951">
        <f t="shared" si="15"/>
        <v>0.83333333333333337</v>
      </c>
      <c r="AB32" s="2951">
        <f t="shared" si="16"/>
        <v>0.90909090909090906</v>
      </c>
      <c r="AC32" s="2951">
        <f t="shared" si="17"/>
        <v>1</v>
      </c>
    </row>
    <row r="33" spans="1:29" s="470" customFormat="1" ht="15">
      <c r="A33" s="467"/>
      <c r="B33" s="2945" t="s">
        <v>2517</v>
      </c>
      <c r="C33" s="468">
        <f>'数据-汇总表'!E3</f>
        <v>123740.26</v>
      </c>
      <c r="D33" s="135">
        <v>100</v>
      </c>
      <c r="E33" s="429">
        <v>23000</v>
      </c>
      <c r="F33" s="424">
        <f>LOOKUP(E33,103:103,104:104)-LOOKUP(C33,103:103,104:104)+100</f>
        <v>98</v>
      </c>
      <c r="G33" s="428">
        <v>152577</v>
      </c>
      <c r="H33" s="135">
        <f>LOOKUP(G33,103:103,104:104)-LOOKUP(C33,103:103,104:104)+100</f>
        <v>101</v>
      </c>
      <c r="I33" s="429">
        <v>133506</v>
      </c>
      <c r="J33" s="135">
        <f>LOOKUP(I33,103:103,104:104)-LOOKUP(C33,103:103,104:104)+100</f>
        <v>100</v>
      </c>
      <c r="K33" s="2597"/>
      <c r="L33" s="1137"/>
      <c r="M33" s="1140"/>
      <c r="N33" s="1140"/>
      <c r="O33" s="1140"/>
      <c r="P33" s="3256"/>
      <c r="Q33" s="775" t="str">
        <f t="shared" si="11"/>
        <v>项目建筑规模</v>
      </c>
      <c r="R33" s="776" t="s">
        <v>21</v>
      </c>
      <c r="S33" s="777">
        <f t="shared" si="12"/>
        <v>98</v>
      </c>
      <c r="T33" s="776" t="s">
        <v>21</v>
      </c>
      <c r="U33" s="777">
        <f t="shared" si="13"/>
        <v>101</v>
      </c>
      <c r="V33" s="776" t="s">
        <v>21</v>
      </c>
      <c r="W33" s="777">
        <f t="shared" si="14"/>
        <v>100</v>
      </c>
      <c r="X33" s="778"/>
      <c r="Y33" s="3218"/>
      <c r="Z33" s="779" t="str">
        <f t="shared" si="18"/>
        <v>项目建筑规模</v>
      </c>
      <c r="AA33" s="2951">
        <f t="shared" si="15"/>
        <v>1.0204081632653061</v>
      </c>
      <c r="AB33" s="2951">
        <f t="shared" si="16"/>
        <v>0.99009900990099009</v>
      </c>
      <c r="AC33" s="2951">
        <f t="shared" si="17"/>
        <v>1</v>
      </c>
    </row>
    <row r="34" spans="1:29" ht="15">
      <c r="A34" s="471"/>
      <c r="B34" s="2945" t="s">
        <v>2518</v>
      </c>
      <c r="C34" s="2615" t="s">
        <v>3069</v>
      </c>
      <c r="D34" s="434">
        <v>100</v>
      </c>
      <c r="E34" s="2616" t="s">
        <v>3069</v>
      </c>
      <c r="F34" s="460">
        <f>SUMIF(105:105,E34,106:106)-SUMIF(105:105,C34,106:106)+100</f>
        <v>100</v>
      </c>
      <c r="G34" s="2616" t="s">
        <v>3069</v>
      </c>
      <c r="H34" s="434">
        <f>SUMIF(105:105,G34,106:106)-SUMIF(105:105,C34,106:106)+100</f>
        <v>100</v>
      </c>
      <c r="I34" s="2616" t="s">
        <v>3069</v>
      </c>
      <c r="J34" s="434">
        <f>SUMIF(105:105,I34,106:106)-SUMIF(105:105,C34,106:106)+100</f>
        <v>100</v>
      </c>
      <c r="K34" s="425">
        <v>1</v>
      </c>
      <c r="L34" s="1139"/>
      <c r="M34" s="1130"/>
      <c r="N34" s="1130"/>
      <c r="O34" s="1130"/>
      <c r="P34" s="3256"/>
      <c r="Q34" s="2950" t="str">
        <f t="shared" si="11"/>
        <v>建筑结构</v>
      </c>
      <c r="R34" s="773" t="s">
        <v>21</v>
      </c>
      <c r="S34" s="774">
        <f t="shared" si="12"/>
        <v>100</v>
      </c>
      <c r="T34" s="773" t="s">
        <v>21</v>
      </c>
      <c r="U34" s="774">
        <f t="shared" si="13"/>
        <v>100</v>
      </c>
      <c r="V34" s="773" t="s">
        <v>21</v>
      </c>
      <c r="W34" s="774">
        <f t="shared" si="14"/>
        <v>100</v>
      </c>
      <c r="X34" s="2948"/>
      <c r="Y34" s="3218"/>
      <c r="Z34" s="2949" t="str">
        <f t="shared" si="18"/>
        <v>建筑结构</v>
      </c>
      <c r="AA34" s="2951">
        <f t="shared" si="15"/>
        <v>1</v>
      </c>
      <c r="AB34" s="2951">
        <f t="shared" si="16"/>
        <v>1</v>
      </c>
      <c r="AC34" s="2951">
        <f t="shared" si="17"/>
        <v>1</v>
      </c>
    </row>
    <row r="35" spans="1:29" ht="15">
      <c r="A35" s="471"/>
      <c r="B35" s="2945" t="s">
        <v>2519</v>
      </c>
      <c r="C35" s="2609" t="s">
        <v>3071</v>
      </c>
      <c r="D35" s="434">
        <v>100</v>
      </c>
      <c r="E35" s="2610" t="s">
        <v>3071</v>
      </c>
      <c r="F35" s="460">
        <f>SUMIF(107:107,E35,108:108)-SUMIF(107:107,C35,108:108)+100</f>
        <v>100</v>
      </c>
      <c r="G35" s="2610" t="s">
        <v>3071</v>
      </c>
      <c r="H35" s="434">
        <f>SUMIF(107:107,G35,108:108)-SUMIF(107:107,C35,108:108)+100</f>
        <v>100</v>
      </c>
      <c r="I35" s="2610" t="s">
        <v>3071</v>
      </c>
      <c r="J35" s="434">
        <f>SUMIF(107:107,I35,108:108)-SUMIF(107:107,C35,108:108)+100</f>
        <v>100</v>
      </c>
      <c r="K35" s="425">
        <v>1</v>
      </c>
      <c r="L35" s="1139"/>
      <c r="M35" s="1130"/>
      <c r="N35" s="1130"/>
      <c r="O35" s="1130"/>
      <c r="P35" s="3256"/>
      <c r="Q35" s="2950" t="str">
        <f t="shared" si="11"/>
        <v>建筑品质</v>
      </c>
      <c r="R35" s="773" t="s">
        <v>21</v>
      </c>
      <c r="S35" s="774">
        <f t="shared" si="12"/>
        <v>100</v>
      </c>
      <c r="T35" s="773" t="s">
        <v>21</v>
      </c>
      <c r="U35" s="774">
        <f t="shared" si="13"/>
        <v>100</v>
      </c>
      <c r="V35" s="773" t="s">
        <v>21</v>
      </c>
      <c r="W35" s="774">
        <f t="shared" si="14"/>
        <v>100</v>
      </c>
      <c r="X35" s="2948"/>
      <c r="Y35" s="3218"/>
      <c r="Z35" s="2949" t="str">
        <f t="shared" si="18"/>
        <v>建筑品质</v>
      </c>
      <c r="AA35" s="2951">
        <f t="shared" si="15"/>
        <v>1</v>
      </c>
      <c r="AB35" s="2951">
        <f t="shared" si="16"/>
        <v>1</v>
      </c>
      <c r="AC35" s="2951">
        <f t="shared" si="17"/>
        <v>1</v>
      </c>
    </row>
    <row r="36" spans="1:29" ht="15">
      <c r="A36" s="471"/>
      <c r="B36" s="2945" t="s">
        <v>2520</v>
      </c>
      <c r="C36" s="2609" t="s">
        <v>3073</v>
      </c>
      <c r="D36" s="434">
        <v>100</v>
      </c>
      <c r="E36" s="2610" t="s">
        <v>3073</v>
      </c>
      <c r="F36" s="460">
        <f>SUMIF(109:109,E36,110:110)-SUMIF(109:109,C36,110:110)+100</f>
        <v>100</v>
      </c>
      <c r="G36" s="2610" t="s">
        <v>3073</v>
      </c>
      <c r="H36" s="434">
        <f>SUMIF(109:109,G36,110:110)-SUMIF(109:109,C36,110:110)+100</f>
        <v>100</v>
      </c>
      <c r="I36" s="2610" t="s">
        <v>3073</v>
      </c>
      <c r="J36" s="434">
        <f>SUMIF(109:109,I36,110:110)-SUMIF(109:109,C36,110:110)+100</f>
        <v>100</v>
      </c>
      <c r="K36" s="425">
        <v>1</v>
      </c>
      <c r="L36" s="1139"/>
      <c r="M36" s="1130"/>
      <c r="N36" s="1130"/>
      <c r="O36" s="1130"/>
      <c r="P36" s="3256"/>
      <c r="Q36" s="2950" t="str">
        <f t="shared" si="11"/>
        <v>公共部分装修</v>
      </c>
      <c r="R36" s="773" t="s">
        <v>21</v>
      </c>
      <c r="S36" s="774">
        <f t="shared" si="12"/>
        <v>100</v>
      </c>
      <c r="T36" s="773" t="s">
        <v>21</v>
      </c>
      <c r="U36" s="774">
        <f t="shared" si="13"/>
        <v>100</v>
      </c>
      <c r="V36" s="773" t="s">
        <v>21</v>
      </c>
      <c r="W36" s="774">
        <f t="shared" si="14"/>
        <v>100</v>
      </c>
      <c r="X36" s="2948"/>
      <c r="Y36" s="3218"/>
      <c r="Z36" s="2949" t="str">
        <f t="shared" si="18"/>
        <v>公共部分装修</v>
      </c>
      <c r="AA36" s="2951">
        <f t="shared" si="15"/>
        <v>1</v>
      </c>
      <c r="AB36" s="2951">
        <f t="shared" si="16"/>
        <v>1</v>
      </c>
      <c r="AC36" s="2951">
        <f t="shared" si="17"/>
        <v>1</v>
      </c>
    </row>
    <row r="37" spans="1:29" s="117" customFormat="1" ht="15">
      <c r="A37" s="472"/>
      <c r="B37" s="2945" t="s">
        <v>2521</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1"/>
      <c r="M37" s="1132"/>
      <c r="N37" s="1132"/>
      <c r="O37" s="1132"/>
      <c r="P37" s="3256"/>
      <c r="Q37" s="2936" t="str">
        <f t="shared" si="11"/>
        <v>成新度</v>
      </c>
      <c r="R37" s="769" t="s">
        <v>21</v>
      </c>
      <c r="S37" s="770">
        <f t="shared" si="12"/>
        <v>100</v>
      </c>
      <c r="T37" s="769" t="s">
        <v>21</v>
      </c>
      <c r="U37" s="770">
        <f t="shared" si="13"/>
        <v>100</v>
      </c>
      <c r="V37" s="769" t="s">
        <v>21</v>
      </c>
      <c r="W37" s="770">
        <f t="shared" si="14"/>
        <v>100</v>
      </c>
      <c r="X37" s="771"/>
      <c r="Y37" s="3218"/>
      <c r="Z37" s="2937" t="str">
        <f t="shared" si="18"/>
        <v>成新度</v>
      </c>
      <c r="AA37" s="772">
        <f t="shared" si="15"/>
        <v>1</v>
      </c>
      <c r="AB37" s="772">
        <f t="shared" si="16"/>
        <v>1</v>
      </c>
      <c r="AC37" s="772">
        <f t="shared" si="17"/>
        <v>1</v>
      </c>
    </row>
    <row r="38" spans="1:29" ht="15">
      <c r="A38" s="471"/>
      <c r="B38" s="2945" t="s">
        <v>2522</v>
      </c>
      <c r="C38" s="2609" t="s">
        <v>3075</v>
      </c>
      <c r="D38" s="434">
        <v>100</v>
      </c>
      <c r="E38" s="2610" t="s">
        <v>3075</v>
      </c>
      <c r="F38" s="460">
        <f>SUMIF(114:114,E38,115:115)-SUMIF(114:114,C38,115:115)+100</f>
        <v>100</v>
      </c>
      <c r="G38" s="2610" t="s">
        <v>3075</v>
      </c>
      <c r="H38" s="434">
        <f>SUMIF(114:114,G38,115:115)-SUMIF(114:114,C38,115:115)+100</f>
        <v>100</v>
      </c>
      <c r="I38" s="2610" t="s">
        <v>3075</v>
      </c>
      <c r="J38" s="434">
        <f>SUMIF(114:114,I38,115:115)-SUMIF(114:114,C38,115:115)+100</f>
        <v>100</v>
      </c>
      <c r="K38" s="425">
        <v>1</v>
      </c>
      <c r="L38" s="1139"/>
      <c r="M38" s="1130"/>
      <c r="N38" s="1130"/>
      <c r="O38" s="1130"/>
      <c r="P38" s="3256" t="s">
        <v>2516</v>
      </c>
      <c r="Q38" s="2950" t="str">
        <f t="shared" si="11"/>
        <v>物业管理</v>
      </c>
      <c r="R38" s="773" t="s">
        <v>21</v>
      </c>
      <c r="S38" s="774">
        <f t="shared" si="12"/>
        <v>100</v>
      </c>
      <c r="T38" s="773" t="s">
        <v>21</v>
      </c>
      <c r="U38" s="774">
        <f t="shared" si="13"/>
        <v>100</v>
      </c>
      <c r="V38" s="773" t="s">
        <v>21</v>
      </c>
      <c r="W38" s="774">
        <f t="shared" si="14"/>
        <v>100</v>
      </c>
      <c r="X38" s="2948"/>
      <c r="Y38" s="3218" t="s">
        <v>2516</v>
      </c>
      <c r="Z38" s="2949" t="str">
        <f t="shared" si="18"/>
        <v>物业管理</v>
      </c>
      <c r="AA38" s="2951">
        <f t="shared" si="15"/>
        <v>1</v>
      </c>
      <c r="AB38" s="2951">
        <f t="shared" si="16"/>
        <v>1</v>
      </c>
      <c r="AC38" s="2951">
        <f t="shared" si="17"/>
        <v>1</v>
      </c>
    </row>
    <row r="39" spans="1:29" ht="15">
      <c r="A39" s="471"/>
      <c r="B39" s="2945" t="s">
        <v>2523</v>
      </c>
      <c r="C39" s="2609" t="s">
        <v>3077</v>
      </c>
      <c r="D39" s="434">
        <v>100</v>
      </c>
      <c r="E39" s="2610" t="s">
        <v>3077</v>
      </c>
      <c r="F39" s="460">
        <f>SUMIF(116:116,E39,117:117)-SUMIF(116:116,C39,117:117)+100</f>
        <v>100</v>
      </c>
      <c r="G39" s="2610" t="s">
        <v>3077</v>
      </c>
      <c r="H39" s="434">
        <f>SUMIF(116:116,G39,117:117)-SUMIF(116:116,C39,117:117)+100</f>
        <v>100</v>
      </c>
      <c r="I39" s="2610" t="s">
        <v>3077</v>
      </c>
      <c r="J39" s="434">
        <f>SUMIF(116:116,I39,117:117)-SUMIF(116:116,C39,117:117)+100</f>
        <v>100</v>
      </c>
      <c r="K39" s="425">
        <v>1</v>
      </c>
      <c r="L39" s="1139"/>
      <c r="M39" s="1130"/>
      <c r="N39" s="1130"/>
      <c r="O39" s="1130"/>
      <c r="P39" s="3256"/>
      <c r="Q39" s="2950" t="str">
        <f t="shared" si="11"/>
        <v>市政基础设施</v>
      </c>
      <c r="R39" s="773" t="s">
        <v>21</v>
      </c>
      <c r="S39" s="774">
        <f t="shared" si="12"/>
        <v>100</v>
      </c>
      <c r="T39" s="773" t="s">
        <v>21</v>
      </c>
      <c r="U39" s="774">
        <f t="shared" si="13"/>
        <v>100</v>
      </c>
      <c r="V39" s="773" t="s">
        <v>21</v>
      </c>
      <c r="W39" s="774">
        <f t="shared" si="14"/>
        <v>100</v>
      </c>
      <c r="X39" s="2948"/>
      <c r="Y39" s="3218"/>
      <c r="Z39" s="2949" t="str">
        <f t="shared" si="18"/>
        <v>市政基础设施</v>
      </c>
      <c r="AA39" s="2951">
        <f t="shared" si="15"/>
        <v>1</v>
      </c>
      <c r="AB39" s="2951">
        <f t="shared" si="16"/>
        <v>1</v>
      </c>
      <c r="AC39" s="2951">
        <f t="shared" si="17"/>
        <v>1</v>
      </c>
    </row>
    <row r="40" spans="1:29" ht="15">
      <c r="A40" s="471"/>
      <c r="B40" s="2945" t="s">
        <v>2524</v>
      </c>
      <c r="C40" s="2609" t="s">
        <v>70</v>
      </c>
      <c r="D40" s="434">
        <v>100</v>
      </c>
      <c r="E40" s="2610" t="s">
        <v>70</v>
      </c>
      <c r="F40" s="460">
        <f>SUMIF(118:118,E40,119:119)-SUMIF(118:118,C40,119:119)+100</f>
        <v>100</v>
      </c>
      <c r="G40" s="2610" t="s">
        <v>70</v>
      </c>
      <c r="H40" s="434">
        <f>SUMIF(118:118,G40,119:119)-SUMIF(118:118,C40,119:119)+100</f>
        <v>100</v>
      </c>
      <c r="I40" s="2610" t="s">
        <v>70</v>
      </c>
      <c r="J40" s="434">
        <f>SUMIF(118:118,I40,119:119)-SUMIF(118:118,C40,119:119)+100</f>
        <v>100</v>
      </c>
      <c r="K40" s="425">
        <v>1</v>
      </c>
      <c r="L40" s="1139"/>
      <c r="M40" s="1130"/>
      <c r="N40" s="1130"/>
      <c r="O40" s="1130"/>
      <c r="P40" s="3256"/>
      <c r="Q40" s="2950" t="str">
        <f t="shared" si="11"/>
        <v>房型</v>
      </c>
      <c r="R40" s="773" t="s">
        <v>21</v>
      </c>
      <c r="S40" s="774">
        <f t="shared" si="12"/>
        <v>100</v>
      </c>
      <c r="T40" s="773" t="s">
        <v>21</v>
      </c>
      <c r="U40" s="774">
        <f t="shared" si="13"/>
        <v>100</v>
      </c>
      <c r="V40" s="773" t="s">
        <v>21</v>
      </c>
      <c r="W40" s="774">
        <f t="shared" si="14"/>
        <v>100</v>
      </c>
      <c r="X40" s="2948"/>
      <c r="Y40" s="3218"/>
      <c r="Z40" s="2949" t="str">
        <f t="shared" si="18"/>
        <v>房型</v>
      </c>
      <c r="AA40" s="2951">
        <f t="shared" si="15"/>
        <v>1</v>
      </c>
      <c r="AB40" s="2951">
        <f t="shared" si="16"/>
        <v>1</v>
      </c>
      <c r="AC40" s="2951">
        <f t="shared" si="17"/>
        <v>1</v>
      </c>
    </row>
    <row r="41" spans="1:29" s="470" customFormat="1" ht="28.5">
      <c r="A41" s="467"/>
      <c r="B41" s="2945" t="s">
        <v>2525</v>
      </c>
      <c r="C41" s="468" t="s">
        <v>3066</v>
      </c>
      <c r="D41" s="135">
        <v>100</v>
      </c>
      <c r="E41" s="429" t="s">
        <v>70</v>
      </c>
      <c r="F41" s="424">
        <f>SUMIF(120:120,E41,121:121)-SUMIF(120:120,C41,121:121)+100</f>
        <v>100</v>
      </c>
      <c r="G41" s="429" t="s">
        <v>70</v>
      </c>
      <c r="H41" s="135">
        <f>SUMIF(120:120,G41,121:121)-SUMIF(120:120,C41,121:121)+100</f>
        <v>100</v>
      </c>
      <c r="I41" s="429" t="s">
        <v>70</v>
      </c>
      <c r="J41" s="434">
        <f>SUMIF(120:120,I41,121:121)-SUMIF(120:120,C41,121:121)+100</f>
        <v>100</v>
      </c>
      <c r="K41" s="2597"/>
      <c r="L41" s="1137"/>
      <c r="M41" s="1140"/>
      <c r="N41" s="1140"/>
      <c r="O41" s="1140"/>
      <c r="P41" s="325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2951">
        <f t="shared" si="15"/>
        <v>1</v>
      </c>
      <c r="AB41" s="2951">
        <f t="shared" si="16"/>
        <v>1</v>
      </c>
      <c r="AC41" s="2951">
        <f t="shared" si="17"/>
        <v>1</v>
      </c>
    </row>
    <row r="42" spans="1:29" ht="15">
      <c r="A42" s="471"/>
      <c r="B42" s="2945" t="s">
        <v>2526</v>
      </c>
      <c r="C42" s="2609" t="s">
        <v>3089</v>
      </c>
      <c r="D42" s="434">
        <v>100</v>
      </c>
      <c r="E42" s="2610" t="s">
        <v>3089</v>
      </c>
      <c r="F42" s="460">
        <f>SUMIF(122:122,E42,123:123)-SUMIF(122:122,C42,123:123)+100</f>
        <v>100</v>
      </c>
      <c r="G42" s="2610" t="s">
        <v>3089</v>
      </c>
      <c r="H42" s="434">
        <f>SUMIF(122:122,G42,123:123)-SUMIF(122:122,C42,123:123)+100</f>
        <v>100</v>
      </c>
      <c r="I42" s="2610" t="s">
        <v>3089</v>
      </c>
      <c r="J42" s="434">
        <f>SUMIF(122:122,I42,123:123)-SUMIF(122:122,C42,123:123)+100</f>
        <v>100</v>
      </c>
      <c r="K42" s="425">
        <v>2</v>
      </c>
      <c r="L42" s="1139"/>
      <c r="M42" s="1130"/>
      <c r="N42" s="1130"/>
      <c r="O42" s="1130"/>
      <c r="P42" s="3256"/>
      <c r="Q42" s="2950" t="str">
        <f t="shared" si="11"/>
        <v>内部装修</v>
      </c>
      <c r="R42" s="773" t="s">
        <v>21</v>
      </c>
      <c r="S42" s="774">
        <f t="shared" si="12"/>
        <v>100</v>
      </c>
      <c r="T42" s="773" t="s">
        <v>21</v>
      </c>
      <c r="U42" s="774">
        <f t="shared" si="13"/>
        <v>100</v>
      </c>
      <c r="V42" s="773" t="s">
        <v>21</v>
      </c>
      <c r="W42" s="774">
        <f t="shared" si="14"/>
        <v>100</v>
      </c>
      <c r="X42" s="2948"/>
      <c r="Y42" s="3218"/>
      <c r="Z42" s="2949" t="str">
        <f t="shared" si="18"/>
        <v>内部装修</v>
      </c>
      <c r="AA42" s="2951">
        <f t="shared" si="15"/>
        <v>1</v>
      </c>
      <c r="AB42" s="2951">
        <f t="shared" si="16"/>
        <v>1</v>
      </c>
      <c r="AC42" s="2951">
        <f t="shared" si="17"/>
        <v>1</v>
      </c>
    </row>
    <row r="43" spans="1:29" ht="15">
      <c r="A43" s="471"/>
      <c r="B43" s="2945" t="s">
        <v>2527</v>
      </c>
      <c r="C43" s="2609" t="s">
        <v>3081</v>
      </c>
      <c r="D43" s="434">
        <v>100</v>
      </c>
      <c r="E43" s="2610" t="s">
        <v>3081</v>
      </c>
      <c r="F43" s="460">
        <f>SUMIF(124:124,E43,125:125)-SUMIF(124:124,C43,125:125)+100</f>
        <v>100</v>
      </c>
      <c r="G43" s="2610" t="s">
        <v>3081</v>
      </c>
      <c r="H43" s="434">
        <f>SUMIF(124:124,G43,125:125)-SUMIF(124:124,C43,125:125)+100</f>
        <v>100</v>
      </c>
      <c r="I43" s="2610" t="s">
        <v>3081</v>
      </c>
      <c r="J43" s="434">
        <f>SUMIF(124:124,I43,125:125)-SUMIF(124:124,C43,125:125)+100</f>
        <v>100</v>
      </c>
      <c r="K43" s="425">
        <v>1</v>
      </c>
      <c r="L43" s="1139"/>
      <c r="M43" s="1130"/>
      <c r="N43" s="1130"/>
      <c r="O43" s="1130"/>
      <c r="P43" s="3256"/>
      <c r="Q43" s="2950" t="str">
        <f t="shared" si="11"/>
        <v>内部装修维护情况</v>
      </c>
      <c r="R43" s="773" t="s">
        <v>21</v>
      </c>
      <c r="S43" s="774">
        <f t="shared" si="12"/>
        <v>100</v>
      </c>
      <c r="T43" s="773" t="s">
        <v>21</v>
      </c>
      <c r="U43" s="774">
        <f t="shared" si="13"/>
        <v>100</v>
      </c>
      <c r="V43" s="773" t="s">
        <v>21</v>
      </c>
      <c r="W43" s="774">
        <f t="shared" si="14"/>
        <v>100</v>
      </c>
      <c r="X43" s="2948"/>
      <c r="Y43" s="3218"/>
      <c r="Z43" s="2949" t="str">
        <f t="shared" si="18"/>
        <v>内部装修维护情况</v>
      </c>
      <c r="AA43" s="2951">
        <f t="shared" si="15"/>
        <v>1</v>
      </c>
      <c r="AB43" s="2951">
        <f t="shared" si="16"/>
        <v>1</v>
      </c>
      <c r="AC43" s="2951">
        <f t="shared" si="17"/>
        <v>1</v>
      </c>
    </row>
    <row r="44" spans="1:29" s="117" customFormat="1" ht="15">
      <c r="A44" s="472"/>
      <c r="B44" s="3013" t="s">
        <v>3408</v>
      </c>
      <c r="C44" s="3014" t="s">
        <v>3409</v>
      </c>
      <c r="D44" s="135">
        <v>100</v>
      </c>
      <c r="E44" s="3014" t="s">
        <v>3410</v>
      </c>
      <c r="F44" s="424">
        <f>SUMIF(126:126,E44,127:127)-SUMIF(126:126,C44,127:127)+100</f>
        <v>100</v>
      </c>
      <c r="G44" s="3014" t="s">
        <v>3410</v>
      </c>
      <c r="H44" s="135">
        <f>SUMIF(126:126,G44,127:127)-SUMIF(126:126,C44,127:127)+100</f>
        <v>100</v>
      </c>
      <c r="I44" s="3014" t="s">
        <v>3410</v>
      </c>
      <c r="J44" s="135">
        <f>SUMIF(126:126,I44,127:127)-SUMIF(126:126,C44,127:127)+100</f>
        <v>100</v>
      </c>
      <c r="K44" s="2597"/>
      <c r="L44" s="1131"/>
      <c r="M44" s="1132"/>
      <c r="N44" s="1132"/>
      <c r="O44" s="1132"/>
      <c r="P44" s="3256"/>
      <c r="Q44" s="2936" t="str">
        <f t="shared" si="11"/>
        <v>是否带地下</v>
      </c>
      <c r="R44" s="769" t="s">
        <v>21</v>
      </c>
      <c r="S44" s="770">
        <f t="shared" si="12"/>
        <v>100</v>
      </c>
      <c r="T44" s="769" t="s">
        <v>21</v>
      </c>
      <c r="U44" s="770">
        <f t="shared" si="13"/>
        <v>100</v>
      </c>
      <c r="V44" s="769" t="s">
        <v>21</v>
      </c>
      <c r="W44" s="770">
        <f t="shared" si="14"/>
        <v>100</v>
      </c>
      <c r="X44" s="771"/>
      <c r="Y44" s="3218"/>
      <c r="Z44" s="2937" t="str">
        <f t="shared" si="18"/>
        <v>是否带地下</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56"/>
      <c r="Q45" s="2950">
        <f t="shared" si="11"/>
        <v>0</v>
      </c>
      <c r="R45" s="773" t="s">
        <v>21</v>
      </c>
      <c r="S45" s="774">
        <f t="shared" si="12"/>
        <v>100</v>
      </c>
      <c r="T45" s="773" t="s">
        <v>21</v>
      </c>
      <c r="U45" s="774">
        <f t="shared" si="13"/>
        <v>100</v>
      </c>
      <c r="V45" s="773" t="s">
        <v>21</v>
      </c>
      <c r="W45" s="774">
        <f t="shared" si="14"/>
        <v>100</v>
      </c>
      <c r="X45" s="2948"/>
      <c r="Y45" s="3218"/>
      <c r="Z45" s="2949">
        <f t="shared" si="18"/>
        <v>0</v>
      </c>
      <c r="AA45" s="2951">
        <f t="shared" si="15"/>
        <v>1</v>
      </c>
      <c r="AB45" s="2951">
        <f t="shared" si="16"/>
        <v>1</v>
      </c>
      <c r="AC45" s="2951">
        <f t="shared" si="17"/>
        <v>1</v>
      </c>
    </row>
    <row r="46" spans="1:29" ht="15.75" thickBot="1">
      <c r="A46" s="477"/>
      <c r="B46" s="2598"/>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57"/>
      <c r="Q46" s="2950">
        <f t="shared" si="11"/>
        <v>0</v>
      </c>
      <c r="R46" s="773" t="s">
        <v>20</v>
      </c>
      <c r="S46" s="774">
        <f t="shared" si="12"/>
        <v>100</v>
      </c>
      <c r="T46" s="773" t="s">
        <v>20</v>
      </c>
      <c r="U46" s="774">
        <f t="shared" si="13"/>
        <v>100</v>
      </c>
      <c r="V46" s="773" t="s">
        <v>20</v>
      </c>
      <c r="W46" s="774">
        <f t="shared" si="14"/>
        <v>100</v>
      </c>
      <c r="X46" s="2948"/>
      <c r="Y46" s="3258"/>
      <c r="Z46" s="2949">
        <f t="shared" si="18"/>
        <v>0</v>
      </c>
      <c r="AA46" s="2951">
        <f t="shared" si="15"/>
        <v>1</v>
      </c>
      <c r="AB46" s="2951">
        <f t="shared" si="16"/>
        <v>1</v>
      </c>
      <c r="AC46" s="2951">
        <f t="shared" si="17"/>
        <v>1</v>
      </c>
    </row>
    <row r="47" spans="1:29" ht="15">
      <c r="A47" s="478" t="s">
        <v>2528</v>
      </c>
      <c r="B47" s="479"/>
      <c r="C47" s="1406" t="s">
        <v>19</v>
      </c>
      <c r="D47" s="1407"/>
      <c r="E47" s="1408">
        <f>现房案例!P35</f>
        <v>88235</v>
      </c>
      <c r="F47" s="1409"/>
      <c r="G47" s="1410">
        <f>现房案例!P21</f>
        <v>83409</v>
      </c>
      <c r="H47" s="1411"/>
      <c r="I47" s="1408">
        <f>现房案例!P28</f>
        <v>80254</v>
      </c>
      <c r="J47" s="1411"/>
      <c r="K47" s="2617"/>
      <c r="L47" s="1142"/>
      <c r="M47" s="1143"/>
      <c r="N47" s="1130"/>
      <c r="O47" s="1143"/>
      <c r="P47" s="3213" t="str">
        <f>A47</f>
        <v>成交单价（元/平方米）</v>
      </c>
      <c r="Q47" s="3213"/>
      <c r="R47" s="3254">
        <f>E47</f>
        <v>88235</v>
      </c>
      <c r="S47" s="3254"/>
      <c r="T47" s="3254">
        <f>G47</f>
        <v>83409</v>
      </c>
      <c r="U47" s="3254"/>
      <c r="V47" s="3254">
        <f>I47</f>
        <v>80254</v>
      </c>
      <c r="W47" s="3254"/>
      <c r="X47" s="758"/>
      <c r="Y47" s="780"/>
      <c r="Z47" s="758"/>
      <c r="AA47" s="758"/>
      <c r="AB47" s="758"/>
      <c r="AC47" s="758"/>
    </row>
    <row r="48" spans="1:29" ht="15.75" thickBot="1">
      <c r="A48" s="485" t="s">
        <v>2529</v>
      </c>
      <c r="B48" s="486"/>
      <c r="C48" s="1412">
        <f>R49</f>
        <v>77399</v>
      </c>
      <c r="D48" s="1413"/>
      <c r="E48" s="1414">
        <f>R48</f>
        <v>73559</v>
      </c>
      <c r="F48" s="1414"/>
      <c r="G48" s="1412">
        <f>T48</f>
        <v>75076</v>
      </c>
      <c r="H48" s="1413"/>
      <c r="I48" s="1414">
        <f>V48</f>
        <v>83563</v>
      </c>
      <c r="J48" s="1413"/>
      <c r="K48" s="2618"/>
      <c r="L48" s="1142"/>
      <c r="M48" s="1143"/>
      <c r="N48" s="1143"/>
      <c r="O48" s="1143"/>
      <c r="P48" s="3213" t="str">
        <f>A48</f>
        <v>比较价值（元/平方米）</v>
      </c>
      <c r="Q48" s="3213"/>
      <c r="R48" s="3254">
        <f>IF(F1="售价",ROUND(PRODUCT(R47,AA7:AA46),0),ROUND(PRODUCT(R47,AA7:AA46),1))</f>
        <v>73559</v>
      </c>
      <c r="S48" s="3254"/>
      <c r="T48" s="3254">
        <f>IF(F1="售价",ROUND(PRODUCT(T47,AB7:AB46),0),ROUND(PRODUCT(T47,AB7:AB46),1))</f>
        <v>75076</v>
      </c>
      <c r="U48" s="3254"/>
      <c r="V48" s="3254">
        <f>IF(F1="售价",ROUND(PRODUCT(V47,AC7:AC46),0),ROUND(PRODUCT(V47,AC7:AC46),1))</f>
        <v>83563</v>
      </c>
      <c r="W48" s="3254"/>
      <c r="X48" s="758"/>
      <c r="Y48" s="758"/>
      <c r="Z48" s="758"/>
      <c r="AA48" s="758"/>
      <c r="AB48" s="758"/>
      <c r="AC48" s="758"/>
    </row>
    <row r="49" spans="1:29" ht="15.75" thickBot="1">
      <c r="A49" s="491" t="s">
        <v>3046</v>
      </c>
      <c r="B49" s="492"/>
      <c r="C49" s="1415">
        <f>R49</f>
        <v>77399</v>
      </c>
      <c r="D49" s="1416"/>
      <c r="E49" s="1416"/>
      <c r="F49" s="1416"/>
      <c r="G49" s="1416"/>
      <c r="H49" s="1416"/>
      <c r="I49" s="1416"/>
      <c r="J49" s="1416"/>
      <c r="K49" s="2619"/>
      <c r="L49" s="1142"/>
      <c r="M49" s="3002"/>
      <c r="N49" s="1143"/>
      <c r="O49" s="1143"/>
      <c r="P49" s="3207" t="str">
        <f>A49</f>
        <v>估价对象住宅用房的比较价值（楼面单价，元/平方米）</v>
      </c>
      <c r="Q49" s="3208"/>
      <c r="R49" s="3253">
        <f>IF(F1="售价",ROUND(AVERAGE(R48:V48),0),ROUND(AVERAGE(R48:V48),1))</f>
        <v>77399</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2530</v>
      </c>
      <c r="D52" s="497"/>
      <c r="E52" s="498">
        <f>IF(E47&lt;E48,E48/E47-1,E47/E48-1)</f>
        <v>0.19951331584170529</v>
      </c>
      <c r="F52" s="499" t="str">
        <f>IF(OR(E52&gt;=0.3,E52&lt;=-0.3),"超过30%","")</f>
        <v/>
      </c>
      <c r="G52" s="498">
        <f>IF(G47&lt;G48,G48/G47-1,G47/G48-1)</f>
        <v>0.11099419255154785</v>
      </c>
      <c r="H52" s="499" t="str">
        <f>IF(OR(G52&gt;=0.3,G52&lt;=-0.3),"超过30%","")</f>
        <v/>
      </c>
      <c r="I52" s="498">
        <f>IF(I47&lt;I48,I48/I47-1,I47/I48-1)</f>
        <v>4.1231589702694027E-2</v>
      </c>
      <c r="J52" s="499" t="str">
        <f>IF(OR(I52&gt;=0.3,I52&lt;=-0.3),"超过30%","")</f>
        <v/>
      </c>
      <c r="K52" s="1104"/>
      <c r="L52" s="1105"/>
      <c r="M52" s="1143"/>
      <c r="N52" s="1143"/>
      <c r="O52" s="1143"/>
    </row>
    <row r="53" spans="1:29" ht="13.5" customHeight="1">
      <c r="A53" s="1143"/>
      <c r="B53" s="1143"/>
      <c r="C53" s="496" t="s">
        <v>2531</v>
      </c>
      <c r="D53" s="500"/>
      <c r="E53" s="498">
        <f>IF(E48&lt;G48,G48/E48-1,E48/G48-1)</f>
        <v>2.0622901344498956E-2</v>
      </c>
      <c r="F53" s="499" t="str">
        <f>IF(OR(E53&gt;=0.2,E53&lt;=-0.2),"超过20%","")</f>
        <v/>
      </c>
      <c r="G53" s="498">
        <f>IF(G48&lt;I48,I48/G48-1,G48/I48-1)</f>
        <v>0.11304544728008947</v>
      </c>
      <c r="H53" s="499" t="str">
        <f>IF(OR(G53&gt;=0.2,G53&lt;=-0.2),"超过20%","")</f>
        <v/>
      </c>
      <c r="I53" s="498">
        <f>IF(I48&lt;E48,E48/I48-1,I48/E48-1)</f>
        <v>0.13599967373129052</v>
      </c>
      <c r="J53" s="499" t="str">
        <f>IF(OR(I53&gt;=0.2,I53&lt;=-0.2),"超过20%","")</f>
        <v/>
      </c>
      <c r="K53" s="1104"/>
      <c r="L53" s="1105"/>
      <c r="M53" s="1143"/>
      <c r="N53" s="1143"/>
      <c r="O53" s="1143"/>
    </row>
    <row r="54" spans="1:29" s="501" customFormat="1" ht="13.5" customHeight="1">
      <c r="A54" s="1144"/>
      <c r="B54" s="1144"/>
      <c r="C54" s="496" t="s">
        <v>2532</v>
      </c>
      <c r="D54" s="500"/>
      <c r="E54" s="498">
        <f>IF(E47&lt;G47,G47/E47-1,E47/G47-1)</f>
        <v>5.7859463607044859E-2</v>
      </c>
      <c r="F54" s="499" t="str">
        <f>IF(OR(E54&gt;=0.3,E54&lt;=-0.3),"超过30%","")</f>
        <v/>
      </c>
      <c r="G54" s="498">
        <f>IF(G47&lt;I47,I47/G47-1,G47/I47-1)</f>
        <v>3.9312682233907381E-2</v>
      </c>
      <c r="H54" s="499" t="str">
        <f>IF(OR(G54&gt;=0.3,G54&lt;=-0.3),"超过30%","")</f>
        <v/>
      </c>
      <c r="I54" s="498">
        <f>IF(I47&lt;E47,E47/I47-1,I47/E47-1)</f>
        <v>9.9446756547960202E-2</v>
      </c>
      <c r="J54" s="499" t="str">
        <f>IF(OR(I54&gt;=0.3,I54&lt;=-0.3),"超过30%","")</f>
        <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2533</v>
      </c>
      <c r="B57" s="758"/>
      <c r="C57" s="763"/>
      <c r="D57" s="763"/>
      <c r="E57" s="763"/>
      <c r="F57" s="764"/>
      <c r="G57" s="764"/>
      <c r="H57" s="763"/>
      <c r="I57" s="763"/>
      <c r="J57" s="763"/>
      <c r="K57" s="1159"/>
      <c r="L57" s="1160"/>
      <c r="M57" s="1158"/>
      <c r="N57" s="1158"/>
      <c r="O57" s="1158"/>
      <c r="P57" s="2622"/>
      <c r="Q57" s="503"/>
    </row>
    <row r="58" spans="1:29" s="507" customFormat="1" ht="15">
      <c r="A58" s="504" t="s">
        <v>2499</v>
      </c>
      <c r="B58" s="505"/>
      <c r="C58" s="1574" t="str">
        <f>YEAR(C7)&amp;"-"&amp;MONTH(C7)</f>
        <v>2020-4</v>
      </c>
      <c r="D58" s="1573">
        <f>EDATE(C58,-1)</f>
        <v>43891</v>
      </c>
      <c r="E58" s="1573">
        <f>EDATE(D58,-1)</f>
        <v>43862</v>
      </c>
      <c r="F58" s="1573">
        <f t="shared" ref="F58:O58" si="19">EDATE(E58,-1)</f>
        <v>43831</v>
      </c>
      <c r="G58" s="1573">
        <f t="shared" si="19"/>
        <v>43800</v>
      </c>
      <c r="H58" s="1573">
        <f t="shared" si="19"/>
        <v>43770</v>
      </c>
      <c r="I58" s="1573">
        <f t="shared" si="19"/>
        <v>43739</v>
      </c>
      <c r="J58" s="1573">
        <f t="shared" si="19"/>
        <v>43709</v>
      </c>
      <c r="K58" s="1573">
        <f t="shared" si="19"/>
        <v>43678</v>
      </c>
      <c r="L58" s="1573">
        <f t="shared" si="19"/>
        <v>43647</v>
      </c>
      <c r="M58" s="1573">
        <f t="shared" si="19"/>
        <v>43617</v>
      </c>
      <c r="N58" s="1573">
        <f t="shared" si="19"/>
        <v>43586</v>
      </c>
      <c r="O58" s="1573">
        <f t="shared" si="19"/>
        <v>43556</v>
      </c>
      <c r="P58" s="1568"/>
    </row>
    <row r="59" spans="1:29" s="117" customFormat="1" ht="15">
      <c r="A59" s="508"/>
      <c r="B59" s="2623"/>
      <c r="C59" s="1571">
        <v>100</v>
      </c>
      <c r="D59" s="510">
        <v>99</v>
      </c>
      <c r="E59" s="511">
        <v>98</v>
      </c>
      <c r="F59" s="510">
        <v>97</v>
      </c>
      <c r="G59" s="511">
        <v>96</v>
      </c>
      <c r="H59" s="510">
        <v>95</v>
      </c>
      <c r="I59" s="511">
        <v>94</v>
      </c>
      <c r="J59" s="510">
        <v>93</v>
      </c>
      <c r="K59" s="511">
        <v>92</v>
      </c>
      <c r="L59" s="510">
        <v>91</v>
      </c>
      <c r="M59" s="511">
        <v>90</v>
      </c>
      <c r="N59" s="510">
        <v>89</v>
      </c>
      <c r="O59" s="511">
        <v>88</v>
      </c>
      <c r="P59" s="2624"/>
    </row>
    <row r="60" spans="1:29" s="117" customFormat="1" ht="15.75" thickBot="1">
      <c r="A60" s="514" t="s">
        <v>2535</v>
      </c>
      <c r="B60" s="515"/>
      <c r="C60" s="516"/>
      <c r="D60" s="517"/>
      <c r="E60" s="517"/>
      <c r="F60" s="517"/>
      <c r="G60" s="517"/>
      <c r="H60" s="517"/>
      <c r="I60" s="517"/>
      <c r="J60" s="517"/>
      <c r="K60" s="517"/>
      <c r="L60" s="517"/>
      <c r="M60" s="518"/>
      <c r="N60" s="517"/>
      <c r="O60" s="518"/>
      <c r="P60" s="2624"/>
      <c r="Q60" s="503"/>
    </row>
    <row r="61" spans="1:29" s="117" customFormat="1" ht="15">
      <c r="A61" s="520" t="s">
        <v>2501</v>
      </c>
      <c r="B61" s="509"/>
      <c r="C61" s="521" t="s">
        <v>2537</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2538</v>
      </c>
      <c r="B63" s="527" t="s">
        <v>2505</v>
      </c>
      <c r="C63" s="528" t="str">
        <f>C9</f>
        <v>住宅</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2508</v>
      </c>
      <c r="C65" s="538" t="s">
        <v>2539</v>
      </c>
      <c r="D65" s="538" t="s">
        <v>2540</v>
      </c>
      <c r="E65" s="538" t="s">
        <v>2541</v>
      </c>
      <c r="F65" s="538" t="s">
        <v>2542</v>
      </c>
      <c r="G65" s="538" t="s">
        <v>2543</v>
      </c>
      <c r="H65" s="538" t="s">
        <v>2544</v>
      </c>
      <c r="I65" s="538" t="s">
        <v>2545</v>
      </c>
      <c r="J65" s="538"/>
      <c r="K65" s="539"/>
      <c r="L65" s="540"/>
      <c r="M65" s="541"/>
      <c r="N65" s="1151"/>
      <c r="O65" s="1151"/>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6"/>
      <c r="Q66" s="503"/>
    </row>
    <row r="67" spans="1:17" ht="15.75" thickTop="1">
      <c r="A67" s="533"/>
      <c r="B67" s="545" t="s">
        <v>2509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2"/>
      <c r="O67" s="1152"/>
      <c r="P67" s="2626"/>
      <c r="Q67" s="503"/>
    </row>
    <row r="68" spans="1:17" ht="15">
      <c r="A68" s="533"/>
      <c r="B68" s="547"/>
      <c r="C68" s="548">
        <v>0</v>
      </c>
      <c r="D68" s="548">
        <v>1</v>
      </c>
      <c r="E68" s="548">
        <v>2</v>
      </c>
      <c r="F68" s="548">
        <v>3</v>
      </c>
      <c r="G68" s="548">
        <v>4</v>
      </c>
      <c r="H68" s="548">
        <v>5</v>
      </c>
      <c r="I68" s="548">
        <v>6</v>
      </c>
      <c r="J68" s="548">
        <v>7</v>
      </c>
      <c r="K68" s="548">
        <v>8</v>
      </c>
      <c r="L68" s="548">
        <v>9</v>
      </c>
      <c r="M68" s="548">
        <v>10</v>
      </c>
      <c r="N68" s="1151"/>
      <c r="O68" s="1151"/>
      <c r="P68" s="2626"/>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26"/>
      <c r="Q69" s="503"/>
    </row>
    <row r="70" spans="1:17" s="470" customFormat="1" ht="15.75" thickTop="1">
      <c r="A70" s="552"/>
      <c r="B70" s="537" t="str">
        <f>B12</f>
        <v>其他</v>
      </c>
      <c r="C70" s="2968" t="s">
        <v>3085</v>
      </c>
      <c r="D70" s="2968" t="s">
        <v>3086</v>
      </c>
      <c r="E70" s="553"/>
      <c r="F70" s="553"/>
      <c r="G70" s="553"/>
      <c r="H70" s="554"/>
      <c r="I70" s="554"/>
      <c r="J70" s="554"/>
      <c r="K70" s="554"/>
      <c r="L70" s="555"/>
      <c r="M70" s="556"/>
      <c r="N70" s="1153"/>
      <c r="O70" s="1153"/>
      <c r="P70" s="2627"/>
      <c r="Q70" s="558"/>
    </row>
    <row r="71" spans="1:17" s="470" customFormat="1" ht="15.75" thickBot="1">
      <c r="A71" s="552"/>
      <c r="B71" s="542"/>
      <c r="C71" s="559">
        <v>100</v>
      </c>
      <c r="D71" s="535">
        <v>98</v>
      </c>
      <c r="E71" s="535"/>
      <c r="F71" s="535"/>
      <c r="G71" s="535"/>
      <c r="H71" s="535"/>
      <c r="I71" s="535"/>
      <c r="J71" s="535"/>
      <c r="K71" s="535"/>
      <c r="L71" s="535"/>
      <c r="M71" s="536"/>
      <c r="N71" s="1152"/>
      <c r="O71" s="1152"/>
      <c r="P71" s="2627"/>
      <c r="Q71" s="558"/>
    </row>
    <row r="72" spans="1:17" s="470" customFormat="1" ht="15.75" thickTop="1">
      <c r="A72" s="552"/>
      <c r="B72" s="537">
        <f>B13</f>
        <v>0</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0</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2510</v>
      </c>
      <c r="B76" s="527" t="s">
        <v>2546</v>
      </c>
      <c r="C76" s="572" t="s">
        <v>2547</v>
      </c>
      <c r="D76" s="572" t="s">
        <v>2548</v>
      </c>
      <c r="E76" s="572" t="s">
        <v>2549</v>
      </c>
      <c r="F76" s="572" t="s">
        <v>2550</v>
      </c>
      <c r="G76" s="572" t="s">
        <v>2551</v>
      </c>
      <c r="H76" s="528"/>
      <c r="I76" s="528"/>
      <c r="J76" s="528"/>
      <c r="K76" s="573"/>
      <c r="L76" s="574"/>
      <c r="M76" s="575"/>
      <c r="N76" s="1151"/>
      <c r="O76" s="1151"/>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6"/>
      <c r="Q77" s="503"/>
    </row>
    <row r="78" spans="1:17" ht="15.75" thickTop="1">
      <c r="A78" s="533"/>
      <c r="B78" s="537" t="s">
        <v>2552</v>
      </c>
      <c r="C78" s="577" t="s">
        <v>2547</v>
      </c>
      <c r="D78" s="577" t="s">
        <v>2548</v>
      </c>
      <c r="E78" s="577" t="s">
        <v>2549</v>
      </c>
      <c r="F78" s="577" t="s">
        <v>2550</v>
      </c>
      <c r="G78" s="577" t="s">
        <v>2551</v>
      </c>
      <c r="H78" s="538"/>
      <c r="I78" s="538"/>
      <c r="J78" s="538"/>
      <c r="K78" s="539"/>
      <c r="L78" s="540"/>
      <c r="M78" s="541"/>
      <c r="N78" s="1151"/>
      <c r="O78" s="1151"/>
      <c r="P78" s="2626"/>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2"/>
      <c r="O79" s="1152"/>
      <c r="P79" s="2626"/>
      <c r="Q79" s="503"/>
    </row>
    <row r="80" spans="1:17" ht="15.75" thickTop="1">
      <c r="A80" s="533"/>
      <c r="B80" s="537" t="s">
        <v>2553</v>
      </c>
      <c r="C80" s="577" t="s">
        <v>2547</v>
      </c>
      <c r="D80" s="577" t="s">
        <v>2548</v>
      </c>
      <c r="E80" s="577" t="s">
        <v>2549</v>
      </c>
      <c r="F80" s="577" t="s">
        <v>2550</v>
      </c>
      <c r="G80" s="577" t="s">
        <v>2551</v>
      </c>
      <c r="H80" s="538"/>
      <c r="I80" s="538"/>
      <c r="J80" s="538"/>
      <c r="K80" s="539"/>
      <c r="L80" s="540"/>
      <c r="M80" s="541"/>
      <c r="N80" s="1151"/>
      <c r="O80" s="1151"/>
      <c r="P80" s="2626"/>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2"/>
      <c r="O81" s="1152"/>
      <c r="P81" s="2626"/>
      <c r="Q81" s="503"/>
    </row>
    <row r="82" spans="1:17" ht="15.75" thickTop="1">
      <c r="A82" s="533"/>
      <c r="B82" s="545" t="s">
        <v>2055</v>
      </c>
      <c r="C82" s="538" t="s">
        <v>2554</v>
      </c>
      <c r="D82" s="538" t="s">
        <v>2555</v>
      </c>
      <c r="E82" s="538" t="s">
        <v>2556</v>
      </c>
      <c r="F82" s="538" t="s">
        <v>2557</v>
      </c>
      <c r="G82" s="538" t="s">
        <v>2558</v>
      </c>
      <c r="H82" s="538"/>
      <c r="I82" s="538"/>
      <c r="J82" s="538"/>
      <c r="K82" s="538"/>
      <c r="L82" s="538"/>
      <c r="M82" s="1381"/>
      <c r="N82" s="1152"/>
      <c r="O82" s="1152"/>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6"/>
      <c r="Q83" s="503"/>
    </row>
    <row r="84" spans="1:17" ht="15.75" thickTop="1">
      <c r="A84" s="533"/>
      <c r="B84" s="537" t="s">
        <v>2559</v>
      </c>
      <c r="C84" s="577" t="s">
        <v>2547</v>
      </c>
      <c r="D84" s="577" t="s">
        <v>2548</v>
      </c>
      <c r="E84" s="577" t="s">
        <v>2549</v>
      </c>
      <c r="F84" s="577" t="s">
        <v>2550</v>
      </c>
      <c r="G84" s="577" t="s">
        <v>2551</v>
      </c>
      <c r="H84" s="538"/>
      <c r="I84" s="538"/>
      <c r="J84" s="538"/>
      <c r="K84" s="539"/>
      <c r="L84" s="540"/>
      <c r="M84" s="541"/>
      <c r="N84" s="1151"/>
      <c r="O84" s="1151"/>
      <c r="P84" s="2626"/>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2"/>
      <c r="O85" s="1152"/>
      <c r="P85" s="2626"/>
      <c r="Q85" s="503"/>
    </row>
    <row r="86" spans="1:17" s="117" customFormat="1" ht="15.75" thickTop="1">
      <c r="A86" s="578"/>
      <c r="B86" s="537" t="s">
        <v>2560</v>
      </c>
      <c r="C86" s="553" t="s">
        <v>3066</v>
      </c>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t="e">
        <f t="shared" ref="D87:M87" si="24">$C$87-($C$86-D86)*$K$25</f>
        <v>#VALUE!</v>
      </c>
      <c r="E87" s="543" t="e">
        <f t="shared" si="24"/>
        <v>#VALUE!</v>
      </c>
      <c r="F87" s="543" t="e">
        <f t="shared" si="24"/>
        <v>#VALUE!</v>
      </c>
      <c r="G87" s="543" t="e">
        <f t="shared" si="24"/>
        <v>#VALUE!</v>
      </c>
      <c r="H87" s="543" t="e">
        <f t="shared" si="24"/>
        <v>#VALUE!</v>
      </c>
      <c r="I87" s="543" t="e">
        <f t="shared" si="24"/>
        <v>#VALUE!</v>
      </c>
      <c r="J87" s="543" t="e">
        <f t="shared" si="24"/>
        <v>#VALUE!</v>
      </c>
      <c r="K87" s="543" t="e">
        <f t="shared" si="24"/>
        <v>#VALUE!</v>
      </c>
      <c r="L87" s="543" t="e">
        <f t="shared" si="24"/>
        <v>#VALUE!</v>
      </c>
      <c r="M87" s="543" t="e">
        <f t="shared" si="24"/>
        <v>#VALUE!</v>
      </c>
      <c r="N87" s="1152"/>
      <c r="O87" s="1152"/>
      <c r="P87" s="2626"/>
      <c r="Q87" s="503"/>
    </row>
    <row r="88" spans="1:17" s="117" customFormat="1" ht="15.75" thickTop="1">
      <c r="A88" s="578"/>
      <c r="B88" s="537" t="s">
        <v>2561</v>
      </c>
      <c r="C88" s="553" t="s">
        <v>3066</v>
      </c>
      <c r="D88" s="553"/>
      <c r="E88" s="553"/>
      <c r="F88" s="2631"/>
      <c r="G88" s="553"/>
      <c r="H88" s="553"/>
      <c r="I88" s="553"/>
      <c r="J88" s="553"/>
      <c r="K88" s="553"/>
      <c r="L88" s="553"/>
      <c r="M88" s="580"/>
      <c r="N88" s="1150"/>
      <c r="O88" s="1150"/>
      <c r="P88" s="2626"/>
      <c r="Q88" s="503"/>
    </row>
    <row r="89" spans="1:17" s="117"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2"/>
      <c r="O89" s="1152"/>
      <c r="P89" s="2626"/>
      <c r="Q89" s="503"/>
    </row>
    <row r="90" spans="1:17" s="470" customFormat="1" ht="15.75" thickTop="1">
      <c r="A90" s="552"/>
      <c r="B90" s="537">
        <f>B27</f>
        <v>0</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0</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0</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0</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0</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J99" s="590"/>
      <c r="K99" s="590"/>
      <c r="L99" s="590"/>
      <c r="M99" s="591"/>
      <c r="N99" s="1152"/>
      <c r="O99" s="1152"/>
      <c r="P99" s="2626"/>
      <c r="Q99" s="503"/>
    </row>
    <row r="100" spans="1:17">
      <c r="A100" s="526" t="s">
        <v>2514</v>
      </c>
      <c r="B100" s="527" t="s">
        <v>2562</v>
      </c>
      <c r="C100" s="2975" t="s">
        <v>3418</v>
      </c>
      <c r="E100" s="2975" t="s">
        <v>3412</v>
      </c>
      <c r="G100" s="2967" t="s">
        <v>3096</v>
      </c>
      <c r="H100" s="2967" t="s">
        <v>3411</v>
      </c>
      <c r="I100" s="2967"/>
      <c r="J100" s="529"/>
      <c r="K100" s="530"/>
      <c r="L100" s="531"/>
      <c r="M100" s="532"/>
      <c r="N100" s="1151"/>
      <c r="O100" s="1151"/>
      <c r="P100" s="2626"/>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26"/>
      <c r="Q101" s="503"/>
    </row>
    <row r="102" spans="1:17" ht="29.25" thickTop="1">
      <c r="A102" s="533"/>
      <c r="B102" s="537" t="s">
        <v>2563</v>
      </c>
      <c r="C102" s="577" t="str">
        <f>C103&amp;"(含)"&amp;"-"&amp;D103</f>
        <v>0(含)-50000</v>
      </c>
      <c r="D102" s="577" t="str">
        <f t="shared" ref="D102:L102" si="27">D103&amp;"(含)"&amp;"-"&amp;E103</f>
        <v>50000(含)-100000</v>
      </c>
      <c r="E102" s="577" t="str">
        <f t="shared" si="27"/>
        <v>100000(含)-150000</v>
      </c>
      <c r="F102" s="577" t="str">
        <f t="shared" si="27"/>
        <v>150000(含)-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v>0</v>
      </c>
      <c r="D103" s="594">
        <v>50000</v>
      </c>
      <c r="E103" s="594">
        <v>100000</v>
      </c>
      <c r="F103" s="594">
        <v>150000</v>
      </c>
      <c r="G103" s="594"/>
      <c r="H103" s="594"/>
      <c r="I103" s="594"/>
      <c r="J103" s="595"/>
      <c r="K103" s="595"/>
      <c r="L103" s="596"/>
      <c r="M103" s="597"/>
      <c r="N103" s="1153"/>
      <c r="O103" s="1153"/>
      <c r="P103" s="2627"/>
      <c r="Q103" s="558"/>
    </row>
    <row r="104" spans="1:17" s="470" customFormat="1" ht="15.75" thickBot="1">
      <c r="A104" s="552"/>
      <c r="B104" s="542"/>
      <c r="C104" s="559">
        <v>100</v>
      </c>
      <c r="D104" s="535">
        <v>101</v>
      </c>
      <c r="E104" s="559">
        <v>102</v>
      </c>
      <c r="F104" s="535">
        <v>103</v>
      </c>
      <c r="G104" s="535"/>
      <c r="H104" s="535"/>
      <c r="I104" s="535"/>
      <c r="J104" s="535"/>
      <c r="K104" s="535"/>
      <c r="L104" s="535"/>
      <c r="M104" s="535"/>
      <c r="N104" s="1152"/>
      <c r="O104" s="1152"/>
      <c r="P104" s="2627"/>
      <c r="Q104" s="558"/>
    </row>
    <row r="105" spans="1:17" ht="15" thickTop="1">
      <c r="A105" s="598"/>
      <c r="B105" s="537" t="s">
        <v>2564</v>
      </c>
      <c r="C105" s="2968" t="s">
        <v>3070</v>
      </c>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2"/>
      <c r="O106" s="1152"/>
      <c r="P106" s="2626"/>
      <c r="Q106" s="503"/>
    </row>
    <row r="107" spans="1:17" ht="15" thickTop="1">
      <c r="A107" s="598"/>
      <c r="B107" s="537" t="s">
        <v>2565</v>
      </c>
      <c r="C107" s="2969" t="s">
        <v>3072</v>
      </c>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52"/>
      <c r="O108" s="1152"/>
      <c r="P108" s="2626"/>
      <c r="Q108" s="503"/>
    </row>
    <row r="109" spans="1:17" ht="15" thickTop="1">
      <c r="A109" s="598"/>
      <c r="B109" s="537" t="s">
        <v>2566</v>
      </c>
      <c r="C109" s="2968" t="s">
        <v>3074</v>
      </c>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2"/>
      <c r="O110" s="1152"/>
      <c r="P110" s="2626"/>
      <c r="Q110" s="503"/>
    </row>
    <row r="111" spans="1:17" s="470" customFormat="1" ht="15" thickTop="1">
      <c r="A111" s="592"/>
      <c r="B111" s="537" t="s">
        <v>1958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7"/>
      <c r="Q113" s="558"/>
    </row>
    <row r="114" spans="1:17" ht="15" thickTop="1">
      <c r="A114" s="598"/>
      <c r="B114" s="537" t="s">
        <v>2567</v>
      </c>
      <c r="C114" s="2968" t="s">
        <v>3076</v>
      </c>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2"/>
      <c r="O115" s="1152"/>
      <c r="P115" s="2626"/>
      <c r="Q115" s="503"/>
    </row>
    <row r="116" spans="1:17" ht="15" thickTop="1">
      <c r="A116" s="598"/>
      <c r="B116" s="537" t="s">
        <v>2568</v>
      </c>
      <c r="C116" s="2968" t="s">
        <v>3078</v>
      </c>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6"/>
      <c r="Q117" s="503"/>
    </row>
    <row r="118" spans="1:17" ht="15" thickTop="1">
      <c r="A118" s="598"/>
      <c r="B118" s="537" t="s">
        <v>2569</v>
      </c>
      <c r="C118" s="582" t="s">
        <v>3066</v>
      </c>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99</v>
      </c>
      <c r="E119" s="543">
        <f t="shared" si="32"/>
        <v>98</v>
      </c>
      <c r="F119" s="543">
        <f t="shared" si="32"/>
        <v>97</v>
      </c>
      <c r="G119" s="543">
        <f t="shared" si="32"/>
        <v>96</v>
      </c>
      <c r="H119" s="543">
        <f t="shared" si="32"/>
        <v>95</v>
      </c>
      <c r="I119" s="543">
        <f t="shared" si="32"/>
        <v>94</v>
      </c>
      <c r="J119" s="543">
        <f t="shared" si="32"/>
        <v>93</v>
      </c>
      <c r="K119" s="543">
        <f t="shared" si="32"/>
        <v>92</v>
      </c>
      <c r="L119" s="543">
        <f t="shared" si="32"/>
        <v>91</v>
      </c>
      <c r="M119" s="543">
        <f t="shared" si="32"/>
        <v>90</v>
      </c>
      <c r="N119" s="1152"/>
      <c r="O119" s="1152"/>
      <c r="P119" s="2626"/>
      <c r="Q119" s="503"/>
    </row>
    <row r="120" spans="1:17" s="470" customFormat="1" ht="28.5" thickTop="1">
      <c r="A120" s="592"/>
      <c r="B120" s="537" t="s">
        <v>2525</v>
      </c>
      <c r="C120" s="553" t="s">
        <v>3066</v>
      </c>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v>100</v>
      </c>
      <c r="D121" s="535"/>
      <c r="E121" s="535"/>
      <c r="F121" s="535"/>
      <c r="G121" s="535"/>
      <c r="H121" s="535"/>
      <c r="I121" s="535"/>
      <c r="J121" s="535"/>
      <c r="K121" s="535"/>
      <c r="L121" s="535"/>
      <c r="M121" s="535"/>
      <c r="N121" s="1153"/>
      <c r="O121" s="1153"/>
      <c r="P121" s="2627"/>
      <c r="Q121" s="558"/>
    </row>
    <row r="122" spans="1:17" ht="15" thickTop="1">
      <c r="A122" s="598"/>
      <c r="B122" s="537" t="s">
        <v>2570</v>
      </c>
      <c r="C122" s="2968" t="s">
        <v>3074</v>
      </c>
      <c r="D122" s="2968" t="s">
        <v>3087</v>
      </c>
      <c r="E122" s="2968" t="s">
        <v>3088</v>
      </c>
      <c r="F122" s="2969" t="s">
        <v>3090</v>
      </c>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26"/>
      <c r="Q123" s="503"/>
    </row>
    <row r="124" spans="1:17" ht="15" thickTop="1">
      <c r="A124" s="598"/>
      <c r="B124" s="537" t="s">
        <v>2571</v>
      </c>
      <c r="C124" s="577" t="s">
        <v>2547</v>
      </c>
      <c r="D124" s="577" t="s">
        <v>2548</v>
      </c>
      <c r="E124" s="577" t="s">
        <v>2549</v>
      </c>
      <c r="F124" s="577" t="s">
        <v>2550</v>
      </c>
      <c r="G124" s="577" t="s">
        <v>2551</v>
      </c>
      <c r="H124" s="538"/>
      <c r="I124" s="538"/>
      <c r="J124" s="538"/>
      <c r="K124" s="539"/>
      <c r="L124" s="540"/>
      <c r="M124" s="541"/>
      <c r="N124" s="1151"/>
      <c r="O124" s="1151"/>
      <c r="P124" s="2627"/>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26"/>
      <c r="Q125" s="503"/>
    </row>
    <row r="126" spans="1:17" s="470" customFormat="1" ht="15" thickTop="1">
      <c r="A126" s="592"/>
      <c r="B126" s="537" t="str">
        <f>B44</f>
        <v>是否带地下</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0</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0</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2572</v>
      </c>
    </row>
    <row r="137" spans="1:17" ht="15">
      <c r="B137" s="2634" t="s">
        <v>2573</v>
      </c>
      <c r="C137" s="2635"/>
      <c r="D137" s="2635"/>
      <c r="E137" s="2635"/>
      <c r="F137" s="2635"/>
      <c r="G137" s="2636"/>
      <c r="H137" s="2637"/>
      <c r="I137" s="2638" t="s">
        <v>2574</v>
      </c>
      <c r="J137" s="2635"/>
      <c r="K137" s="2639"/>
    </row>
    <row r="138" spans="1:17" ht="15">
      <c r="B138" s="2640"/>
      <c r="C138" s="145" t="s">
        <v>2575</v>
      </c>
      <c r="D138" s="145" t="s">
        <v>2576</v>
      </c>
      <c r="E138" s="2641" t="s">
        <v>2577</v>
      </c>
      <c r="F138" s="2642" t="s">
        <v>2578</v>
      </c>
      <c r="G138" s="145" t="s">
        <v>2576</v>
      </c>
      <c r="H138" s="146" t="s">
        <v>2577</v>
      </c>
      <c r="I138" s="2643"/>
      <c r="J138" s="145" t="s">
        <v>2579</v>
      </c>
      <c r="K138" s="146" t="s">
        <v>2580</v>
      </c>
    </row>
    <row r="139" spans="1:17" ht="15">
      <c r="B139" s="1083">
        <v>6</v>
      </c>
      <c r="C139" s="1084">
        <v>96</v>
      </c>
      <c r="D139" s="2644" t="s">
        <v>2581</v>
      </c>
      <c r="E139" s="1085">
        <v>100</v>
      </c>
      <c r="F139" s="1086">
        <v>102.5</v>
      </c>
      <c r="G139" s="2644" t="s">
        <v>2581</v>
      </c>
      <c r="H139" s="1087">
        <v>105</v>
      </c>
      <c r="I139" s="2645" t="s">
        <v>2582</v>
      </c>
      <c r="J139" s="1084">
        <v>20</v>
      </c>
      <c r="K139" s="1088">
        <f>C145/(J139-2)</f>
        <v>4.0555555555555553E-3</v>
      </c>
    </row>
    <row r="140" spans="1:17" ht="15">
      <c r="B140" s="1089">
        <v>5</v>
      </c>
      <c r="C140" s="1090">
        <v>100</v>
      </c>
      <c r="D140" s="1090"/>
      <c r="E140" s="1091"/>
      <c r="F140" s="1092">
        <v>102</v>
      </c>
      <c r="G140" s="1090"/>
      <c r="H140" s="1093"/>
      <c r="I140" s="2646" t="s">
        <v>2583</v>
      </c>
      <c r="J140" s="314">
        <f>ROUNDUP((J139-1)/2,0)</f>
        <v>10</v>
      </c>
      <c r="K140" s="1094">
        <v>100</v>
      </c>
    </row>
    <row r="141" spans="1:17" ht="15">
      <c r="B141" s="1089">
        <v>4</v>
      </c>
      <c r="C141" s="1090">
        <v>102</v>
      </c>
      <c r="D141" s="1090"/>
      <c r="E141" s="1091"/>
      <c r="F141" s="1092">
        <v>101.5</v>
      </c>
      <c r="G141" s="1090"/>
      <c r="H141" s="1093"/>
      <c r="I141" s="2646" t="s">
        <v>2584</v>
      </c>
      <c r="J141" s="314">
        <v>1</v>
      </c>
      <c r="K141" s="1095">
        <f>ROUND(100+(J141-J140)*K139*100,1)</f>
        <v>96.4</v>
      </c>
    </row>
    <row r="142" spans="1:17" ht="15">
      <c r="B142" s="1089">
        <v>3</v>
      </c>
      <c r="C142" s="1090">
        <v>103</v>
      </c>
      <c r="D142" s="1090"/>
      <c r="E142" s="1091"/>
      <c r="F142" s="1092">
        <v>101</v>
      </c>
      <c r="G142" s="1090"/>
      <c r="H142" s="1093"/>
      <c r="I142" s="2646" t="s">
        <v>2585</v>
      </c>
      <c r="J142" s="314">
        <f>J139</f>
        <v>20</v>
      </c>
      <c r="K142" s="1096">
        <v>95</v>
      </c>
    </row>
    <row r="143" spans="1:17" ht="15">
      <c r="B143" s="1089">
        <v>2</v>
      </c>
      <c r="C143" s="1090">
        <v>100</v>
      </c>
      <c r="D143" s="1090"/>
      <c r="E143" s="1091"/>
      <c r="F143" s="1092">
        <v>100.5</v>
      </c>
      <c r="G143" s="1090"/>
      <c r="H143" s="1093"/>
      <c r="I143" s="2646" t="s">
        <v>2586</v>
      </c>
      <c r="J143" s="1090">
        <v>15</v>
      </c>
      <c r="K143" s="1095">
        <f>ROUND(100+(J143-J140)*K139*100,1)</f>
        <v>102</v>
      </c>
    </row>
    <row r="144" spans="1:17" ht="15">
      <c r="B144" s="1089">
        <v>1</v>
      </c>
      <c r="C144" s="1090">
        <v>98</v>
      </c>
      <c r="D144" s="2647" t="s">
        <v>2587</v>
      </c>
      <c r="E144" s="1091">
        <v>102</v>
      </c>
      <c r="F144" s="1097">
        <v>100</v>
      </c>
      <c r="G144" s="2647" t="s">
        <v>2587</v>
      </c>
      <c r="H144" s="1093">
        <v>105</v>
      </c>
      <c r="I144" s="2646" t="s">
        <v>2586</v>
      </c>
      <c r="J144" s="1090">
        <v>18</v>
      </c>
      <c r="K144" s="1095">
        <f>ROUND(100+(J144-J140)*K139*100,1)</f>
        <v>103.2</v>
      </c>
    </row>
    <row r="145" spans="2:11" ht="15.75" thickBot="1">
      <c r="B145" s="2648" t="s">
        <v>2588</v>
      </c>
      <c r="C145" s="1098">
        <f>ROUND(MAX(C139:C144)/MIN(C139:C144)-1,3)</f>
        <v>7.2999999999999995E-2</v>
      </c>
      <c r="D145" s="1099"/>
      <c r="E145" s="1099"/>
      <c r="F145" s="2649" t="s">
        <v>2589</v>
      </c>
      <c r="G145" s="2650"/>
      <c r="H145" s="2651"/>
      <c r="I145" s="2652" t="s">
        <v>2586</v>
      </c>
      <c r="J145" s="1100">
        <v>8</v>
      </c>
      <c r="K145" s="1101">
        <f>ROUND(100+(J145-J140)*K139*100,1)</f>
        <v>99.2</v>
      </c>
    </row>
    <row r="147" spans="2:11">
      <c r="B147" s="2633" t="s">
        <v>2590</v>
      </c>
    </row>
    <row r="148" spans="2:11">
      <c r="B148" s="2633" t="s">
        <v>2591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t="s">
        <v>3002</v>
      </c>
      <c r="D1" s="1818" t="s">
        <v>3101</v>
      </c>
      <c r="E1" s="1819" t="s">
        <v>1379</v>
      </c>
      <c r="F1" s="1282">
        <f ca="1">J53</f>
        <v>45.71</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1507</v>
      </c>
      <c r="B2" s="1842">
        <f ca="1">C40+J29+L46</f>
        <v>100</v>
      </c>
      <c r="C2" s="1843" t="s">
        <v>1508</v>
      </c>
      <c r="D2" s="1843"/>
      <c r="E2" s="1844"/>
      <c r="F2" s="1845"/>
      <c r="G2" s="1846"/>
      <c r="H2" s="1838"/>
      <c r="I2" s="1838"/>
      <c r="J2" s="1838"/>
      <c r="K2" s="1839"/>
      <c r="L2" s="1838"/>
      <c r="M2" s="1838"/>
    </row>
    <row r="3" spans="1:37" ht="18" customHeight="1" thickBot="1">
      <c r="A3" s="1847" t="s">
        <v>1509</v>
      </c>
      <c r="B3" s="1848">
        <f ca="1">IF(ISERROR(B2*10000/F43),0,ROUND(B2*10000/F43,0))</f>
        <v>33</v>
      </c>
      <c r="C3" s="1843" t="s">
        <v>1510</v>
      </c>
      <c r="D3" s="1843"/>
      <c r="E3" s="1844"/>
      <c r="F3" s="1845"/>
      <c r="G3" s="1846"/>
      <c r="H3" s="743" t="s">
        <v>1580</v>
      </c>
      <c r="I3" s="1838"/>
      <c r="J3" s="1838"/>
      <c r="K3" s="1839"/>
      <c r="L3" s="1838"/>
      <c r="M3" s="1838"/>
    </row>
    <row r="4" spans="1:37" ht="18" customHeight="1">
      <c r="A4" s="339" t="s">
        <v>1388</v>
      </c>
      <c r="B4" s="340" t="s">
        <v>1389</v>
      </c>
      <c r="C4" s="340" t="s">
        <v>1390</v>
      </c>
      <c r="D4" s="340" t="s">
        <v>1391</v>
      </c>
      <c r="E4" s="341" t="s">
        <v>1392</v>
      </c>
      <c r="F4" s="342"/>
      <c r="G4" s="1849"/>
      <c r="H4" s="339" t="s">
        <v>1388</v>
      </c>
      <c r="I4" s="340" t="s">
        <v>1389</v>
      </c>
      <c r="J4" s="340" t="s">
        <v>1390</v>
      </c>
      <c r="K4" s="340" t="s">
        <v>1391</v>
      </c>
      <c r="L4" s="341" t="s">
        <v>1392</v>
      </c>
      <c r="M4" s="342"/>
    </row>
    <row r="5" spans="1:37" ht="18" customHeight="1">
      <c r="A5" s="343">
        <v>1</v>
      </c>
      <c r="B5" s="344" t="s">
        <v>1393</v>
      </c>
      <c r="C5" s="1291">
        <f ca="1">C6+C10+C12</f>
        <v>0</v>
      </c>
      <c r="D5" s="1820" t="s">
        <v>1394</v>
      </c>
      <c r="E5" s="1292"/>
      <c r="F5" s="1293"/>
      <c r="G5" s="1849"/>
      <c r="H5" s="343">
        <v>1</v>
      </c>
      <c r="I5" s="344" t="s">
        <v>1393</v>
      </c>
      <c r="J5" s="1291">
        <f ca="1">J6+J10+J12</f>
        <v>0</v>
      </c>
      <c r="K5" s="1820" t="s">
        <v>1394</v>
      </c>
      <c r="L5" s="1292"/>
      <c r="M5" s="1293"/>
    </row>
    <row r="6" spans="1:37" ht="18" customHeight="1">
      <c r="A6" s="1290" t="s">
        <v>1031</v>
      </c>
      <c r="B6" s="3265" t="s">
        <v>1395</v>
      </c>
      <c r="C6" s="1295">
        <f ca="1">ROUND(F6*F8*F7*(1-F9)/10000,0)</f>
        <v>0</v>
      </c>
      <c r="D6" s="163" t="s">
        <v>2981</v>
      </c>
      <c r="E6" s="346" t="s">
        <v>1397</v>
      </c>
      <c r="F6" s="347">
        <f ca="1">INDIRECT("'数据-取费表'!u"&amp;$G$1)</f>
        <v>0</v>
      </c>
      <c r="G6" s="1849"/>
      <c r="H6" s="1290" t="s">
        <v>1031</v>
      </c>
      <c r="I6" s="3265" t="s">
        <v>1395</v>
      </c>
      <c r="J6" s="345">
        <f ca="1">ROUND(M6*M8*M7*(1-M9)/10000,0)</f>
        <v>0</v>
      </c>
      <c r="K6" s="163" t="s">
        <v>2980</v>
      </c>
      <c r="L6" s="346" t="s">
        <v>1397</v>
      </c>
      <c r="M6" s="347">
        <f ca="1">INDIRECT("'数据-取费表'!z"&amp;$G$1)</f>
        <v>0</v>
      </c>
    </row>
    <row r="7" spans="1:37" ht="18" customHeight="1">
      <c r="A7" s="1294"/>
      <c r="B7" s="3266"/>
      <c r="C7" s="1296"/>
      <c r="D7" s="351"/>
      <c r="E7" s="1297" t="s">
        <v>1398</v>
      </c>
      <c r="F7" s="347">
        <f ca="1">IF(INDIRECT("'数据-取费表'!ah"&amp;$G$1)="",INDIRECT("'数据-取费表'!k"&amp;$G$1),INDIRECT("'数据-取费表'!ah"&amp;$G$1))</f>
        <v>679</v>
      </c>
      <c r="G7" s="1849"/>
      <c r="H7" s="348"/>
      <c r="I7" s="3266"/>
      <c r="J7" s="350"/>
      <c r="K7" s="351"/>
      <c r="L7" s="346" t="s">
        <v>1398</v>
      </c>
      <c r="M7" s="347">
        <f ca="1">F7</f>
        <v>679</v>
      </c>
    </row>
    <row r="8" spans="1:37" ht="18" customHeight="1">
      <c r="A8" s="348"/>
      <c r="B8" s="3266"/>
      <c r="C8" s="350"/>
      <c r="D8" s="351"/>
      <c r="E8" s="346" t="s">
        <v>1399</v>
      </c>
      <c r="F8" s="347">
        <f ca="1">INDIRECT("'数据-取费表'!ai"&amp;$G$1)</f>
        <v>12</v>
      </c>
      <c r="G8" s="1849"/>
      <c r="H8" s="348"/>
      <c r="I8" s="3266"/>
      <c r="J8" s="350"/>
      <c r="K8" s="351"/>
      <c r="L8" s="346" t="s">
        <v>1399</v>
      </c>
      <c r="M8" s="347">
        <f ca="1">INDIRECT("'数据-取费表'!ai"&amp;$G$1)</f>
        <v>12</v>
      </c>
    </row>
    <row r="9" spans="1:37" ht="18" customHeight="1">
      <c r="A9" s="348"/>
      <c r="B9" s="3267"/>
      <c r="C9" s="350"/>
      <c r="D9" s="351"/>
      <c r="E9" s="346" t="s">
        <v>1400</v>
      </c>
      <c r="F9" s="356">
        <f ca="1">INDIRECT("'数据-取费表'!w"&amp;$G$1)</f>
        <v>0</v>
      </c>
      <c r="G9" s="1849"/>
      <c r="H9" s="348"/>
      <c r="I9" s="3267"/>
      <c r="J9" s="350"/>
      <c r="K9" s="351"/>
      <c r="L9" s="357" t="s">
        <v>1400</v>
      </c>
      <c r="M9" s="358">
        <f ca="1">INDIRECT("'数据-取费表'!ab"&amp;$G$1)</f>
        <v>0</v>
      </c>
    </row>
    <row r="10" spans="1:37" ht="18" customHeight="1">
      <c r="A10" s="1290" t="s">
        <v>1035</v>
      </c>
      <c r="B10" s="1821" t="s">
        <v>1401</v>
      </c>
      <c r="C10" s="360">
        <f ca="1">ROUND(IF(F10="押一",C6/12*F11,IF(F10="押二",C6/12*2*F11,IF(F10="押三",C6/12*3*F11,C11*F11))),0)</f>
        <v>0</v>
      </c>
      <c r="D10" s="1822" t="s">
        <v>2990</v>
      </c>
      <c r="E10" s="357" t="s">
        <v>1402</v>
      </c>
      <c r="F10" s="1365" t="s">
        <v>3099</v>
      </c>
      <c r="G10" s="1849"/>
      <c r="H10" s="1290" t="s">
        <v>1035</v>
      </c>
      <c r="I10" s="1821" t="s">
        <v>1401</v>
      </c>
      <c r="J10" s="345">
        <f ca="1">ROUND(IF(M10="押一",J6/12*M11,IF(M10="押二",J6/12*2*M11,IF(M10="押三",J6/12*3*M11,J11*M11))),0)</f>
        <v>0</v>
      </c>
      <c r="K10" s="1822" t="s">
        <v>2989</v>
      </c>
      <c r="L10" s="357" t="s">
        <v>1402</v>
      </c>
      <c r="M10" s="1365" t="s">
        <v>1403</v>
      </c>
    </row>
    <row r="11" spans="1:37" ht="18" customHeight="1">
      <c r="A11" s="352"/>
      <c r="B11" s="1823" t="s">
        <v>1380</v>
      </c>
      <c r="C11" s="1177"/>
      <c r="D11" s="1824"/>
      <c r="E11" s="357" t="s">
        <v>1404</v>
      </c>
      <c r="F11" s="358">
        <f ca="1">'数据-取费表'!B39</f>
        <v>1.4999999999999999E-2</v>
      </c>
      <c r="G11" s="1849"/>
      <c r="H11" s="1298"/>
      <c r="I11" s="1823" t="s">
        <v>1380</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0</v>
      </c>
      <c r="D13" s="1330" t="s">
        <v>1407</v>
      </c>
      <c r="E13" s="1330" t="s">
        <v>1408</v>
      </c>
      <c r="F13" s="1331">
        <f ca="1">INDIRECT("'数据-取费表'!y"&amp;$G$1)</f>
        <v>0</v>
      </c>
      <c r="G13" s="1849"/>
      <c r="H13" s="1328">
        <v>2</v>
      </c>
      <c r="I13" s="1329" t="s">
        <v>1406</v>
      </c>
      <c r="J13" s="1289">
        <f ca="1">ROUND(J14*J15,0)</f>
        <v>0</v>
      </c>
      <c r="K13" s="1336" t="s">
        <v>1407</v>
      </c>
      <c r="L13" s="1850"/>
      <c r="M13" s="1851"/>
    </row>
    <row r="14" spans="1:37" ht="18" customHeight="1">
      <c r="A14" s="1200" t="s">
        <v>1030</v>
      </c>
      <c r="B14" s="346" t="s">
        <v>1409</v>
      </c>
      <c r="C14" s="362">
        <f ca="1">INDIRECT("'数据-取费表'!m"&amp;$G$1)+INDIRECT("'数据-取费表'!t"&amp;$G$1)</f>
        <v>9337</v>
      </c>
      <c r="D14" s="1798" t="s">
        <v>1410</v>
      </c>
      <c r="E14" s="1792"/>
      <c r="F14" s="363"/>
      <c r="G14" s="1849"/>
      <c r="H14" s="1200" t="s">
        <v>1031</v>
      </c>
      <c r="I14" s="346" t="s">
        <v>1411</v>
      </c>
      <c r="J14" s="24">
        <f ca="1">C29</f>
        <v>12791</v>
      </c>
      <c r="K14" s="15"/>
      <c r="L14" s="978"/>
      <c r="M14" s="979"/>
    </row>
    <row r="15" spans="1:37" s="1856" customFormat="1" ht="18" customHeight="1" thickBot="1">
      <c r="A15" s="1200" t="s">
        <v>1032</v>
      </c>
      <c r="B15" s="346" t="s">
        <v>1412</v>
      </c>
      <c r="C15" s="24">
        <f ca="1">ROUND(C14*F15,0)</f>
        <v>467</v>
      </c>
      <c r="D15" s="364" t="s">
        <v>1413</v>
      </c>
      <c r="E15" s="364" t="s">
        <v>1414</v>
      </c>
      <c r="F15" s="365">
        <f>'数据-取费表'!B33</f>
        <v>0.05</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ROUND(INDIRECT("'数据-取费表'!m"&amp;$G$1)*F16,0)</f>
        <v>0</v>
      </c>
      <c r="D16" s="346" t="s">
        <v>1413</v>
      </c>
      <c r="E16" s="346" t="s">
        <v>1414</v>
      </c>
      <c r="F16" s="366">
        <f ca="1">IF(INDIRECT("'数据-取费表'!c"&amp;$G$1)="住宅",'数据-取费表'!B34,0)</f>
        <v>0</v>
      </c>
      <c r="G16" s="1849"/>
      <c r="H16" s="1328" t="s">
        <v>1026</v>
      </c>
      <c r="I16" s="1329" t="s">
        <v>1416</v>
      </c>
      <c r="J16" s="354">
        <f ca="1">ROUND(J17+J22+J23+J24,0)</f>
        <v>301</v>
      </c>
      <c r="K16" s="1336" t="s">
        <v>1417</v>
      </c>
      <c r="L16" s="1337"/>
      <c r="M16" s="1293"/>
    </row>
    <row r="17" spans="1:37" s="1856" customFormat="1" ht="18" customHeight="1">
      <c r="A17" s="1200" t="s">
        <v>1382</v>
      </c>
      <c r="B17" s="346" t="s">
        <v>1418</v>
      </c>
      <c r="C17" s="24">
        <f ca="1">ROUND(F17*(F43+INDIRECT("'数据-取费表'!S"&amp;$G$1))/10000,0)</f>
        <v>622</v>
      </c>
      <c r="D17" s="346" t="s">
        <v>1419</v>
      </c>
      <c r="E17" s="346" t="s">
        <v>1420</v>
      </c>
      <c r="F17" s="26">
        <f>'数据-取费表'!B35</f>
        <v>200</v>
      </c>
      <c r="G17" s="1852"/>
      <c r="H17" s="1200" t="s">
        <v>1031</v>
      </c>
      <c r="I17" s="346" t="s">
        <v>1421</v>
      </c>
      <c r="J17" s="24">
        <f ca="1">ROUND(IF(项目基本情况!B11="自然人",J5*M17,J18+J19+J20),1)</f>
        <v>108.7</v>
      </c>
      <c r="K17" s="1798" t="s">
        <v>1422</v>
      </c>
      <c r="L17" s="179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140</v>
      </c>
      <c r="D18" s="346" t="s">
        <v>1413</v>
      </c>
      <c r="E18" s="346" t="s">
        <v>1414</v>
      </c>
      <c r="F18" s="366">
        <f>'数据-取费表'!B36</f>
        <v>1.4999999999999999E-2</v>
      </c>
      <c r="G18" s="1852"/>
      <c r="H18" s="1200" t="s">
        <v>1030</v>
      </c>
      <c r="I18" s="346" t="s">
        <v>1425</v>
      </c>
      <c r="J18" s="24">
        <f ca="1">ROUND(J5*M18/(1+'数据-取费表'!C42),2)</f>
        <v>0</v>
      </c>
      <c r="K18" s="179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10566</v>
      </c>
      <c r="D19" s="139" t="s">
        <v>1428</v>
      </c>
      <c r="E19" s="1816"/>
      <c r="F19" s="26"/>
      <c r="G19" s="1849"/>
      <c r="H19" s="1200" t="s">
        <v>1032</v>
      </c>
      <c r="I19" s="346" t="s">
        <v>1429</v>
      </c>
      <c r="J19" s="24">
        <f ca="1">IF(K19="按租金收入计税",ROUND(J5*M19,2),ROUND(C29*M19*0.7,2))</f>
        <v>107.44</v>
      </c>
      <c r="K19" s="1826" t="s">
        <v>1430</v>
      </c>
      <c r="L19" s="346" t="s">
        <v>1414</v>
      </c>
      <c r="M19" s="366">
        <f>IF(K19="按租金收入计税",'数据-取费表'!B51,'数据-取费表'!B50)</f>
        <v>1.2E-2</v>
      </c>
    </row>
    <row r="20" spans="1:37" s="1856" customFormat="1" ht="18" customHeight="1">
      <c r="A20" s="1200" t="s">
        <v>1035</v>
      </c>
      <c r="B20" s="346" t="s">
        <v>1431</v>
      </c>
      <c r="C20" s="24">
        <f ca="1">ROUND(C19*F20,0)</f>
        <v>211</v>
      </c>
      <c r="D20" s="368" t="s">
        <v>1432</v>
      </c>
      <c r="E20" s="346" t="s">
        <v>1414</v>
      </c>
      <c r="F20" s="366">
        <f>'数据-取费表'!B37</f>
        <v>0.02</v>
      </c>
      <c r="G20" s="1852"/>
      <c r="H20" s="1200" t="s">
        <v>1381</v>
      </c>
      <c r="I20" s="163" t="s">
        <v>1433</v>
      </c>
      <c r="J20" s="25">
        <f ca="1">ROUND(M20*M21/10000,2)</f>
        <v>1.3</v>
      </c>
      <c r="K20" s="369" t="s">
        <v>1434</v>
      </c>
      <c r="L20" s="346" t="s">
        <v>1435</v>
      </c>
      <c r="M20" s="370">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18</v>
      </c>
      <c r="D21" s="368" t="s">
        <v>1437</v>
      </c>
      <c r="E21" s="346" t="s">
        <v>1438</v>
      </c>
      <c r="F21" s="366">
        <f>'数据-取费表'!B38</f>
        <v>0.02</v>
      </c>
      <c r="G21" s="1852"/>
      <c r="H21" s="371"/>
      <c r="I21" s="355"/>
      <c r="J21" s="29"/>
      <c r="K21" s="372"/>
      <c r="L21" s="346" t="s">
        <v>1439</v>
      </c>
      <c r="M21" s="347">
        <f ca="1">INDIRECT("'数据-取费表'!r"&amp;$G$1)</f>
        <v>8693.99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1816"/>
      <c r="F22" s="26"/>
      <c r="G22" s="1849"/>
      <c r="H22" s="1200" t="s">
        <v>1035</v>
      </c>
      <c r="I22" s="346" t="s">
        <v>1441</v>
      </c>
      <c r="J22" s="24">
        <f ca="1">ROUND(J14*M22,1)</f>
        <v>191.9</v>
      </c>
      <c r="K22" s="1796" t="s">
        <v>1442</v>
      </c>
      <c r="L22" s="346" t="s">
        <v>1414</v>
      </c>
      <c r="M22" s="373">
        <f ca="1">INDIRECT("'数据-取费表'!Ak"&amp;$G$1)</f>
        <v>1.4999999999999999E-2</v>
      </c>
    </row>
    <row r="23" spans="1:37" s="1856" customFormat="1" ht="18" customHeight="1">
      <c r="A23" s="1200" t="s">
        <v>1030</v>
      </c>
      <c r="B23" s="346" t="s">
        <v>1443</v>
      </c>
      <c r="C23" s="24">
        <f ca="1">IF('数据-取费表'!B22&lt;=1,ROUND(C19*F24*F23/2,0)+ROUND(C20*F24*F23/2,0),ROUND(C19*(POWER((1+F24),F23/2)-1),0)+ROUND(C20*(POWER((1+F24),F23/2)-1),0))</f>
        <v>512</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ROUND(J13*M23,1)</f>
        <v>0</v>
      </c>
      <c r="K23" s="1796" t="s">
        <v>1446</v>
      </c>
      <c r="L23" s="346" t="s">
        <v>1447</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6" t="s">
        <v>1449</v>
      </c>
      <c r="C24" s="24">
        <f ca="1">ROUND(IF('数据-取费表'!B22&lt;=1,F21*F24*F23/2,F21*(POWER((1+F24),F23/2)-1)),4)</f>
        <v>1E-3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ROUND(J5*M24,1)</f>
        <v>0</v>
      </c>
      <c r="K24" s="1341" t="s">
        <v>1451</v>
      </c>
      <c r="L24" s="1339" t="s">
        <v>1447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6" t="s">
        <v>1453</v>
      </c>
      <c r="C25" s="24"/>
      <c r="D25" s="139" t="s">
        <v>1454</v>
      </c>
      <c r="E25" s="1816"/>
      <c r="F25" s="26"/>
      <c r="G25" s="1849"/>
      <c r="H25" s="1328" t="s">
        <v>1027</v>
      </c>
      <c r="I25" s="1343" t="s">
        <v>1455</v>
      </c>
      <c r="J25" s="354">
        <f ca="1">J5-J16</f>
        <v>-301</v>
      </c>
      <c r="K25" s="1344" t="s">
        <v>1456</v>
      </c>
      <c r="L25" s="1345"/>
      <c r="M25" s="1346"/>
    </row>
    <row r="26" spans="1:37">
      <c r="A26" s="1200" t="s">
        <v>1030</v>
      </c>
      <c r="B26" s="346" t="s">
        <v>1457</v>
      </c>
      <c r="C26" s="24">
        <f ca="1">ROUND((C19+C20)*F26,0)</f>
        <v>539</v>
      </c>
      <c r="D26" s="368" t="s">
        <v>1458</v>
      </c>
      <c r="E26" s="357" t="s">
        <v>1459</v>
      </c>
      <c r="F26" s="356">
        <f ca="1">INDIRECT("'数据-取费表'!q"&amp;$G$1)</f>
        <v>0.05</v>
      </c>
      <c r="G26" s="1849"/>
      <c r="H26" s="343" t="s">
        <v>1028</v>
      </c>
      <c r="I26" s="344" t="s">
        <v>1460</v>
      </c>
      <c r="J26" s="345">
        <f ca="1">IF(J5&lt;&gt;0,ROUND(J25*(1-((1+M28)/(1+M26))^M27)/(M26-M28),0),0)</f>
        <v>0</v>
      </c>
      <c r="K26" s="369" t="s">
        <v>1461</v>
      </c>
      <c r="L26" s="346" t="s">
        <v>1462</v>
      </c>
      <c r="M26" s="356">
        <f ca="1">INDIRECT("'数据-取费表'!I"&amp;$G$1)</f>
        <v>0.05</v>
      </c>
    </row>
    <row r="27" spans="1:37" ht="18" customHeight="1">
      <c r="A27" s="1200" t="s">
        <v>1032</v>
      </c>
      <c r="B27" s="346" t="s">
        <v>1463</v>
      </c>
      <c r="C27" s="24">
        <f ca="1">ROUND(F21*F26,4)</f>
        <v>1E-3</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12791</v>
      </c>
      <c r="D29" s="1341"/>
      <c r="E29" s="1339"/>
      <c r="F29" s="1342"/>
      <c r="G29" s="1852"/>
      <c r="H29" s="379" t="s">
        <v>1029</v>
      </c>
      <c r="I29" s="380" t="s">
        <v>1471</v>
      </c>
      <c r="J29" s="381">
        <f ca="1">ROUND(J26/(1+F40)^F41,0)</f>
        <v>0</v>
      </c>
      <c r="K29" s="382" t="s">
        <v>1472</v>
      </c>
      <c r="L29" s="383"/>
      <c r="M29" s="384">
        <f ca="1">INDIRECT("'数据-取费表'!k"&amp;$G$1)</f>
        <v>30558.489999999998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301</v>
      </c>
      <c r="D30" s="1336" t="s">
        <v>1417</v>
      </c>
      <c r="E30" s="1337"/>
      <c r="F30" s="1293"/>
      <c r="G30" s="1849"/>
      <c r="H30" s="744"/>
      <c r="I30" s="745"/>
      <c r="J30" s="746"/>
      <c r="K30" s="747"/>
      <c r="L30" s="748"/>
      <c r="M30" s="749"/>
    </row>
    <row r="31" spans="1:37" ht="18" customHeight="1">
      <c r="A31" s="1200" t="s">
        <v>1031</v>
      </c>
      <c r="B31" s="346" t="s">
        <v>1421</v>
      </c>
      <c r="C31" s="24">
        <f ca="1">ROUND(IF(项目基本情况!B11="自然人",C5*F31,C32+C33+C34),1)</f>
        <v>108.7</v>
      </c>
      <c r="D31" s="1798" t="s">
        <v>1422</v>
      </c>
      <c r="E31" s="179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IF(项目基本情况!B11="自然人","——",ROUND(C5*F32/(1+'数据-取费表'!C42),2))</f>
        <v>0</v>
      </c>
      <c r="D32" s="179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IF(项目基本情况!B11="自然人","——",IF(D33="按租金收入计税",ROUND(C5*F33,2),IF(D33="按房产原值计税",ROUND(C29*F33*0.7,2),INDIRECT("'数据-取费表'!Aj"&amp;$G$1))))</f>
        <v>107.44</v>
      </c>
      <c r="D33" s="1826" t="s">
        <v>1430</v>
      </c>
      <c r="E33" s="346" t="s">
        <v>1414</v>
      </c>
      <c r="F33" s="366">
        <f>IF(D33="按票据","——",IF(D33="按租金收入计税",'数据-取费表'!B51,'数据-取费表'!B50))</f>
        <v>1.2E-2</v>
      </c>
      <c r="G33" s="1849"/>
      <c r="H33" s="1857"/>
      <c r="I33" s="1858"/>
      <c r="J33" s="1859"/>
      <c r="K33" s="1860"/>
      <c r="L33" s="1857"/>
      <c r="M33" s="1857"/>
    </row>
    <row r="34" spans="1:18" ht="18" customHeight="1">
      <c r="A34" s="1290" t="s">
        <v>1381</v>
      </c>
      <c r="B34" s="163" t="s">
        <v>1433</v>
      </c>
      <c r="C34" s="25">
        <f ca="1">IF(项目基本情况!B11="自然人","——",ROUND(F34*F35/10000,2))</f>
        <v>1.3</v>
      </c>
      <c r="D34" s="369" t="s">
        <v>1434</v>
      </c>
      <c r="E34" s="346" t="s">
        <v>1435</v>
      </c>
      <c r="F34" s="370">
        <f>'数据-取费表'!B52</f>
        <v>1.5</v>
      </c>
      <c r="G34" s="1849"/>
      <c r="H34" s="744"/>
      <c r="I34" s="1858"/>
      <c r="J34" s="1859"/>
      <c r="K34" s="1861"/>
      <c r="L34" s="1862"/>
      <c r="M34" s="1862"/>
    </row>
    <row r="35" spans="1:18" ht="18" customHeight="1">
      <c r="A35" s="1352"/>
      <c r="B35" s="1350"/>
      <c r="C35" s="29"/>
      <c r="D35" s="372"/>
      <c r="E35" s="346" t="s">
        <v>1439</v>
      </c>
      <c r="F35" s="347">
        <f ca="1">INDIRECT("'数据-取费表'!r"&amp;$G$1)</f>
        <v>8693.99</v>
      </c>
      <c r="G35" s="1849"/>
      <c r="H35" s="744"/>
      <c r="I35" s="1858"/>
      <c r="J35" s="1859"/>
      <c r="K35" s="1860"/>
      <c r="L35" s="1857"/>
      <c r="M35" s="1857"/>
    </row>
    <row r="36" spans="1:18" ht="18" customHeight="1">
      <c r="A36" s="1351" t="s">
        <v>1035</v>
      </c>
      <c r="B36" s="346" t="s">
        <v>1441</v>
      </c>
      <c r="C36" s="24">
        <f ca="1">ROUND(C29*F36,1)</f>
        <v>191.9</v>
      </c>
      <c r="D36" s="1796" t="s">
        <v>1474</v>
      </c>
      <c r="E36" s="346" t="s">
        <v>1414</v>
      </c>
      <c r="F36" s="373">
        <f ca="1">INDIRECT("'数据-取费表'!Ak"&amp;$G$1)</f>
        <v>1.4999999999999999E-2</v>
      </c>
      <c r="G36" s="1849"/>
      <c r="H36" s="1857"/>
      <c r="I36" s="1858"/>
      <c r="J36" s="1859"/>
      <c r="K36" s="750"/>
      <c r="L36" s="1857"/>
      <c r="M36" s="1857"/>
    </row>
    <row r="37" spans="1:18" ht="18" customHeight="1">
      <c r="A37" s="1200" t="s">
        <v>1071</v>
      </c>
      <c r="B37" s="346" t="s">
        <v>1445</v>
      </c>
      <c r="C37" s="24">
        <f ca="1">ROUND(C13*F37,1)</f>
        <v>0</v>
      </c>
      <c r="D37" s="1796" t="s">
        <v>1446</v>
      </c>
      <c r="E37" s="346" t="s">
        <v>1447</v>
      </c>
      <c r="F37" s="375">
        <f ca="1">INDIRECT("'数据-取费表'!Al"&amp;$G$1)</f>
        <v>1.5E-3</v>
      </c>
      <c r="G37" s="1849"/>
      <c r="H37" s="1857"/>
      <c r="I37" s="1858"/>
      <c r="J37" s="1859"/>
      <c r="K37" s="750"/>
      <c r="L37" s="1857"/>
      <c r="M37" s="1857"/>
    </row>
    <row r="38" spans="1:18" ht="18" customHeight="1" thickBot="1">
      <c r="A38" s="1338" t="s">
        <v>1385</v>
      </c>
      <c r="B38" s="1339" t="s">
        <v>1431</v>
      </c>
      <c r="C38" s="1340">
        <f ca="1">ROUND(C5*F38,1)</f>
        <v>0</v>
      </c>
      <c r="D38" s="1341" t="s">
        <v>1451</v>
      </c>
      <c r="E38" s="1339" t="s">
        <v>1447</v>
      </c>
      <c r="F38" s="1335">
        <f ca="1">INDIRECT("'数据-取费表'!Am"&amp;$G$1)</f>
        <v>0.01</v>
      </c>
      <c r="G38" s="1849"/>
      <c r="H38" s="1857"/>
      <c r="I38" s="1858"/>
      <c r="J38" s="1859"/>
      <c r="K38" s="1863"/>
      <c r="L38" s="1857"/>
      <c r="M38" s="1857"/>
    </row>
    <row r="39" spans="1:18" ht="24.6" customHeight="1" thickTop="1">
      <c r="A39" s="1328" t="s">
        <v>1027</v>
      </c>
      <c r="B39" s="1343" t="s">
        <v>1475</v>
      </c>
      <c r="C39" s="354">
        <f ca="1">C5-C30</f>
        <v>-301</v>
      </c>
      <c r="D39" s="1344" t="s">
        <v>1476</v>
      </c>
      <c r="E39" s="1345"/>
      <c r="F39" s="1346"/>
      <c r="G39" s="1849"/>
      <c r="H39" s="1857"/>
      <c r="I39" s="1858"/>
      <c r="J39" s="1859"/>
      <c r="K39" s="1863"/>
      <c r="L39" s="1857"/>
      <c r="M39" s="1857"/>
    </row>
    <row r="40" spans="1:18" ht="18" customHeight="1">
      <c r="A40" s="343" t="s">
        <v>1028</v>
      </c>
      <c r="B40" s="344" t="s">
        <v>1477</v>
      </c>
      <c r="C40" s="345">
        <f ca="1">ROUND(C39*(1-((1+F42)/(1+F40))^F41)/(F40-F42),0)</f>
        <v>0</v>
      </c>
      <c r="D40" s="369" t="s">
        <v>1461</v>
      </c>
      <c r="E40" s="346" t="s">
        <v>1462</v>
      </c>
      <c r="F40" s="356">
        <f ca="1">INDIRECT("'数据-取费表'!I"&amp;$G$1)</f>
        <v>0.05</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1469</v>
      </c>
      <c r="F42" s="356">
        <f ca="1">INDIRECT("'数据-取费表'!v"&amp;$G$1)</f>
        <v>0</v>
      </c>
      <c r="G42" s="1849"/>
      <c r="H42" s="731"/>
      <c r="I42" s="1858"/>
      <c r="J42" s="1859"/>
      <c r="K42" s="750"/>
      <c r="L42" s="731"/>
      <c r="M42" s="731"/>
    </row>
    <row r="43" spans="1:18" ht="18" customHeight="1" thickBot="1">
      <c r="A43" s="379" t="s">
        <v>1029</v>
      </c>
      <c r="B43" s="380" t="s">
        <v>1479</v>
      </c>
      <c r="C43" s="381">
        <f ca="1">ROUND(C40*10000/F43,0)</f>
        <v>0</v>
      </c>
      <c r="D43" s="382" t="s">
        <v>1480</v>
      </c>
      <c r="E43" s="383" t="s">
        <v>1481</v>
      </c>
      <c r="F43" s="384">
        <f ca="1">INDIRECT("'数据-取费表'!k"&amp;$G$1)</f>
        <v>30558.489999999998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1511</v>
      </c>
      <c r="P45" s="1837"/>
      <c r="Q45" s="1837"/>
      <c r="R45" s="1837"/>
    </row>
    <row r="46" spans="1:18" s="1840" customFormat="1" ht="13.5" thickBot="1">
      <c r="A46" s="1868" t="s">
        <v>1512</v>
      </c>
      <c r="C46" s="1869">
        <f ca="1">C68-C40</f>
        <v>0</v>
      </c>
      <c r="D46" s="1870" t="str">
        <f>C2</f>
        <v>万元</v>
      </c>
      <c r="E46" s="1864"/>
      <c r="F46" s="1864"/>
      <c r="I46" s="1871" t="s">
        <v>1513</v>
      </c>
      <c r="J46" s="1872"/>
      <c r="K46" s="1873"/>
      <c r="L46" s="1874">
        <f ca="1">IF(M47="住宅",0,IF(L48&gt;J51,L60,J60))</f>
        <v>100</v>
      </c>
      <c r="O46" s="1875" t="s">
        <v>1514</v>
      </c>
      <c r="P46" s="1876" t="s">
        <v>1515</v>
      </c>
      <c r="Q46" s="1877" t="s">
        <v>1516</v>
      </c>
      <c r="R46" s="1877" t="s">
        <v>1517</v>
      </c>
    </row>
    <row r="47" spans="1:18" s="1840" customFormat="1" ht="13.5" thickBot="1">
      <c r="A47" s="1164" t="s">
        <v>1388</v>
      </c>
      <c r="B47" s="1196" t="s">
        <v>1389</v>
      </c>
      <c r="C47" s="1366" t="s">
        <v>1390</v>
      </c>
      <c r="D47" s="1196" t="s">
        <v>1391</v>
      </c>
      <c r="E47" s="1278" t="s">
        <v>1392</v>
      </c>
      <c r="F47" s="1279"/>
      <c r="G47" s="791"/>
      <c r="I47" s="1878" t="s">
        <v>1518</v>
      </c>
      <c r="J47" s="1879" t="s">
        <v>3069</v>
      </c>
      <c r="K47" s="1880" t="s">
        <v>1519</v>
      </c>
      <c r="L47" s="1881">
        <f ca="1">INDIRECT("'数据-取费表'!d"&amp;$G$1)</f>
        <v>50</v>
      </c>
      <c r="M47" s="1836" t="str">
        <f>IF(ISNUMBER(FIND("住宅",C1)),"住宅","非住宅")</f>
        <v>非住宅</v>
      </c>
      <c r="O47" s="1882" t="s">
        <v>1036</v>
      </c>
      <c r="P47" s="1883" t="s">
        <v>1520</v>
      </c>
      <c r="Q47" s="1884">
        <f ca="1">C40+J29</f>
        <v>0</v>
      </c>
      <c r="R47" s="1884" t="s">
        <v>1521</v>
      </c>
    </row>
    <row r="48" spans="1:18" s="1840" customFormat="1" ht="28.5" thickBot="1">
      <c r="A48" s="1359" t="s">
        <v>1131</v>
      </c>
      <c r="B48" s="344" t="s">
        <v>1393</v>
      </c>
      <c r="C48" s="1815">
        <f ca="1">C49+C53+C55</f>
        <v>0</v>
      </c>
      <c r="D48" s="1361"/>
      <c r="E48" s="1362"/>
      <c r="F48" s="1180"/>
      <c r="G48" s="791"/>
      <c r="H48" s="792"/>
      <c r="I48" s="1885" t="s">
        <v>1522</v>
      </c>
      <c r="J48" s="1886" t="s">
        <v>3102</v>
      </c>
      <c r="K48" s="1887" t="s">
        <v>1523</v>
      </c>
      <c r="L48" s="1888">
        <f ca="1">INDIRECT("'数据-取费表'!f"&amp;$G$1)</f>
        <v>45.81</v>
      </c>
      <c r="O48" s="1882" t="s">
        <v>1037</v>
      </c>
      <c r="P48" s="1883" t="s">
        <v>1524</v>
      </c>
      <c r="Q48" s="1884">
        <f ca="1">J60</f>
        <v>100</v>
      </c>
      <c r="R48" s="1884" t="s">
        <v>1525</v>
      </c>
    </row>
    <row r="49" spans="1:18" s="1840" customFormat="1" ht="13.5" thickBot="1">
      <c r="A49" s="1193" t="s">
        <v>1132</v>
      </c>
      <c r="B49" s="1827" t="s">
        <v>1482</v>
      </c>
      <c r="C49" s="1363">
        <f ca="1">ROUND(F49*F51*F50*(1-F52)/10000,0)</f>
        <v>0</v>
      </c>
      <c r="D49" s="1275" t="s">
        <v>2982</v>
      </c>
      <c r="E49" s="1828" t="s">
        <v>1483</v>
      </c>
      <c r="F49" s="1280"/>
      <c r="G49" s="1889"/>
      <c r="H49" s="792"/>
      <c r="I49" s="1885" t="s">
        <v>1526</v>
      </c>
      <c r="J49" s="1890">
        <v>2019</v>
      </c>
      <c r="K49" s="1887" t="s">
        <v>1527</v>
      </c>
      <c r="L49" s="1891"/>
      <c r="O49" s="1892" t="s">
        <v>1038</v>
      </c>
      <c r="P49" s="1883" t="s">
        <v>1528</v>
      </c>
      <c r="Q49" s="1884">
        <f ca="1">C29</f>
        <v>12791</v>
      </c>
      <c r="R49" s="1884" t="s">
        <v>1521</v>
      </c>
    </row>
    <row r="50" spans="1:18" s="1840" customFormat="1" ht="13.5" thickBot="1">
      <c r="A50" s="1194"/>
      <c r="B50" s="1197"/>
      <c r="C50" s="1367"/>
      <c r="D50" s="1171"/>
      <c r="E50" s="1276" t="s">
        <v>1398</v>
      </c>
      <c r="F50" s="1277">
        <f ca="1">F7</f>
        <v>679</v>
      </c>
      <c r="H50" s="792"/>
      <c r="I50" s="1885" t="s">
        <v>1529</v>
      </c>
      <c r="J50" s="1893">
        <f>SUMPRODUCT((I63:I65=J47)*(J62:L62=J48)*(J63:L65))</f>
        <v>60</v>
      </c>
      <c r="K50" s="1887" t="s">
        <v>1530</v>
      </c>
      <c r="L50" s="1891"/>
      <c r="M50" s="1894"/>
      <c r="O50" s="1892" t="s">
        <v>1039</v>
      </c>
      <c r="P50" s="1883" t="s">
        <v>1531</v>
      </c>
      <c r="Q50" s="1895">
        <f ca="1">J58</f>
        <v>0.4</v>
      </c>
      <c r="R50" s="1884"/>
    </row>
    <row r="51" spans="1:18" s="1840" customFormat="1" ht="13.5" thickBot="1">
      <c r="A51" s="1195"/>
      <c r="B51" s="1197"/>
      <c r="C51" s="1198"/>
      <c r="D51" s="1171"/>
      <c r="E51" s="1199" t="s">
        <v>1399</v>
      </c>
      <c r="F51" s="347">
        <f ca="1">F8</f>
        <v>12</v>
      </c>
      <c r="I51" s="1896" t="s">
        <v>1532</v>
      </c>
      <c r="J51" s="1897">
        <f>IF(J49="",J50,J49+J50-YEAR('数据-取费表'!B2))</f>
        <v>59</v>
      </c>
      <c r="K51" s="1898" t="s">
        <v>1533</v>
      </c>
      <c r="L51" s="1899">
        <f ca="1">ROUND(-PV(INDIRECT("'数据-取费表'!h"&amp;$G$1),L48,(C39-C13*C76),0),0)</f>
        <v>-5798</v>
      </c>
      <c r="M51" s="1900"/>
      <c r="O51" s="1892" t="s">
        <v>1040</v>
      </c>
      <c r="P51" s="1883" t="s">
        <v>1534</v>
      </c>
      <c r="Q51" s="1895">
        <f>J52</f>
        <v>0.09</v>
      </c>
      <c r="R51" s="1884"/>
    </row>
    <row r="52" spans="1:18" s="1840" customFormat="1" ht="13.5" thickBot="1">
      <c r="A52" s="1195"/>
      <c r="B52" s="1197"/>
      <c r="C52" s="1198"/>
      <c r="D52" s="1171"/>
      <c r="E52" s="1199" t="s">
        <v>1400</v>
      </c>
      <c r="F52" s="1274"/>
      <c r="I52" s="1901" t="s">
        <v>1535</v>
      </c>
      <c r="J52" s="1902">
        <v>0.09</v>
      </c>
      <c r="K52" s="1901" t="s">
        <v>1536</v>
      </c>
      <c r="L52" s="1902"/>
      <c r="O52" s="1892" t="s">
        <v>1041</v>
      </c>
      <c r="P52" s="1883" t="s">
        <v>1537</v>
      </c>
      <c r="Q52" s="1884">
        <f ca="1">J53</f>
        <v>45.71</v>
      </c>
      <c r="R52" s="1884" t="s">
        <v>1538</v>
      </c>
    </row>
    <row r="53" spans="1:18" s="1840" customFormat="1" ht="24.75" thickBot="1">
      <c r="A53" s="1404" t="s">
        <v>1133</v>
      </c>
      <c r="B53" s="1829" t="s">
        <v>1401</v>
      </c>
      <c r="C53" s="360">
        <f ca="1">ROUND(IF(F53="押一",C49/12*F11,IF(F53="押二",C49/12*2*F11,IF(F53="押三",C49/12*3*F11,C54*F11))),0)</f>
        <v>0</v>
      </c>
      <c r="D53" s="1822" t="s">
        <v>2989</v>
      </c>
      <c r="E53" s="357" t="s">
        <v>1402</v>
      </c>
      <c r="F53" s="1365"/>
      <c r="I53" s="1903" t="s">
        <v>1539</v>
      </c>
      <c r="J53" s="1904">
        <f ca="1">IF(M47="住宅",IF(D1="——",MAX(J51,L48),IF(D1="在建（套用方法）",MAX(J51,L48-'数据-取费表'!B24),MAX(J51,L48-'数据-取费表'!B20))),IF(D1="——",MIN(J51,L48),IF(D1="在建（套用方法）",MIN(J51,L48-'数据-取费表'!B24),IF(D1="土地（套用方法）",MIN(J51,L48-'数据-取费表'!B20)))))</f>
        <v>45.71</v>
      </c>
      <c r="K53" s="3263" t="s">
        <v>1540</v>
      </c>
      <c r="L53" s="3264"/>
      <c r="O53" s="1882" t="s">
        <v>1042</v>
      </c>
      <c r="P53" s="1883" t="s">
        <v>1541</v>
      </c>
      <c r="Q53" s="1884">
        <f ca="1">Q47+Q48</f>
        <v>100</v>
      </c>
      <c r="R53" s="1884" t="s">
        <v>1043</v>
      </c>
    </row>
    <row r="54" spans="1:18" s="1840" customFormat="1" ht="13.5" thickBot="1">
      <c r="A54" s="1405"/>
      <c r="B54" s="1823" t="s">
        <v>1380</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1542</v>
      </c>
      <c r="P54" s="1837"/>
      <c r="Q54" s="1837"/>
      <c r="R54" s="1837"/>
    </row>
    <row r="55" spans="1:18" s="1840" customFormat="1" ht="13.5" thickBot="1">
      <c r="A55" s="1332" t="s">
        <v>1071</v>
      </c>
      <c r="B55" s="1825" t="s">
        <v>1405</v>
      </c>
      <c r="C55" s="1333"/>
      <c r="D55" s="1822"/>
      <c r="E55" s="1830"/>
      <c r="F55" s="1905"/>
      <c r="I55" s="1908" t="s">
        <v>1543</v>
      </c>
      <c r="J55" s="1909">
        <f ca="1">ROUND(IF(J47="钢混",J57/J50,1-(1-2%)*(J50-J57)/J50),3)</f>
        <v>0.22</v>
      </c>
      <c r="K55" s="1910" t="s">
        <v>1544</v>
      </c>
      <c r="L55" s="1911" t="s">
        <v>1545</v>
      </c>
      <c r="O55" s="1875" t="s">
        <v>1514</v>
      </c>
      <c r="P55" s="1876" t="s">
        <v>1515</v>
      </c>
      <c r="Q55" s="1877" t="s">
        <v>1516</v>
      </c>
      <c r="R55" s="1877" t="s">
        <v>1517</v>
      </c>
    </row>
    <row r="56" spans="1:18" s="1840" customFormat="1" ht="25.5" thickTop="1" thickBot="1">
      <c r="A56" s="1175">
        <v>2</v>
      </c>
      <c r="B56" s="1176" t="s">
        <v>1406</v>
      </c>
      <c r="C56" s="275">
        <f ca="1">C13</f>
        <v>0</v>
      </c>
      <c r="D56" s="1912"/>
      <c r="E56" s="1913"/>
      <c r="F56" s="1905"/>
      <c r="I56" s="1914" t="s">
        <v>1546</v>
      </c>
      <c r="J56" s="1915"/>
      <c r="K56" s="1885" t="s">
        <v>1547</v>
      </c>
      <c r="L56" s="1888" t="str">
        <f ca="1">IF(L48&lt;J51,"——",L48-J53)</f>
        <v>——</v>
      </c>
      <c r="O56" s="1882" t="s">
        <v>1036</v>
      </c>
      <c r="P56" s="1883" t="s">
        <v>1520</v>
      </c>
      <c r="Q56" s="1884">
        <f ca="1">C40+J29</f>
        <v>0</v>
      </c>
      <c r="R56" s="1884" t="s">
        <v>1521</v>
      </c>
    </row>
    <row r="57" spans="1:18" s="1840" customFormat="1" ht="24.75" thickBot="1">
      <c r="A57" s="1916"/>
      <c r="B57" s="1168" t="s">
        <v>1470</v>
      </c>
      <c r="C57" s="281">
        <f ca="1">C29</f>
        <v>12791</v>
      </c>
      <c r="D57" s="1917"/>
      <c r="E57" s="1918"/>
      <c r="F57" s="1919"/>
      <c r="I57" s="1920" t="s">
        <v>1548</v>
      </c>
      <c r="J57" s="1921">
        <f ca="1">IF(OR(M47="住宅",J51&lt;L48,J56="是"),"——",J51-L48)</f>
        <v>13.189999999999998</v>
      </c>
      <c r="K57" s="1885" t="s">
        <v>1549</v>
      </c>
      <c r="L57" s="1888" t="str">
        <f ca="1">IF(L48&lt;J51,"——",IF(L55="比较法",L49,IF(L55="基准地价",L50,L51)))</f>
        <v>——</v>
      </c>
      <c r="O57" s="1882" t="s">
        <v>1037</v>
      </c>
      <c r="P57" s="1883" t="s">
        <v>1550</v>
      </c>
      <c r="Q57" s="1884">
        <f ca="1">L60</f>
        <v>0</v>
      </c>
      <c r="R57" s="1884" t="s">
        <v>1551</v>
      </c>
    </row>
    <row r="58" spans="1:18" s="1840" customFormat="1" ht="24.75" thickBot="1">
      <c r="A58" s="359" t="s">
        <v>1026</v>
      </c>
      <c r="B58" s="1176" t="s">
        <v>1416</v>
      </c>
      <c r="C58" s="360">
        <f ca="1">ROUND(C59+C64+C65+C66,0)</f>
        <v>301</v>
      </c>
      <c r="D58" s="1178" t="s">
        <v>1417</v>
      </c>
      <c r="E58" s="1179"/>
      <c r="F58" s="1180"/>
      <c r="I58" s="1920" t="s">
        <v>1552</v>
      </c>
      <c r="J58" s="1922">
        <f ca="1">IF(J55&lt;0.4,0.4,J55)</f>
        <v>0.4</v>
      </c>
      <c r="K58" s="1898" t="s">
        <v>1553</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ROUND(IF(项目基本情况!B11="自然人",C48*F59,C60+C61+C62),1)</f>
        <v>108.7</v>
      </c>
      <c r="D59" s="1181" t="s">
        <v>1422</v>
      </c>
      <c r="E59" s="1182" t="s">
        <v>1423</v>
      </c>
      <c r="F59" s="367" t="str">
        <f ca="1">IF(项目基本情况!B11="企业","",IF(INDIRECT("'数据-取费表'!c"&amp;$G$1)="住宅",5%,IF(F49*F50*F51/12/(1+'数据-取费表'!C42)&gt;20000,12%,7%)))</f>
        <v/>
      </c>
      <c r="I59" s="1920" t="s">
        <v>1555</v>
      </c>
      <c r="J59" s="1921">
        <f ca="1">IF(OR(M47="住宅",J51&lt;L48,J56="是"),"——",ROUND(C29*J58,0))</f>
        <v>5116</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IF(项目基本情况!B11="自然人","——",ROUND(C48*F60/(1+'数据-取费表'!C42),2))</f>
        <v>0</v>
      </c>
      <c r="D60" s="1182" t="s">
        <v>1426</v>
      </c>
      <c r="E60" s="1168" t="s">
        <v>1414</v>
      </c>
      <c r="F60" s="376">
        <f t="shared" ref="F60:F66" si="0">F32</f>
        <v>5.6000000000000001E-2</v>
      </c>
      <c r="I60" s="1923" t="s">
        <v>1557</v>
      </c>
      <c r="J60" s="1924">
        <f ca="1">IF(OR(M47="住宅",J51&lt;L48,J56="是"),"0",ROUND(J59/(1+J52)^J53,0))</f>
        <v>100</v>
      </c>
      <c r="K60" s="1925" t="s">
        <v>1558</v>
      </c>
      <c r="L60" s="1924">
        <f ca="1">IF(OR(M47="住宅",L48&lt;J51),0,ROUND(L57*(L58/L59-1),0))</f>
        <v>0</v>
      </c>
      <c r="O60" s="1892" t="s">
        <v>1040</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IF(项目基本情况!B11="自然人","——",IF(D61="按租金收入计税",ROUND(C48*F61,2),IF(D61="按房产原值计税",ROUND(C57*F61*0.7,2),INDIRECT("'数据-取费表'!Aj"&amp;$G$1))))</f>
        <v>107.44</v>
      </c>
      <c r="D61" s="1826" t="s">
        <v>1430</v>
      </c>
      <c r="E61" s="1168" t="s">
        <v>1486</v>
      </c>
      <c r="F61" s="366">
        <f t="shared" si="0"/>
        <v>1.2E-2</v>
      </c>
      <c r="I61" s="1926"/>
      <c r="J61" s="1926"/>
      <c r="K61" s="1926"/>
      <c r="L61" s="1926"/>
      <c r="O61" s="1892" t="s">
        <v>1041</v>
      </c>
      <c r="P61" s="1883" t="str">
        <f>K59</f>
        <v>续建工期及建筑物耐用年限下的土地年期修正系数Kn</v>
      </c>
      <c r="Q61" s="1884" t="e">
        <f ca="1">L59</f>
        <v>#DIV/0!</v>
      </c>
      <c r="R61" s="1884" t="s">
        <v>1561</v>
      </c>
    </row>
    <row r="62" spans="1:18" s="1840" customFormat="1" ht="13.5" thickBot="1">
      <c r="A62" s="1200" t="s">
        <v>1487</v>
      </c>
      <c r="B62" s="1167" t="s">
        <v>1488</v>
      </c>
      <c r="C62" s="25">
        <f ca="1">IF(项目基本情况!B11="自然人","——",ROUND(F62*F63/10000,2))</f>
        <v>1.3</v>
      </c>
      <c r="D62" s="1183" t="s">
        <v>1489</v>
      </c>
      <c r="E62" s="1168" t="s">
        <v>1490</v>
      </c>
      <c r="F62" s="370">
        <f t="shared" si="0"/>
        <v>1.5</v>
      </c>
      <c r="I62" s="1927" t="s">
        <v>1562</v>
      </c>
      <c r="J62" s="1928" t="s">
        <v>1563</v>
      </c>
      <c r="K62" s="1928" t="s">
        <v>1564</v>
      </c>
      <c r="L62" s="1928" t="s">
        <v>1565</v>
      </c>
      <c r="M62" s="1929" t="s">
        <v>1566</v>
      </c>
      <c r="O62" s="1882" t="s">
        <v>1042</v>
      </c>
      <c r="P62" s="1883" t="s">
        <v>1567</v>
      </c>
      <c r="Q62" s="1884">
        <f ca="1">Q56+Q57</f>
        <v>0</v>
      </c>
      <c r="R62" s="1884" t="s">
        <v>1043</v>
      </c>
    </row>
    <row r="63" spans="1:18" s="1840" customFormat="1" ht="13.5" thickBot="1">
      <c r="A63" s="371"/>
      <c r="B63" s="1174"/>
      <c r="C63" s="29"/>
      <c r="D63" s="1184"/>
      <c r="E63" s="1168" t="s">
        <v>1491</v>
      </c>
      <c r="F63" s="347">
        <f t="shared" ca="1" si="0"/>
        <v>8693.99</v>
      </c>
      <c r="I63" s="1927" t="s">
        <v>1568</v>
      </c>
      <c r="J63" s="1928">
        <v>70</v>
      </c>
      <c r="K63" s="1928">
        <v>50</v>
      </c>
      <c r="L63" s="1928">
        <v>80</v>
      </c>
      <c r="M63" s="1930">
        <v>0.02</v>
      </c>
      <c r="O63" s="1867" t="s">
        <v>1569</v>
      </c>
      <c r="P63" s="1837"/>
      <c r="Q63" s="1837"/>
      <c r="R63" s="1837"/>
    </row>
    <row r="64" spans="1:18" s="1840" customFormat="1" ht="13.5" thickBot="1">
      <c r="A64" s="1200" t="s">
        <v>1492</v>
      </c>
      <c r="B64" s="1168" t="s">
        <v>1493</v>
      </c>
      <c r="C64" s="24">
        <f ca="1">ROUND(C57*F64,1)</f>
        <v>191.9</v>
      </c>
      <c r="D64" s="1182" t="s">
        <v>1494</v>
      </c>
      <c r="E64" s="1168" t="s">
        <v>1486</v>
      </c>
      <c r="F64" s="373">
        <f t="shared" ca="1" si="0"/>
        <v>1.4999999999999999E-2</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ROUND(C56*F65,1)</f>
        <v>0</v>
      </c>
      <c r="D65" s="1182" t="s">
        <v>1446</v>
      </c>
      <c r="E65" s="1168" t="s">
        <v>1447</v>
      </c>
      <c r="F65" s="375">
        <f t="shared" ca="1" si="0"/>
        <v>1.5E-3</v>
      </c>
      <c r="I65" s="1927" t="s">
        <v>1571</v>
      </c>
      <c r="J65" s="1928">
        <v>40</v>
      </c>
      <c r="K65" s="1928">
        <v>30</v>
      </c>
      <c r="L65" s="1928">
        <v>50</v>
      </c>
      <c r="M65" s="1930">
        <v>0.02</v>
      </c>
      <c r="O65" s="1882" t="s">
        <v>1036</v>
      </c>
      <c r="P65" s="1883" t="s">
        <v>1572</v>
      </c>
      <c r="Q65" s="1884">
        <f ca="1">C40+J29</f>
        <v>0</v>
      </c>
      <c r="R65" s="1884" t="s">
        <v>1521</v>
      </c>
    </row>
    <row r="66" spans="1:18" s="1840" customFormat="1" ht="16.5" thickBot="1">
      <c r="A66" s="1200" t="s">
        <v>1496</v>
      </c>
      <c r="B66" s="1168" t="s">
        <v>1431</v>
      </c>
      <c r="C66" s="24">
        <f ca="1">ROUND(C48*F66,1)</f>
        <v>0</v>
      </c>
      <c r="D66" s="1182" t="s">
        <v>1497</v>
      </c>
      <c r="E66" s="1168" t="s">
        <v>1414</v>
      </c>
      <c r="F66" s="356">
        <f t="shared" ca="1" si="0"/>
        <v>0.01</v>
      </c>
      <c r="O66" s="1882" t="s">
        <v>1037</v>
      </c>
      <c r="P66" s="1883" t="s">
        <v>1550</v>
      </c>
      <c r="Q66" s="1884">
        <f ca="1">L60</f>
        <v>0</v>
      </c>
      <c r="R66" s="1884" t="s">
        <v>1573</v>
      </c>
    </row>
    <row r="67" spans="1:18" s="1840" customFormat="1" ht="16.5" thickBot="1">
      <c r="A67" s="1175" t="s">
        <v>1027</v>
      </c>
      <c r="B67" s="1185" t="s">
        <v>1455</v>
      </c>
      <c r="C67" s="360">
        <f ca="1">C48-C58</f>
        <v>-301</v>
      </c>
      <c r="D67" s="1181" t="s">
        <v>1456</v>
      </c>
      <c r="E67" s="1186"/>
      <c r="F67" s="1187"/>
      <c r="O67" s="1892" t="s">
        <v>1038</v>
      </c>
      <c r="P67" s="1883" t="s">
        <v>1554</v>
      </c>
      <c r="Q67" s="1931">
        <f ca="1">L51</f>
        <v>-5798</v>
      </c>
      <c r="R67" s="1884" t="s">
        <v>1574</v>
      </c>
    </row>
    <row r="68" spans="1:18" s="1840" customFormat="1" ht="16.5" thickBot="1">
      <c r="A68" s="1165" t="s">
        <v>1028</v>
      </c>
      <c r="B68" s="1166" t="s">
        <v>1477</v>
      </c>
      <c r="C68" s="345">
        <f ca="1">ROUND(C67*(1-((1+F70)/(1+F68))^F69)/(F68-F70),0)</f>
        <v>0</v>
      </c>
      <c r="D68" s="1183" t="s">
        <v>1461</v>
      </c>
      <c r="E68" s="1168" t="s">
        <v>1462</v>
      </c>
      <c r="F68" s="356">
        <f ca="1">F40</f>
        <v>0.05</v>
      </c>
      <c r="O68" s="1892" t="s">
        <v>1039</v>
      </c>
      <c r="P68" s="1932" t="s">
        <v>1575</v>
      </c>
      <c r="Q68" s="1884">
        <f ca="1">ROUND(Q69-Q70*Q71,0)</f>
        <v>-301</v>
      </c>
      <c r="R68" s="1884" t="s">
        <v>1047</v>
      </c>
    </row>
    <row r="69" spans="1:18" s="1840" customFormat="1" ht="13.5" thickBot="1">
      <c r="A69" s="1169"/>
      <c r="B69" s="1170"/>
      <c r="C69" s="350"/>
      <c r="D69" s="1188" t="s">
        <v>1465</v>
      </c>
      <c r="E69" s="1168" t="s">
        <v>1466</v>
      </c>
      <c r="F69" s="378">
        <f ca="1">F41</f>
        <v>0</v>
      </c>
      <c r="O69" s="1892" t="s">
        <v>1044</v>
      </c>
      <c r="P69" s="1932" t="s">
        <v>1576</v>
      </c>
      <c r="Q69" s="1884">
        <f ca="1">C39</f>
        <v>-301</v>
      </c>
      <c r="R69" s="1884" t="s">
        <v>1521</v>
      </c>
    </row>
    <row r="70" spans="1:18" s="1840" customFormat="1" ht="13.5" thickBot="1">
      <c r="A70" s="1172"/>
      <c r="B70" s="1173"/>
      <c r="C70" s="354"/>
      <c r="D70" s="1184"/>
      <c r="E70" s="1168" t="s">
        <v>1469</v>
      </c>
      <c r="F70" s="1274"/>
      <c r="O70" s="1892" t="s">
        <v>1045</v>
      </c>
      <c r="P70" s="1932" t="s">
        <v>1577</v>
      </c>
      <c r="Q70" s="1884">
        <f ca="1">C13</f>
        <v>0</v>
      </c>
      <c r="R70" s="1884" t="s">
        <v>1521</v>
      </c>
    </row>
    <row r="71" spans="1:18" s="1840" customFormat="1" ht="13.5" thickBot="1">
      <c r="A71" s="1189" t="s">
        <v>1029</v>
      </c>
      <c r="B71" s="1190" t="s">
        <v>1479</v>
      </c>
      <c r="C71" s="381">
        <f ca="1">ROUND(C68*10000/F71,0)</f>
        <v>0</v>
      </c>
      <c r="D71" s="1191" t="s">
        <v>1480</v>
      </c>
      <c r="E71" s="1192" t="s">
        <v>1481</v>
      </c>
      <c r="F71" s="384">
        <f ca="1">F43</f>
        <v>30558.489999999998</v>
      </c>
      <c r="O71" s="1892" t="s">
        <v>1046</v>
      </c>
      <c r="P71" s="1932" t="s">
        <v>1578</v>
      </c>
      <c r="Q71" s="1895">
        <f ca="1">C76</f>
        <v>8.5000000000000006E-2</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续建工期及建筑物耐用年限下的土地年期修正系数Kn</v>
      </c>
      <c r="Q74" s="1884" t="e">
        <f ca="1">L59</f>
        <v>#DIV/0!</v>
      </c>
      <c r="R74" s="1884" t="s">
        <v>1561</v>
      </c>
    </row>
    <row r="75" spans="1:18" ht="13.5" thickBot="1">
      <c r="A75" s="1840"/>
      <c r="B75" s="385" t="s">
        <v>1498</v>
      </c>
      <c r="C75" s="386">
        <f ca="1">ROUND(C13*C76,0)</f>
        <v>0</v>
      </c>
      <c r="D75" s="1840"/>
      <c r="E75" s="1840"/>
      <c r="F75" s="1840"/>
      <c r="K75" s="1866"/>
      <c r="L75" s="1840"/>
      <c r="O75" s="1882" t="s">
        <v>1042</v>
      </c>
      <c r="P75" s="1883" t="s">
        <v>1541</v>
      </c>
      <c r="Q75" s="1884">
        <f ca="1">Q65+Q66</f>
        <v>0</v>
      </c>
      <c r="R75" s="1884" t="s">
        <v>1043</v>
      </c>
    </row>
    <row r="76" spans="1:18">
      <c r="B76" s="387" t="s">
        <v>1499</v>
      </c>
      <c r="C76" s="388">
        <f ca="1">INDIRECT("'数据-取费表'!j"&amp;$G$1)</f>
        <v>8.5000000000000006E-2</v>
      </c>
      <c r="I76" s="1840"/>
      <c r="J76" s="1840"/>
      <c r="K76" s="1866"/>
      <c r="L76" s="1840"/>
    </row>
    <row r="77" spans="1:18">
      <c r="B77" s="389" t="s">
        <v>1500</v>
      </c>
      <c r="C77" s="390"/>
      <c r="I77" s="1840"/>
      <c r="J77" s="1840"/>
      <c r="K77" s="1866"/>
      <c r="L77" s="1840"/>
    </row>
    <row r="78" spans="1:18">
      <c r="B78" s="313" t="s">
        <v>1501</v>
      </c>
      <c r="C78" s="391"/>
    </row>
    <row r="79" spans="1:18">
      <c r="B79" s="385" t="s">
        <v>1502</v>
      </c>
      <c r="C79" s="317">
        <f ca="1">1-C80</f>
        <v>1</v>
      </c>
    </row>
    <row r="80" spans="1:18">
      <c r="B80" s="385" t="s">
        <v>1503</v>
      </c>
      <c r="C80" s="317">
        <f ca="1">ROUND(C75/C39,3)</f>
        <v>0</v>
      </c>
    </row>
    <row r="81" spans="2:3">
      <c r="B81" s="313" t="s">
        <v>1504</v>
      </c>
      <c r="C81" s="281"/>
    </row>
    <row r="82" spans="2:3">
      <c r="B82" s="316" t="s">
        <v>1505</v>
      </c>
      <c r="C82" s="318" t="e">
        <f ca="1">1-C83</f>
        <v>#DIV/0!</v>
      </c>
    </row>
    <row r="83" spans="2:3">
      <c r="B83" s="316" t="s">
        <v>1506</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c r="D1" s="1818"/>
      <c r="E1" s="1819" t="s">
        <v>1379</v>
      </c>
      <c r="F1" s="1282" t="b">
        <f>J53</f>
        <v>0</v>
      </c>
      <c r="G1" s="1834">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1582</v>
      </c>
      <c r="B2" s="1842" t="e">
        <f ca="1">ROUND(D2/10000,0)</f>
        <v>#DIV/0!</v>
      </c>
      <c r="C2" s="1843" t="s">
        <v>1583</v>
      </c>
      <c r="D2" s="1936" t="e">
        <f ca="1">C40+J29+L46</f>
        <v>#DIV/0!</v>
      </c>
      <c r="E2" s="1844" t="s">
        <v>1584</v>
      </c>
      <c r="F2" s="1845"/>
      <c r="G2" s="1846"/>
      <c r="H2" s="1838"/>
      <c r="I2" s="1838"/>
      <c r="J2" s="1838"/>
      <c r="K2" s="1839"/>
      <c r="L2" s="1838"/>
      <c r="M2" s="1838"/>
    </row>
    <row r="3" spans="1:37" ht="18" customHeight="1" thickBot="1">
      <c r="A3" s="1847" t="s">
        <v>1585</v>
      </c>
      <c r="B3" s="1848">
        <f ca="1">IF(ISERROR(D2/F43),0,ROUND(D2/F43,0))</f>
        <v>0</v>
      </c>
      <c r="C3" s="1843" t="s">
        <v>1586</v>
      </c>
      <c r="D3" s="1843"/>
      <c r="E3" s="1844"/>
      <c r="F3" s="1845"/>
      <c r="G3" s="1846"/>
      <c r="H3" s="743" t="s">
        <v>1580</v>
      </c>
      <c r="I3" s="1838"/>
      <c r="J3" s="1838"/>
      <c r="K3" s="1839"/>
      <c r="L3" s="1838"/>
      <c r="M3" s="1838"/>
    </row>
    <row r="4" spans="1:37" ht="18" customHeight="1">
      <c r="A4" s="339" t="s">
        <v>1587</v>
      </c>
      <c r="B4" s="340" t="s">
        <v>1588</v>
      </c>
      <c r="C4" s="340" t="s">
        <v>1589</v>
      </c>
      <c r="D4" s="340" t="s">
        <v>1590</v>
      </c>
      <c r="E4" s="341" t="s">
        <v>1591</v>
      </c>
      <c r="F4" s="342"/>
      <c r="G4" s="1849"/>
      <c r="H4" s="339" t="s">
        <v>1587</v>
      </c>
      <c r="I4" s="340" t="s">
        <v>1588</v>
      </c>
      <c r="J4" s="340" t="s">
        <v>1589</v>
      </c>
      <c r="K4" s="340" t="s">
        <v>1590</v>
      </c>
      <c r="L4" s="341" t="s">
        <v>1591</v>
      </c>
      <c r="M4" s="342"/>
    </row>
    <row r="5" spans="1:37" ht="18" customHeight="1">
      <c r="A5" s="343">
        <v>1</v>
      </c>
      <c r="B5" s="344" t="s">
        <v>1592</v>
      </c>
      <c r="C5" s="1291">
        <f ca="1">C6+C10+C12</f>
        <v>0</v>
      </c>
      <c r="D5" s="1820" t="s">
        <v>1593</v>
      </c>
      <c r="E5" s="1292"/>
      <c r="F5" s="1293"/>
      <c r="G5" s="1849"/>
      <c r="H5" s="343">
        <v>1</v>
      </c>
      <c r="I5" s="344" t="s">
        <v>1592</v>
      </c>
      <c r="J5" s="1291">
        <f ca="1">J6+J10+J12</f>
        <v>0</v>
      </c>
      <c r="K5" s="1820" t="s">
        <v>1593</v>
      </c>
      <c r="L5" s="1292"/>
      <c r="M5" s="1293"/>
    </row>
    <row r="6" spans="1:37" ht="18" customHeight="1">
      <c r="A6" s="1290" t="s">
        <v>1031</v>
      </c>
      <c r="B6" s="3265" t="s">
        <v>1395</v>
      </c>
      <c r="C6" s="1295">
        <f ca="1">ROUND(F6*F8*F7*(1-F9),0)</f>
        <v>0</v>
      </c>
      <c r="D6" s="163" t="s">
        <v>2978</v>
      </c>
      <c r="E6" s="346" t="s">
        <v>1397</v>
      </c>
      <c r="F6" s="347">
        <f ca="1">INDIRECT("'数据-取费表'!u"&amp;$G$1)</f>
        <v>0</v>
      </c>
      <c r="G6" s="1849"/>
      <c r="H6" s="1290" t="s">
        <v>1031</v>
      </c>
      <c r="I6" s="3265" t="s">
        <v>1395</v>
      </c>
      <c r="J6" s="345">
        <f ca="1">ROUND(M6*M8*M7*(1-M9),0)</f>
        <v>0</v>
      </c>
      <c r="K6" s="1832" t="s">
        <v>2979</v>
      </c>
      <c r="L6" s="346" t="s">
        <v>1397</v>
      </c>
      <c r="M6" s="347">
        <f ca="1">INDIRECT("'数据-取费表'!z"&amp;$G$1)</f>
        <v>0</v>
      </c>
    </row>
    <row r="7" spans="1:37" ht="18" customHeight="1">
      <c r="A7" s="1294"/>
      <c r="B7" s="3266"/>
      <c r="C7" s="1296"/>
      <c r="D7" s="351"/>
      <c r="E7" s="1297" t="s">
        <v>1398</v>
      </c>
      <c r="F7" s="347">
        <f ca="1">IF(INDIRECT("'数据-取费表'!ah"&amp;$G$1)="",INDIRECT("'数据-取费表'!k"&amp;$G$1),INDIRECT("'数据-取费表'!ah"&amp;$G$1))</f>
        <v>0</v>
      </c>
      <c r="G7" s="1849"/>
      <c r="H7" s="348"/>
      <c r="I7" s="3266"/>
      <c r="J7" s="350"/>
      <c r="K7" s="351"/>
      <c r="L7" s="346" t="s">
        <v>1398</v>
      </c>
      <c r="M7" s="347">
        <f ca="1">F7</f>
        <v>0</v>
      </c>
    </row>
    <row r="8" spans="1:37" ht="18" customHeight="1">
      <c r="A8" s="348"/>
      <c r="B8" s="3266"/>
      <c r="C8" s="350"/>
      <c r="D8" s="351"/>
      <c r="E8" s="346" t="s">
        <v>1399</v>
      </c>
      <c r="F8" s="347">
        <f ca="1">INDIRECT("'数据-取费表'!ai"&amp;$G$1)</f>
        <v>0</v>
      </c>
      <c r="G8" s="1849"/>
      <c r="H8" s="348"/>
      <c r="I8" s="3266"/>
      <c r="J8" s="350"/>
      <c r="K8" s="351"/>
      <c r="L8" s="346" t="s">
        <v>1399</v>
      </c>
      <c r="M8" s="347">
        <f ca="1">INDIRECT("'数据-取费表'!ai"&amp;$G$1)</f>
        <v>0</v>
      </c>
    </row>
    <row r="9" spans="1:37" ht="18" customHeight="1">
      <c r="A9" s="348"/>
      <c r="B9" s="3267"/>
      <c r="C9" s="350"/>
      <c r="D9" s="351"/>
      <c r="E9" s="346" t="s">
        <v>1400</v>
      </c>
      <c r="F9" s="356">
        <f ca="1">INDIRECT("'数据-取费表'!w"&amp;$G$1)</f>
        <v>0</v>
      </c>
      <c r="G9" s="1849"/>
      <c r="H9" s="348"/>
      <c r="I9" s="3267"/>
      <c r="J9" s="350"/>
      <c r="K9" s="351"/>
      <c r="L9" s="357" t="s">
        <v>1400</v>
      </c>
      <c r="M9" s="358">
        <f ca="1">INDIRECT("'数据-取费表'!ab"&amp;$G$1)</f>
        <v>0</v>
      </c>
    </row>
    <row r="10" spans="1:37" ht="18" customHeight="1">
      <c r="A10" s="1290" t="s">
        <v>1035</v>
      </c>
      <c r="B10" s="1821" t="s">
        <v>1401</v>
      </c>
      <c r="C10" s="360">
        <f ca="1">ROUND(IF(F10="押一",C6/12*F11,IF(F10="押二",C6/12*2*F11,IF(F10="押三",C6/12*3*F11,C11*F11))),0)</f>
        <v>0</v>
      </c>
      <c r="D10" s="1822" t="s">
        <v>2989</v>
      </c>
      <c r="E10" s="357" t="s">
        <v>1402</v>
      </c>
      <c r="F10" s="1365"/>
      <c r="G10" s="1849"/>
      <c r="H10" s="1290" t="s">
        <v>1035</v>
      </c>
      <c r="I10" s="1821" t="s">
        <v>1401</v>
      </c>
      <c r="J10" s="345">
        <f ca="1">ROUND(IF(M10="押一",J6/12*M11,IF(M10="押二",J6/12*2*M11,IF(M10="押三",J6/12*3*M11,J11*M11))),0)</f>
        <v>0</v>
      </c>
      <c r="K10" s="1833" t="s">
        <v>2991</v>
      </c>
      <c r="L10" s="357" t="s">
        <v>1402</v>
      </c>
      <c r="M10" s="1365"/>
    </row>
    <row r="11" spans="1:37" ht="18" customHeight="1">
      <c r="A11" s="352"/>
      <c r="B11" s="1823" t="s">
        <v>1594</v>
      </c>
      <c r="C11" s="1177"/>
      <c r="D11" s="351"/>
      <c r="E11" s="357" t="s">
        <v>1404</v>
      </c>
      <c r="F11" s="358">
        <f ca="1">'数据-取费表'!B39</f>
        <v>1.4999999999999999E-2</v>
      </c>
      <c r="G11" s="1849"/>
      <c r="H11" s="1298"/>
      <c r="I11" s="1823" t="s">
        <v>1595</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0</v>
      </c>
      <c r="D13" s="1330" t="s">
        <v>1407</v>
      </c>
      <c r="E13" s="1330" t="s">
        <v>1408</v>
      </c>
      <c r="F13" s="1331">
        <f ca="1">INDIRECT("'数据-取费表'!y"&amp;$G$1)</f>
        <v>0</v>
      </c>
      <c r="G13" s="1849"/>
      <c r="H13" s="1328">
        <v>2</v>
      </c>
      <c r="I13" s="1329" t="s">
        <v>1406</v>
      </c>
      <c r="J13" s="1289">
        <f ca="1">ROUND(J14*J15,0)</f>
        <v>0</v>
      </c>
      <c r="K13" s="1336" t="s">
        <v>1407</v>
      </c>
      <c r="L13" s="1850"/>
      <c r="M13" s="1851"/>
    </row>
    <row r="14" spans="1:37" ht="18" customHeight="1">
      <c r="A14" s="1200" t="s">
        <v>1030</v>
      </c>
      <c r="B14" s="346" t="s">
        <v>1409</v>
      </c>
      <c r="C14" s="362">
        <f ca="1">ROUND(INDIRECT("'数据-取费表'!l"&amp;$G$1)*F43+'数据-取费表'!L14*INDIRECT("'数据-取费表'!S"&amp;$G$1),0)</f>
        <v>0</v>
      </c>
      <c r="D14" s="1798" t="s">
        <v>1410</v>
      </c>
      <c r="E14" s="1792"/>
      <c r="F14" s="363"/>
      <c r="G14" s="1849"/>
      <c r="H14" s="1200" t="s">
        <v>1031</v>
      </c>
      <c r="I14" s="346" t="s">
        <v>1411</v>
      </c>
      <c r="J14" s="24">
        <f ca="1">C29</f>
        <v>0</v>
      </c>
      <c r="K14" s="15"/>
      <c r="L14" s="978"/>
      <c r="M14" s="979"/>
    </row>
    <row r="15" spans="1:37" s="1856" customFormat="1" ht="18" customHeight="1" thickBot="1">
      <c r="A15" s="1200" t="s">
        <v>1032</v>
      </c>
      <c r="B15" s="346" t="s">
        <v>1412</v>
      </c>
      <c r="C15" s="24">
        <f ca="1">ROUND(C14*F15,0)</f>
        <v>0</v>
      </c>
      <c r="D15" s="364" t="s">
        <v>1413</v>
      </c>
      <c r="E15" s="364" t="s">
        <v>1414</v>
      </c>
      <c r="F15" s="365">
        <f>'数据-取费表'!B33</f>
        <v>0.05</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ROUND(INDIRECT("'数据-取费表'!l"&amp;$G$1)*F43*F16,0)</f>
        <v>0</v>
      </c>
      <c r="D16" s="346" t="s">
        <v>1413</v>
      </c>
      <c r="E16" s="346" t="s">
        <v>1414</v>
      </c>
      <c r="F16" s="366">
        <f ca="1">IF(INDIRECT("'数据-取费表'!c"&amp;$G$1)="住宅",'数据-取费表'!B34,0)</f>
        <v>0</v>
      </c>
      <c r="G16" s="1849"/>
      <c r="H16" s="1328" t="s">
        <v>1026</v>
      </c>
      <c r="I16" s="1329" t="s">
        <v>1416</v>
      </c>
      <c r="J16" s="354">
        <f ca="1">ROUND(J17+J22+J23+J24,0)</f>
        <v>0</v>
      </c>
      <c r="K16" s="1336" t="s">
        <v>1417</v>
      </c>
      <c r="L16" s="1337"/>
      <c r="M16" s="1293"/>
    </row>
    <row r="17" spans="1:37" s="1856" customFormat="1" ht="18" customHeight="1">
      <c r="A17" s="1200" t="s">
        <v>1382</v>
      </c>
      <c r="B17" s="346" t="s">
        <v>1418</v>
      </c>
      <c r="C17" s="24">
        <f ca="1">ROUND(F17*(F43+INDIRECT("'数据-取费表'!S"&amp;$G$1)),0)</f>
        <v>0</v>
      </c>
      <c r="D17" s="346" t="s">
        <v>1419</v>
      </c>
      <c r="E17" s="346" t="s">
        <v>1420</v>
      </c>
      <c r="F17" s="26">
        <f>'数据-取费表'!B35</f>
        <v>200</v>
      </c>
      <c r="G17" s="1852"/>
      <c r="H17" s="1200" t="s">
        <v>1031</v>
      </c>
      <c r="I17" s="346" t="s">
        <v>1421</v>
      </c>
      <c r="J17" s="24">
        <f ca="1">ROUND(IF(项目基本情况!B11="自然人",J5*M17,J18+J19+J20),0)</f>
        <v>0</v>
      </c>
      <c r="K17" s="1798" t="s">
        <v>1422</v>
      </c>
      <c r="L17" s="179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0</v>
      </c>
      <c r="D18" s="346" t="s">
        <v>1413</v>
      </c>
      <c r="E18" s="346" t="s">
        <v>1414</v>
      </c>
      <c r="F18" s="366">
        <f>'数据-取费表'!B36</f>
        <v>1.4999999999999999E-2</v>
      </c>
      <c r="G18" s="1852"/>
      <c r="H18" s="1200" t="s">
        <v>1030</v>
      </c>
      <c r="I18" s="346" t="s">
        <v>1425</v>
      </c>
      <c r="J18" s="24">
        <f ca="1">ROUND(J5*M18/(1+'数据-取费表'!C42),0)</f>
        <v>0</v>
      </c>
      <c r="K18" s="179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0</v>
      </c>
      <c r="D19" s="139" t="s">
        <v>1428</v>
      </c>
      <c r="E19" s="1816"/>
      <c r="F19" s="26"/>
      <c r="G19" s="1849"/>
      <c r="H19" s="1200" t="s">
        <v>1032</v>
      </c>
      <c r="I19" s="346" t="s">
        <v>1429</v>
      </c>
      <c r="J19" s="24">
        <f ca="1">IF(K19="按租金收入计税",ROUND(J5*M19,0),ROUND(C29*M19*0.7,0))</f>
        <v>0</v>
      </c>
      <c r="K19" s="1826" t="s">
        <v>1430</v>
      </c>
      <c r="L19" s="346" t="s">
        <v>1414</v>
      </c>
      <c r="M19" s="366">
        <f>IF(K19="按租金收入计税",'数据-取费表'!B51,'数据-取费表'!B50)</f>
        <v>1.2E-2</v>
      </c>
    </row>
    <row r="20" spans="1:37" s="1856" customFormat="1" ht="18" customHeight="1">
      <c r="A20" s="1200" t="s">
        <v>1035</v>
      </c>
      <c r="B20" s="346" t="s">
        <v>1431</v>
      </c>
      <c r="C20" s="24">
        <f ca="1">ROUND(C19*F20,0)</f>
        <v>0</v>
      </c>
      <c r="D20" s="368" t="s">
        <v>1432</v>
      </c>
      <c r="E20" s="346" t="s">
        <v>1414</v>
      </c>
      <c r="F20" s="366">
        <f>'数据-取费表'!B37</f>
        <v>0.02</v>
      </c>
      <c r="G20" s="1852"/>
      <c r="H20" s="1200" t="s">
        <v>1381</v>
      </c>
      <c r="I20" s="163" t="s">
        <v>1433</v>
      </c>
      <c r="J20" s="25">
        <f ca="1">ROUND(M20*M21,0)</f>
        <v>0</v>
      </c>
      <c r="K20" s="369" t="s">
        <v>1434</v>
      </c>
      <c r="L20" s="346" t="s">
        <v>1435</v>
      </c>
      <c r="M20" s="370">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v>
      </c>
      <c r="D21" s="368" t="s">
        <v>1437</v>
      </c>
      <c r="E21" s="346" t="s">
        <v>1438</v>
      </c>
      <c r="F21" s="366">
        <f>'数据-取费表'!B38</f>
        <v>0.02</v>
      </c>
      <c r="G21" s="1852"/>
      <c r="H21" s="371"/>
      <c r="I21" s="355"/>
      <c r="J21" s="29"/>
      <c r="K21" s="372"/>
      <c r="L21" s="346" t="s">
        <v>1439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1816"/>
      <c r="F22" s="26"/>
      <c r="G22" s="1849"/>
      <c r="H22" s="1200" t="s">
        <v>1035</v>
      </c>
      <c r="I22" s="346" t="s">
        <v>1441</v>
      </c>
      <c r="J22" s="24">
        <f ca="1">ROUND(J14*M22,0)</f>
        <v>0</v>
      </c>
      <c r="K22" s="1796" t="s">
        <v>1442</v>
      </c>
      <c r="L22" s="346" t="s">
        <v>1414</v>
      </c>
      <c r="M22" s="373">
        <f ca="1">INDIRECT("'数据-取费表'!Ak"&amp;$G$1)</f>
        <v>0</v>
      </c>
    </row>
    <row r="23" spans="1:37" s="1856" customFormat="1" ht="18" customHeight="1">
      <c r="A23" s="1200" t="s">
        <v>1030</v>
      </c>
      <c r="B23" s="346" t="s">
        <v>1443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ROUND(J13*M23,0)</f>
        <v>0</v>
      </c>
      <c r="K23" s="1796" t="s">
        <v>1446</v>
      </c>
      <c r="L23" s="346" t="s">
        <v>1447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1448</v>
      </c>
      <c r="B24" s="346" t="s">
        <v>1449</v>
      </c>
      <c r="C24" s="24">
        <f ca="1">ROUND(IF('数据-取费表'!B22&lt;=1,F21*F24*F23/2,F21*(POWER((1+F24),F23/2)-1)),4)</f>
        <v>1E-3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ROUND(J5*M24,0)</f>
        <v>0</v>
      </c>
      <c r="K24" s="1341" t="s">
        <v>1451</v>
      </c>
      <c r="L24" s="1339" t="s">
        <v>1447</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1452</v>
      </c>
      <c r="B25" s="346" t="s">
        <v>1453</v>
      </c>
      <c r="C25" s="24"/>
      <c r="D25" s="139" t="s">
        <v>1454</v>
      </c>
      <c r="E25" s="1816"/>
      <c r="F25" s="26"/>
      <c r="G25" s="1849"/>
      <c r="H25" s="1328" t="s">
        <v>1027</v>
      </c>
      <c r="I25" s="1343" t="s">
        <v>1455</v>
      </c>
      <c r="J25" s="354">
        <f ca="1">J5-J16</f>
        <v>0</v>
      </c>
      <c r="K25" s="1344" t="s">
        <v>1456</v>
      </c>
      <c r="L25" s="1345"/>
      <c r="M25" s="1346"/>
    </row>
    <row r="26" spans="1:37" ht="18" customHeight="1">
      <c r="A26" s="1200" t="s">
        <v>1030</v>
      </c>
      <c r="B26" s="346" t="s">
        <v>1457</v>
      </c>
      <c r="C26" s="24">
        <f ca="1">ROUND((C19+C20)*F26,0)</f>
        <v>0</v>
      </c>
      <c r="D26" s="368" t="s">
        <v>1458</v>
      </c>
      <c r="E26" s="357" t="s">
        <v>1459</v>
      </c>
      <c r="F26" s="356">
        <f ca="1">INDIRECT("'数据-取费表'!q"&amp;$G$1)</f>
        <v>0</v>
      </c>
      <c r="G26" s="1849"/>
      <c r="H26" s="343" t="s">
        <v>1028</v>
      </c>
      <c r="I26" s="344" t="s">
        <v>1460</v>
      </c>
      <c r="J26" s="345">
        <f ca="1">IF(J5&lt;&gt;0,ROUND(J25*(1-((1+M28)/(1+M26))^M27)/(M26-M28),0),0)</f>
        <v>0</v>
      </c>
      <c r="K26" s="369" t="s">
        <v>1461</v>
      </c>
      <c r="L26" s="346" t="s">
        <v>1462</v>
      </c>
      <c r="M26" s="356">
        <f ca="1">INDIRECT("'数据-取费表'!I"&amp;$G$1)</f>
        <v>0</v>
      </c>
    </row>
    <row r="27" spans="1:37" ht="18" customHeight="1">
      <c r="A27" s="1200" t="s">
        <v>1032</v>
      </c>
      <c r="B27" s="346" t="s">
        <v>1463</v>
      </c>
      <c r="C27" s="24">
        <f ca="1">ROUND(F21*F26,4)</f>
        <v>0</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0</v>
      </c>
      <c r="D29" s="1341"/>
      <c r="E29" s="1339"/>
      <c r="F29" s="1342"/>
      <c r="G29" s="1852"/>
      <c r="H29" s="379" t="s">
        <v>1029</v>
      </c>
      <c r="I29" s="380" t="s">
        <v>1471</v>
      </c>
      <c r="J29" s="381">
        <f ca="1">ROUND(J26/(1+F40)^F41,0)</f>
        <v>0</v>
      </c>
      <c r="K29" s="382" t="s">
        <v>1472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0</v>
      </c>
      <c r="D30" s="1336" t="s">
        <v>1417</v>
      </c>
      <c r="E30" s="1337"/>
      <c r="F30" s="1293"/>
      <c r="G30" s="1849"/>
      <c r="H30" s="744"/>
      <c r="I30" s="745"/>
      <c r="J30" s="746"/>
      <c r="K30" s="747"/>
      <c r="L30" s="748"/>
      <c r="M30" s="749"/>
    </row>
    <row r="31" spans="1:37" ht="18" customHeight="1">
      <c r="A31" s="1200" t="s">
        <v>1031</v>
      </c>
      <c r="B31" s="346" t="s">
        <v>1421</v>
      </c>
      <c r="C31" s="24">
        <f ca="1">ROUND(IF(项目基本情况!B11="自然人",C5*F31,C32+C33+C34),0)</f>
        <v>0</v>
      </c>
      <c r="D31" s="1798" t="s">
        <v>1422</v>
      </c>
      <c r="E31" s="179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IF(项目基本情况!B11="自然人","——",ROUND(C5*F32/(1+'数据-取费表'!C42),0))</f>
        <v>0</v>
      </c>
      <c r="D32" s="179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IF(项目基本情况!B11="自然人","——",IF(D33="按租金收入计税",ROUND(C5*F33,0),IF(D33="按房产原值计税",ROUND(C29*F33*0.7,0),INDIRECT("'数据-取费表'!Aj"&amp;$G$1))))</f>
        <v>0</v>
      </c>
      <c r="D33" s="1826" t="s">
        <v>1430</v>
      </c>
      <c r="E33" s="346" t="s">
        <v>1414</v>
      </c>
      <c r="F33" s="366">
        <f>IF(D33="按票据","——",IF(D33="按租金收入计税",'数据-取费表'!B51,'数据-取费表'!B50))</f>
        <v>1.2E-2</v>
      </c>
      <c r="G33" s="1849"/>
      <c r="H33" s="1857"/>
      <c r="I33" s="1858"/>
      <c r="J33" s="1859"/>
      <c r="K33" s="1860"/>
      <c r="L33" s="1857"/>
      <c r="M33" s="1857"/>
    </row>
    <row r="34" spans="1:18" ht="18" customHeight="1">
      <c r="A34" s="1290" t="s">
        <v>1381</v>
      </c>
      <c r="B34" s="163" t="s">
        <v>1433</v>
      </c>
      <c r="C34" s="25">
        <f ca="1">IF(项目基本情况!B11="自然人","——",ROUND(F34*F35,))</f>
        <v>0</v>
      </c>
      <c r="D34" s="369" t="s">
        <v>1434</v>
      </c>
      <c r="E34" s="346" t="s">
        <v>1435</v>
      </c>
      <c r="F34" s="370">
        <f>'数据-取费表'!B52</f>
        <v>1.5</v>
      </c>
      <c r="G34" s="1849"/>
      <c r="H34" s="744"/>
      <c r="I34" s="1858"/>
      <c r="J34" s="1859"/>
      <c r="K34" s="1861"/>
      <c r="L34" s="1862"/>
      <c r="M34" s="1862"/>
    </row>
    <row r="35" spans="1:18" ht="18" customHeight="1">
      <c r="A35" s="1352"/>
      <c r="B35" s="1350"/>
      <c r="C35" s="29"/>
      <c r="D35" s="372"/>
      <c r="E35" s="346" t="s">
        <v>1439</v>
      </c>
      <c r="F35" s="347">
        <f ca="1">INDIRECT("'数据-取费表'!r"&amp;$G$1)</f>
        <v>0</v>
      </c>
      <c r="G35" s="1849"/>
      <c r="H35" s="744"/>
      <c r="I35" s="1858"/>
      <c r="J35" s="1859"/>
      <c r="K35" s="1860"/>
      <c r="L35" s="1857"/>
      <c r="M35" s="1857"/>
    </row>
    <row r="36" spans="1:18" ht="18" customHeight="1">
      <c r="A36" s="1351" t="s">
        <v>1035</v>
      </c>
      <c r="B36" s="346" t="s">
        <v>1441</v>
      </c>
      <c r="C36" s="24">
        <f ca="1">ROUND(C29*F36,0)</f>
        <v>0</v>
      </c>
      <c r="D36" s="1796" t="s">
        <v>1474</v>
      </c>
      <c r="E36" s="346" t="s">
        <v>1414</v>
      </c>
      <c r="F36" s="373">
        <f ca="1">INDIRECT("'数据-取费表'!Ak"&amp;$G$1)</f>
        <v>0</v>
      </c>
      <c r="G36" s="1849"/>
      <c r="H36" s="1857"/>
      <c r="I36" s="1858"/>
      <c r="J36" s="1859"/>
      <c r="K36" s="750"/>
      <c r="L36" s="1857"/>
      <c r="M36" s="1857"/>
    </row>
    <row r="37" spans="1:18" ht="18" customHeight="1">
      <c r="A37" s="1200" t="s">
        <v>1071</v>
      </c>
      <c r="B37" s="346" t="s">
        <v>1445</v>
      </c>
      <c r="C37" s="24">
        <f ca="1">ROUND(C13*F37,0)</f>
        <v>0</v>
      </c>
      <c r="D37" s="1796" t="s">
        <v>1446</v>
      </c>
      <c r="E37" s="346" t="s">
        <v>1447</v>
      </c>
      <c r="F37" s="375">
        <f ca="1">INDIRECT("'数据-取费表'!Al"&amp;$G$1)</f>
        <v>0</v>
      </c>
      <c r="G37" s="1849"/>
      <c r="H37" s="1857"/>
      <c r="I37" s="1858"/>
      <c r="J37" s="1859"/>
      <c r="K37" s="750"/>
      <c r="L37" s="1857"/>
      <c r="M37" s="1857"/>
    </row>
    <row r="38" spans="1:18" ht="18" customHeight="1" thickBot="1">
      <c r="A38" s="1338" t="s">
        <v>1385</v>
      </c>
      <c r="B38" s="1339" t="s">
        <v>1431</v>
      </c>
      <c r="C38" s="1340">
        <f ca="1">ROUND(C5*F38,1)</f>
        <v>0</v>
      </c>
      <c r="D38" s="1341" t="s">
        <v>1451</v>
      </c>
      <c r="E38" s="1339" t="s">
        <v>1447</v>
      </c>
      <c r="F38" s="1335">
        <f ca="1">INDIRECT("'数据-取费表'!Am"&amp;$G$1)</f>
        <v>0</v>
      </c>
      <c r="G38" s="1849"/>
      <c r="H38" s="1857"/>
      <c r="I38" s="1858"/>
      <c r="J38" s="1859"/>
      <c r="K38" s="1863"/>
      <c r="L38" s="1857"/>
      <c r="M38" s="1857"/>
    </row>
    <row r="39" spans="1:18" ht="24.6" customHeight="1" thickTop="1">
      <c r="A39" s="1328" t="s">
        <v>1027</v>
      </c>
      <c r="B39" s="1343" t="s">
        <v>1475</v>
      </c>
      <c r="C39" s="354">
        <f ca="1">C5-C30</f>
        <v>0</v>
      </c>
      <c r="D39" s="1344" t="s">
        <v>1476</v>
      </c>
      <c r="E39" s="1345"/>
      <c r="F39" s="1346"/>
      <c r="G39" s="1849"/>
      <c r="H39" s="1857"/>
      <c r="I39" s="1858"/>
      <c r="J39" s="1859"/>
      <c r="K39" s="1863"/>
      <c r="L39" s="1857"/>
      <c r="M39" s="1857"/>
    </row>
    <row r="40" spans="1:18" ht="18" customHeight="1">
      <c r="A40" s="343" t="s">
        <v>1028</v>
      </c>
      <c r="B40" s="344" t="s">
        <v>1477</v>
      </c>
      <c r="C40" s="345" t="e">
        <f ca="1">ROUND(C39*(1-((1+F42)/(1+F40))^F41)/(F40-F42),0)</f>
        <v>#DIV/0!</v>
      </c>
      <c r="D40" s="369" t="s">
        <v>1461</v>
      </c>
      <c r="E40" s="346" t="s">
        <v>1462</v>
      </c>
      <c r="F40" s="356">
        <f ca="1">INDIRECT("'数据-取费表'!I"&amp;$G$1)</f>
        <v>0</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1469</v>
      </c>
      <c r="F42" s="356">
        <f ca="1">INDIRECT("'数据-取费表'!v"&amp;$G$1)</f>
        <v>0</v>
      </c>
      <c r="G42" s="1849"/>
      <c r="H42" s="731"/>
      <c r="I42" s="1858"/>
      <c r="J42" s="1859"/>
      <c r="K42" s="750"/>
      <c r="L42" s="731"/>
      <c r="M42" s="731"/>
    </row>
    <row r="43" spans="1:18" ht="18" customHeight="1" thickBot="1">
      <c r="A43" s="379" t="s">
        <v>1029</v>
      </c>
      <c r="B43" s="380" t="s">
        <v>1479</v>
      </c>
      <c r="C43" s="381" t="e">
        <f ca="1">ROUND(C40/F43,0)</f>
        <v>#DIV/0!</v>
      </c>
      <c r="D43" s="382" t="s">
        <v>1480</v>
      </c>
      <c r="E43" s="383" t="s">
        <v>1481</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1596</v>
      </c>
      <c r="E45" s="1864"/>
      <c r="F45" s="1864"/>
      <c r="O45" s="1867" t="s">
        <v>1511</v>
      </c>
      <c r="P45" s="1837"/>
      <c r="Q45" s="1837"/>
      <c r="R45" s="1837"/>
    </row>
    <row r="46" spans="1:18" s="1840" customFormat="1" ht="13.5" thickBot="1">
      <c r="A46" s="1868" t="s">
        <v>1512</v>
      </c>
      <c r="C46" s="1869" t="e">
        <f ca="1">ROUND(C45/10000,0)</f>
        <v>#DIV/0!</v>
      </c>
      <c r="D46" s="1870" t="str">
        <f>C2</f>
        <v>万元</v>
      </c>
      <c r="I46" s="1871" t="s">
        <v>1513</v>
      </c>
      <c r="J46" s="1872"/>
      <c r="K46" s="1873"/>
      <c r="L46" s="1874" t="e">
        <f ca="1">IF(M47="住宅",0,IF(L48&gt;J51,L60,J60))</f>
        <v>#DIV/0!</v>
      </c>
      <c r="O46" s="1875" t="s">
        <v>1514</v>
      </c>
      <c r="P46" s="1876" t="s">
        <v>1515</v>
      </c>
      <c r="Q46" s="1877" t="s">
        <v>1516</v>
      </c>
      <c r="R46" s="1877" t="s">
        <v>1517</v>
      </c>
    </row>
    <row r="47" spans="1:18" s="1840" customFormat="1" ht="13.5" thickBot="1">
      <c r="A47" s="1164" t="s">
        <v>1388</v>
      </c>
      <c r="B47" s="1196" t="s">
        <v>1389</v>
      </c>
      <c r="C47" s="1196" t="s">
        <v>1390</v>
      </c>
      <c r="D47" s="1196" t="s">
        <v>1391</v>
      </c>
      <c r="E47" s="1278" t="s">
        <v>1392</v>
      </c>
      <c r="F47" s="1279"/>
      <c r="G47" s="791"/>
      <c r="I47" s="1878" t="s">
        <v>1518</v>
      </c>
      <c r="J47" s="1879"/>
      <c r="K47" s="1880" t="s">
        <v>1519</v>
      </c>
      <c r="L47" s="1881">
        <f ca="1">INDIRECT("'数据-取费表'!d"&amp;$G$1)</f>
        <v>0</v>
      </c>
      <c r="M47" s="1836" t="str">
        <f>IF(ISNUMBER(FIND("住宅",C1)),"住宅","非住宅")</f>
        <v>非住宅</v>
      </c>
      <c r="O47" s="1882" t="s">
        <v>1036</v>
      </c>
      <c r="P47" s="1883" t="s">
        <v>1520</v>
      </c>
      <c r="Q47" s="1884" t="e">
        <f ca="1">C40+J29</f>
        <v>#DIV/0!</v>
      </c>
      <c r="R47" s="1884" t="s">
        <v>1521</v>
      </c>
    </row>
    <row r="48" spans="1:18" s="1840" customFormat="1" ht="28.5" thickBot="1">
      <c r="A48" s="1359" t="s">
        <v>1131</v>
      </c>
      <c r="B48" s="344" t="s">
        <v>1393</v>
      </c>
      <c r="C48" s="1815">
        <f ca="1">C49+C53+C55</f>
        <v>0</v>
      </c>
      <c r="D48" s="1361"/>
      <c r="E48" s="1362"/>
      <c r="F48" s="1180"/>
      <c r="G48" s="791"/>
      <c r="H48" s="792"/>
      <c r="I48" s="1885" t="s">
        <v>1522</v>
      </c>
      <c r="J48" s="1886"/>
      <c r="K48" s="1887" t="s">
        <v>1523</v>
      </c>
      <c r="L48" s="1888">
        <f ca="1">INDIRECT("'数据-取费表'!f"&amp;$G$1)</f>
        <v>0</v>
      </c>
      <c r="O48" s="1882" t="s">
        <v>1037</v>
      </c>
      <c r="P48" s="1883" t="s">
        <v>1524</v>
      </c>
      <c r="Q48" s="1884" t="e">
        <f ca="1">J60</f>
        <v>#DIV/0!</v>
      </c>
      <c r="R48" s="1884" t="s">
        <v>1525</v>
      </c>
    </row>
    <row r="49" spans="1:18" s="1840" customFormat="1" ht="13.5" thickBot="1">
      <c r="A49" s="1193" t="s">
        <v>1132</v>
      </c>
      <c r="B49" s="1827" t="s">
        <v>1482</v>
      </c>
      <c r="C49" s="1363">
        <f ca="1">ROUND(F49*F51*F50*(1-F52),0)</f>
        <v>0</v>
      </c>
      <c r="D49" s="1275" t="s">
        <v>1396</v>
      </c>
      <c r="E49" s="1828" t="s">
        <v>1483</v>
      </c>
      <c r="F49" s="1280"/>
      <c r="G49" s="1889"/>
      <c r="H49" s="792"/>
      <c r="I49" s="1885" t="s">
        <v>1526</v>
      </c>
      <c r="J49" s="1890"/>
      <c r="K49" s="1887" t="s">
        <v>1527</v>
      </c>
      <c r="L49" s="1891"/>
      <c r="O49" s="1892" t="s">
        <v>1038</v>
      </c>
      <c r="P49" s="1883" t="s">
        <v>1528</v>
      </c>
      <c r="Q49" s="1884">
        <f ca="1">C29</f>
        <v>0</v>
      </c>
      <c r="R49" s="1884" t="s">
        <v>1521</v>
      </c>
    </row>
    <row r="50" spans="1:18" s="1840" customFormat="1" ht="13.5" thickBot="1">
      <c r="A50" s="1194"/>
      <c r="B50" s="1197"/>
      <c r="C50" s="1198"/>
      <c r="D50" s="1171"/>
      <c r="E50" s="1276" t="s">
        <v>1398</v>
      </c>
      <c r="F50" s="1277">
        <f ca="1">F7</f>
        <v>0</v>
      </c>
      <c r="H50" s="792"/>
      <c r="I50" s="1885" t="s">
        <v>1529</v>
      </c>
      <c r="J50" s="1893">
        <f>SUMPRODUCT((I63:I65=J47)*(J62:L62=J48)*(J63:L65))</f>
        <v>0</v>
      </c>
      <c r="K50" s="1887" t="s">
        <v>1530</v>
      </c>
      <c r="L50" s="1891"/>
      <c r="M50" s="1894"/>
      <c r="O50" s="1892" t="s">
        <v>1039</v>
      </c>
      <c r="P50" s="1883" t="s">
        <v>1531</v>
      </c>
      <c r="Q50" s="1895" t="e">
        <f ca="1">J58</f>
        <v>#DIV/0!</v>
      </c>
      <c r="R50" s="1884"/>
    </row>
    <row r="51" spans="1:18" s="1840" customFormat="1" ht="13.5" thickBot="1">
      <c r="A51" s="1195"/>
      <c r="B51" s="1197"/>
      <c r="C51" s="1198"/>
      <c r="D51" s="1171"/>
      <c r="E51" s="1199" t="s">
        <v>1399</v>
      </c>
      <c r="F51" s="347">
        <f ca="1">F8</f>
        <v>0</v>
      </c>
      <c r="I51" s="1896" t="s">
        <v>1532</v>
      </c>
      <c r="J51" s="1897">
        <f>IF(J49="",J50,J49+J50-YEAR('数据-取费表'!B2))</f>
        <v>0</v>
      </c>
      <c r="K51" s="1898" t="s">
        <v>1533</v>
      </c>
      <c r="L51" s="1899">
        <f ca="1">ROUND(-PV(INDIRECT("'数据-取费表'!h"&amp;$G$1),L48,(C39-C13*C76),0),0)</f>
        <v>0</v>
      </c>
      <c r="M51" s="1900"/>
      <c r="O51" s="1892" t="s">
        <v>1040</v>
      </c>
      <c r="P51" s="1883" t="s">
        <v>1534</v>
      </c>
      <c r="Q51" s="1895">
        <f>J52</f>
        <v>0</v>
      </c>
      <c r="R51" s="1884"/>
    </row>
    <row r="52" spans="1:18" s="1840" customFormat="1" ht="13.5" thickBot="1">
      <c r="A52" s="1195"/>
      <c r="B52" s="1197"/>
      <c r="C52" s="1198"/>
      <c r="D52" s="1171"/>
      <c r="E52" s="1199" t="s">
        <v>1400</v>
      </c>
      <c r="F52" s="1274"/>
      <c r="I52" s="1901" t="s">
        <v>1535</v>
      </c>
      <c r="J52" s="1902"/>
      <c r="K52" s="1901" t="s">
        <v>1536</v>
      </c>
      <c r="L52" s="1902"/>
      <c r="O52" s="1892" t="s">
        <v>1041</v>
      </c>
      <c r="P52" s="1883" t="s">
        <v>1537</v>
      </c>
      <c r="Q52" s="1884" t="b">
        <f>J53</f>
        <v>0</v>
      </c>
      <c r="R52" s="1884" t="s">
        <v>1538</v>
      </c>
    </row>
    <row r="53" spans="1:18" s="1840" customFormat="1" ht="30.75" customHeight="1" thickBot="1">
      <c r="A53" s="1360" t="s">
        <v>1133</v>
      </c>
      <c r="B53" s="368" t="s">
        <v>1401</v>
      </c>
      <c r="C53" s="360">
        <f ca="1">ROUND(IF(F53="押一",C49/12*F11,IF(F53="押二",C49/12*2*F11,IF(F53="押三",C49/12*3*F11,C54*F11))),0)</f>
        <v>0</v>
      </c>
      <c r="D53" s="1822" t="s">
        <v>2992</v>
      </c>
      <c r="E53" s="357" t="s">
        <v>1402</v>
      </c>
      <c r="F53" s="1365"/>
      <c r="I53" s="1903" t="s">
        <v>1539</v>
      </c>
      <c r="J53" s="1904" t="b">
        <f>IF(M47="住宅",IF(D1="——",MAX(J51,L48),IF(D1="在建（套用方法）",MAX(J51,L48-'数据-取费表'!B24),MAX(J51,L48-'数据-取费表'!B20))),IF(D1="——",MIN(J51,L48),IF(D1="在建（套用方法）",MIN(J51,L48-'数据-取费表'!B24),IF(D1="土地（套用方法）",MIN(J51,L48-'数据-取费表'!B20)))))</f>
        <v>0</v>
      </c>
      <c r="K53" s="3263" t="s">
        <v>1540</v>
      </c>
      <c r="L53" s="3264"/>
      <c r="O53" s="1882" t="s">
        <v>1042</v>
      </c>
      <c r="P53" s="1883" t="s">
        <v>1541</v>
      </c>
      <c r="Q53" s="1884" t="e">
        <f ca="1">Q47+Q48</f>
        <v>#DIV/0!</v>
      </c>
      <c r="R53" s="1884" t="s">
        <v>1043</v>
      </c>
    </row>
    <row r="54" spans="1:18" s="1840" customFormat="1" ht="13.5" thickBot="1">
      <c r="A54" s="1193"/>
      <c r="B54" s="1939" t="s">
        <v>1595</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1542</v>
      </c>
      <c r="P54" s="1837"/>
      <c r="Q54" s="1837"/>
      <c r="R54" s="1837"/>
    </row>
    <row r="55" spans="1:18" s="1840" customFormat="1" ht="13.5" thickBot="1">
      <c r="A55" s="1332" t="s">
        <v>1071</v>
      </c>
      <c r="B55" s="1825" t="s">
        <v>1405</v>
      </c>
      <c r="C55" s="1333"/>
      <c r="D55" s="1822"/>
      <c r="E55" s="1830"/>
      <c r="F55" s="1905"/>
      <c r="I55" s="1908" t="s">
        <v>1543</v>
      </c>
      <c r="J55" s="1909" t="e">
        <f ca="1">ROUND(IF(J47="钢混",J57/J50,1-(1-2%)*(J50-J57)/J50),3)</f>
        <v>#DIV/0!</v>
      </c>
      <c r="K55" s="1910" t="s">
        <v>1544</v>
      </c>
      <c r="L55" s="1911"/>
      <c r="O55" s="1875" t="s">
        <v>1514</v>
      </c>
      <c r="P55" s="1876" t="s">
        <v>1515</v>
      </c>
      <c r="Q55" s="1877" t="s">
        <v>1516</v>
      </c>
      <c r="R55" s="1877" t="s">
        <v>1517</v>
      </c>
    </row>
    <row r="56" spans="1:18" s="1840" customFormat="1" ht="36" customHeight="1" thickTop="1" thickBot="1">
      <c r="A56" s="1175">
        <v>2</v>
      </c>
      <c r="B56" s="1176" t="s">
        <v>1406</v>
      </c>
      <c r="C56" s="275">
        <f ca="1">C13</f>
        <v>0</v>
      </c>
      <c r="D56" s="1912"/>
      <c r="E56" s="1913"/>
      <c r="F56" s="1905"/>
      <c r="I56" s="1914" t="s">
        <v>1546</v>
      </c>
      <c r="J56" s="1915"/>
      <c r="K56" s="1885" t="s">
        <v>1547</v>
      </c>
      <c r="L56" s="1888">
        <f ca="1">IF(L48&lt;J51,"——",L48-J51)</f>
        <v>0</v>
      </c>
      <c r="O56" s="1882" t="s">
        <v>1036</v>
      </c>
      <c r="P56" s="1883" t="s">
        <v>1520</v>
      </c>
      <c r="Q56" s="1884" t="e">
        <f ca="1">C40+J29</f>
        <v>#DIV/0!</v>
      </c>
      <c r="R56" s="1884" t="s">
        <v>1521</v>
      </c>
    </row>
    <row r="57" spans="1:18" s="1840" customFormat="1" ht="24.75" thickBot="1">
      <c r="A57" s="1916"/>
      <c r="B57" s="1168" t="s">
        <v>1470</v>
      </c>
      <c r="C57" s="281">
        <f ca="1">C29</f>
        <v>0</v>
      </c>
      <c r="D57" s="1917"/>
      <c r="E57" s="1918"/>
      <c r="F57" s="1919"/>
      <c r="I57" s="1920" t="s">
        <v>1548</v>
      </c>
      <c r="J57" s="1921">
        <f ca="1">IF(OR(M47="住宅",J51&lt;L48,J56="是"),"——",J51-L48)</f>
        <v>0</v>
      </c>
      <c r="K57" s="1885" t="s">
        <v>1597</v>
      </c>
      <c r="L57" s="1888">
        <f ca="1">IF(L48&lt;J51,"——",IF(L55="比较法",L49,IF(L55="基准地价",L50,L51)))</f>
        <v>0</v>
      </c>
      <c r="O57" s="1882" t="s">
        <v>1037</v>
      </c>
      <c r="P57" s="1883" t="s">
        <v>1598</v>
      </c>
      <c r="Q57" s="1884" t="e">
        <f ca="1">L60</f>
        <v>#DIV/0!</v>
      </c>
      <c r="R57" s="1884" t="s">
        <v>1599</v>
      </c>
    </row>
    <row r="58" spans="1:18" s="1840" customFormat="1" ht="24.75" thickBot="1">
      <c r="A58" s="359" t="s">
        <v>1026</v>
      </c>
      <c r="B58" s="1176" t="s">
        <v>1416</v>
      </c>
      <c r="C58" s="360">
        <f ca="1">ROUND(C59+C64+C65+C66,0)</f>
        <v>0</v>
      </c>
      <c r="D58" s="1178" t="s">
        <v>1417</v>
      </c>
      <c r="E58" s="1179"/>
      <c r="F58" s="1180"/>
      <c r="I58" s="1920" t="s">
        <v>1552</v>
      </c>
      <c r="J58" s="1922" t="e">
        <f ca="1">IF(J55&lt;0.4,0.4,J55)</f>
        <v>#DIV/0!</v>
      </c>
      <c r="K58" s="1898" t="s">
        <v>1600</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ROUND(IF(项目基本情况!B11="自然人",C48*F59,C60+C61+C62),0)</f>
        <v>0</v>
      </c>
      <c r="D59" s="1181" t="s">
        <v>1422</v>
      </c>
      <c r="E59" s="1182" t="s">
        <v>1423</v>
      </c>
      <c r="F59" s="367" t="str">
        <f ca="1">IF(项目基本情况!B11="企业","",IF(INDIRECT("'数据-取费表'!c"&amp;$G$1)="住宅",5%,IF(F49*F50*F51/12/(1+'数据-取费表'!C42)&gt;20000,12%,7%)))</f>
        <v/>
      </c>
      <c r="I59" s="1920" t="s">
        <v>1555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IF(项目基本情况!B11="自然人","——",ROUND(C48*F60/(1+'数据-取费表'!C42),0))</f>
        <v>0</v>
      </c>
      <c r="D60" s="1182" t="s">
        <v>1426</v>
      </c>
      <c r="E60" s="1168" t="s">
        <v>1414</v>
      </c>
      <c r="F60" s="376">
        <f t="shared" ref="F60:F66" si="0">F32</f>
        <v>5.6000000000000001E-2</v>
      </c>
      <c r="I60" s="1923" t="s">
        <v>1557</v>
      </c>
      <c r="J60" s="1924" t="e">
        <f ca="1">IF(OR(M47="住宅",J51&lt;L48,J56="是"),"0",ROUND(J59/(1+J52)^J53,0))</f>
        <v>#DIV/0!</v>
      </c>
      <c r="K60" s="1925" t="s">
        <v>1558</v>
      </c>
      <c r="L60" s="1924" t="e">
        <f ca="1">IF(OR(M47="住宅",L48&lt;J51),0,ROUND(L57*(L58/L59-1),0))</f>
        <v>#DIV/0!</v>
      </c>
      <c r="O60" s="1892" t="s">
        <v>1040</v>
      </c>
      <c r="P60" s="1883" t="s">
        <v>1559</v>
      </c>
      <c r="Q60" s="1884" t="e">
        <f ca="1">L58</f>
        <v>#DIV/0!</v>
      </c>
      <c r="R60" s="1884" t="s">
        <v>1560</v>
      </c>
    </row>
    <row r="61" spans="1:18" s="1840" customFormat="1" ht="13.5" thickBot="1">
      <c r="A61" s="1200" t="s">
        <v>1484</v>
      </c>
      <c r="B61" s="1168" t="s">
        <v>1485</v>
      </c>
      <c r="C61" s="24">
        <f ca="1">IF(项目基本情况!B11="自然人","——",IF(D61="按租金收入计税",ROUND(C48*F61,0),IF(D61="按房产原值计税",ROUND(C57*F61*0.7,0),INDIRECT("'数据-取费表'!Aj"&amp;$G$1))))</f>
        <v>0</v>
      </c>
      <c r="D61" s="1826" t="s">
        <v>1430</v>
      </c>
      <c r="E61" s="1168" t="s">
        <v>1486</v>
      </c>
      <c r="F61" s="366">
        <f t="shared" si="0"/>
        <v>1.2E-2</v>
      </c>
      <c r="I61" s="1926"/>
      <c r="J61" s="1926"/>
      <c r="K61" s="1926"/>
      <c r="L61" s="1926"/>
      <c r="O61" s="1892" t="s">
        <v>1041</v>
      </c>
      <c r="P61" s="1883" t="str">
        <f>K59</f>
        <v>建设期及建筑物耐用年限下的土地年期修正系数Kn</v>
      </c>
      <c r="Q61" s="1884" t="e">
        <f ca="1">L59</f>
        <v>#DIV/0!</v>
      </c>
      <c r="R61" s="1884" t="s">
        <v>1561</v>
      </c>
    </row>
    <row r="62" spans="1:18" s="1840" customFormat="1" ht="13.5" thickBot="1">
      <c r="A62" s="1200" t="s">
        <v>1487</v>
      </c>
      <c r="B62" s="1167" t="s">
        <v>1488</v>
      </c>
      <c r="C62" s="25">
        <f ca="1">IF(项目基本情况!B11="自然人","——",ROUND(F62*F63,0))</f>
        <v>0</v>
      </c>
      <c r="D62" s="1183" t="s">
        <v>1489</v>
      </c>
      <c r="E62" s="1168" t="s">
        <v>1490</v>
      </c>
      <c r="F62" s="370">
        <f t="shared" si="0"/>
        <v>1.5</v>
      </c>
      <c r="I62" s="1927" t="s">
        <v>1562</v>
      </c>
      <c r="J62" s="1928" t="s">
        <v>1563</v>
      </c>
      <c r="K62" s="1928" t="s">
        <v>1564</v>
      </c>
      <c r="L62" s="1928" t="s">
        <v>1565</v>
      </c>
      <c r="M62" s="1929" t="s">
        <v>1566</v>
      </c>
      <c r="O62" s="1882" t="s">
        <v>1042</v>
      </c>
      <c r="P62" s="1883" t="s">
        <v>1567</v>
      </c>
      <c r="Q62" s="1884" t="e">
        <f ca="1">Q56+Q57</f>
        <v>#DIV/0!</v>
      </c>
      <c r="R62" s="1884" t="s">
        <v>1043</v>
      </c>
    </row>
    <row r="63" spans="1:18" s="1840" customFormat="1" ht="13.5" thickBot="1">
      <c r="A63" s="371"/>
      <c r="B63" s="1174"/>
      <c r="C63" s="29"/>
      <c r="D63" s="1184"/>
      <c r="E63" s="1168" t="s">
        <v>1491</v>
      </c>
      <c r="F63" s="347">
        <f t="shared" ca="1" si="0"/>
        <v>0</v>
      </c>
      <c r="I63" s="1927" t="s">
        <v>1568</v>
      </c>
      <c r="J63" s="1928">
        <v>70</v>
      </c>
      <c r="K63" s="1928">
        <v>50</v>
      </c>
      <c r="L63" s="1928">
        <v>80</v>
      </c>
      <c r="M63" s="1930">
        <v>0.02</v>
      </c>
      <c r="O63" s="1867" t="s">
        <v>1569</v>
      </c>
      <c r="P63" s="1837"/>
      <c r="Q63" s="1837"/>
      <c r="R63" s="1837"/>
    </row>
    <row r="64" spans="1:18" s="1840" customFormat="1" ht="13.5" thickBot="1">
      <c r="A64" s="1200" t="s">
        <v>1492</v>
      </c>
      <c r="B64" s="1168" t="s">
        <v>1493</v>
      </c>
      <c r="C64" s="24">
        <f ca="1">ROUND(C57*F64,0)</f>
        <v>0</v>
      </c>
      <c r="D64" s="1182" t="s">
        <v>1494</v>
      </c>
      <c r="E64" s="1168" t="s">
        <v>1486</v>
      </c>
      <c r="F64" s="373">
        <f t="shared" ca="1" si="0"/>
        <v>0</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ROUND(C56*F65,0)</f>
        <v>0</v>
      </c>
      <c r="D65" s="1182" t="s">
        <v>1446</v>
      </c>
      <c r="E65" s="1168" t="s">
        <v>1447</v>
      </c>
      <c r="F65" s="375">
        <f t="shared" ca="1" si="0"/>
        <v>0</v>
      </c>
      <c r="I65" s="1927" t="s">
        <v>1571</v>
      </c>
      <c r="J65" s="1928">
        <v>40</v>
      </c>
      <c r="K65" s="1928">
        <v>30</v>
      </c>
      <c r="L65" s="1928">
        <v>50</v>
      </c>
      <c r="M65" s="1930">
        <v>0.02</v>
      </c>
      <c r="O65" s="1882" t="s">
        <v>1036</v>
      </c>
      <c r="P65" s="1883" t="s">
        <v>1572</v>
      </c>
      <c r="Q65" s="1884" t="e">
        <f ca="1">C40+J29</f>
        <v>#DIV/0!</v>
      </c>
      <c r="R65" s="1884" t="s">
        <v>1521</v>
      </c>
    </row>
    <row r="66" spans="1:18" s="1840" customFormat="1" ht="16.5" thickBot="1">
      <c r="A66" s="1200" t="s">
        <v>1496</v>
      </c>
      <c r="B66" s="1168" t="s">
        <v>1431</v>
      </c>
      <c r="C66" s="24">
        <f ca="1">ROUND(C48*F66,0)</f>
        <v>0</v>
      </c>
      <c r="D66" s="1182" t="s">
        <v>1497</v>
      </c>
      <c r="E66" s="1168" t="s">
        <v>1414</v>
      </c>
      <c r="F66" s="356">
        <f t="shared" ca="1" si="0"/>
        <v>0</v>
      </c>
      <c r="O66" s="1882" t="s">
        <v>1037</v>
      </c>
      <c r="P66" s="1883" t="s">
        <v>1550</v>
      </c>
      <c r="Q66" s="1884" t="e">
        <f ca="1">L60</f>
        <v>#DIV/0!</v>
      </c>
      <c r="R66" s="1884" t="s">
        <v>1573</v>
      </c>
    </row>
    <row r="67" spans="1:18" s="1840" customFormat="1" ht="16.5" thickBot="1">
      <c r="A67" s="1175" t="s">
        <v>1027</v>
      </c>
      <c r="B67" s="1185" t="s">
        <v>1455</v>
      </c>
      <c r="C67" s="360">
        <f ca="1">C48-C58</f>
        <v>0</v>
      </c>
      <c r="D67" s="1181" t="s">
        <v>1456</v>
      </c>
      <c r="E67" s="1186"/>
      <c r="F67" s="1187"/>
      <c r="O67" s="1892" t="s">
        <v>1038</v>
      </c>
      <c r="P67" s="1883" t="s">
        <v>1554</v>
      </c>
      <c r="Q67" s="1931">
        <f ca="1">L51</f>
        <v>0</v>
      </c>
      <c r="R67" s="1884" t="s">
        <v>1574</v>
      </c>
    </row>
    <row r="68" spans="1:18" s="1840" customFormat="1" ht="16.5" thickBot="1">
      <c r="A68" s="1165" t="s">
        <v>1028</v>
      </c>
      <c r="B68" s="1166" t="s">
        <v>1477</v>
      </c>
      <c r="C68" s="345" t="e">
        <f ca="1">ROUND(C67*(1-((1+F70)/(1+F68))^F69)/(F68-F70),0)</f>
        <v>#DIV/0!</v>
      </c>
      <c r="D68" s="1183" t="s">
        <v>1461</v>
      </c>
      <c r="E68" s="1168" t="s">
        <v>1462</v>
      </c>
      <c r="F68" s="356">
        <f ca="1">F40</f>
        <v>0</v>
      </c>
      <c r="O68" s="1892" t="s">
        <v>1039</v>
      </c>
      <c r="P68" s="1932" t="s">
        <v>1575</v>
      </c>
      <c r="Q68" s="1884">
        <f ca="1">ROUND(Q69-Q70*Q71,0)</f>
        <v>0</v>
      </c>
      <c r="R68" s="1884" t="s">
        <v>1047</v>
      </c>
    </row>
    <row r="69" spans="1:18" s="1840" customFormat="1" ht="13.5" thickBot="1">
      <c r="A69" s="1169"/>
      <c r="B69" s="1170"/>
      <c r="C69" s="350"/>
      <c r="D69" s="1188" t="s">
        <v>1465</v>
      </c>
      <c r="E69" s="1168" t="s">
        <v>1466</v>
      </c>
      <c r="F69" s="378">
        <f ca="1">F41</f>
        <v>0</v>
      </c>
      <c r="O69" s="1892" t="s">
        <v>1044</v>
      </c>
      <c r="P69" s="1932" t="s">
        <v>1576</v>
      </c>
      <c r="Q69" s="1884">
        <f ca="1">C39</f>
        <v>0</v>
      </c>
      <c r="R69" s="1884" t="s">
        <v>1521</v>
      </c>
    </row>
    <row r="70" spans="1:18" s="1840" customFormat="1" ht="13.5" thickBot="1">
      <c r="A70" s="1172"/>
      <c r="B70" s="1173"/>
      <c r="C70" s="354"/>
      <c r="D70" s="1184"/>
      <c r="E70" s="1168" t="s">
        <v>1469</v>
      </c>
      <c r="F70" s="1274">
        <f ca="1">F42</f>
        <v>0</v>
      </c>
      <c r="O70" s="1892" t="s">
        <v>1045</v>
      </c>
      <c r="P70" s="1932" t="s">
        <v>1577</v>
      </c>
      <c r="Q70" s="1884">
        <f ca="1">C13</f>
        <v>0</v>
      </c>
      <c r="R70" s="1884" t="s">
        <v>1521</v>
      </c>
    </row>
    <row r="71" spans="1:18" s="1840" customFormat="1" ht="13.5" thickBot="1">
      <c r="A71" s="1189" t="s">
        <v>1029</v>
      </c>
      <c r="B71" s="1190" t="s">
        <v>1479</v>
      </c>
      <c r="C71" s="381" t="e">
        <f ca="1">ROUND(C68/F71,0)</f>
        <v>#DIV/0!</v>
      </c>
      <c r="D71" s="1191" t="s">
        <v>1480</v>
      </c>
      <c r="E71" s="1192" t="s">
        <v>1481</v>
      </c>
      <c r="F71" s="384">
        <f ca="1">F43</f>
        <v>0</v>
      </c>
      <c r="O71" s="1892" t="s">
        <v>1046</v>
      </c>
      <c r="P71" s="1932" t="s">
        <v>1578</v>
      </c>
      <c r="Q71" s="1895">
        <f ca="1">C76</f>
        <v>0</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建设期及建筑物耐用年限下的土地年期修正系数Kn</v>
      </c>
      <c r="Q74" s="1884" t="e">
        <f ca="1">L59</f>
        <v>#DIV/0!</v>
      </c>
      <c r="R74" s="1884" t="s">
        <v>1561</v>
      </c>
    </row>
    <row r="75" spans="1:18" ht="13.5" thickBot="1">
      <c r="A75" s="1840"/>
      <c r="B75" s="385" t="s">
        <v>1498</v>
      </c>
      <c r="C75" s="386">
        <f ca="1">ROUND(C13*C76,0)</f>
        <v>0</v>
      </c>
      <c r="D75" s="1840"/>
      <c r="E75" s="1840"/>
      <c r="F75" s="1840"/>
      <c r="K75" s="1866"/>
      <c r="L75" s="1840"/>
      <c r="O75" s="1882" t="s">
        <v>1042</v>
      </c>
      <c r="P75" s="1883" t="s">
        <v>1541</v>
      </c>
      <c r="Q75" s="1884" t="e">
        <f ca="1">Q65+Q66</f>
        <v>#DIV/0!</v>
      </c>
      <c r="R75" s="1884" t="s">
        <v>1043</v>
      </c>
    </row>
    <row r="76" spans="1:18">
      <c r="B76" s="387" t="s">
        <v>1499</v>
      </c>
      <c r="C76" s="388">
        <f ca="1">INDIRECT("'数据-取费表'!j"&amp;$G$1)</f>
        <v>0</v>
      </c>
      <c r="I76" s="1840"/>
      <c r="J76" s="1840"/>
      <c r="K76" s="1866"/>
      <c r="L76" s="1840"/>
    </row>
    <row r="77" spans="1:18">
      <c r="B77" s="389" t="s">
        <v>1500</v>
      </c>
      <c r="C77" s="390"/>
      <c r="I77" s="1840"/>
      <c r="J77" s="1840"/>
      <c r="K77" s="1866"/>
      <c r="L77" s="1840"/>
    </row>
    <row r="78" spans="1:18">
      <c r="B78" s="313" t="s">
        <v>1501</v>
      </c>
      <c r="C78" s="391"/>
    </row>
    <row r="79" spans="1:18">
      <c r="B79" s="385" t="s">
        <v>1502</v>
      </c>
      <c r="C79" s="317" t="e">
        <f ca="1">1-C80</f>
        <v>#DIV/0!</v>
      </c>
    </row>
    <row r="80" spans="1:18">
      <c r="B80" s="385" t="s">
        <v>1503</v>
      </c>
      <c r="C80" s="317" t="e">
        <f ca="1">ROUND(C75/C39,3)</f>
        <v>#DIV/0!</v>
      </c>
    </row>
    <row r="81" spans="2:3">
      <c r="B81" s="313" t="s">
        <v>1504</v>
      </c>
      <c r="C81" s="281"/>
    </row>
    <row r="82" spans="2:3">
      <c r="B82" s="316" t="s">
        <v>1505</v>
      </c>
      <c r="C82" s="318" t="e">
        <f ca="1">1-C83</f>
        <v>#DIV/0!</v>
      </c>
    </row>
    <row r="83" spans="2:3">
      <c r="B83" s="316" t="s">
        <v>1506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2477</v>
      </c>
      <c r="B1" s="2558"/>
      <c r="C1" s="2558"/>
      <c r="D1" s="2558"/>
      <c r="E1" s="2559"/>
    </row>
    <row r="2" spans="1:6" ht="15.75">
      <c r="A2" s="2560" t="s">
        <v>2281</v>
      </c>
      <c r="B2" s="2561">
        <f ca="1">SUMIF(B6:B13,"&lt;&gt;#ref!",B6:B13)</f>
        <v>42731</v>
      </c>
      <c r="C2" s="2562" t="s">
        <v>2470</v>
      </c>
      <c r="D2" s="2563" t="s">
        <v>2471</v>
      </c>
      <c r="E2" s="2564">
        <f>SUM(E6:E13)</f>
        <v>18468.61</v>
      </c>
    </row>
    <row r="3" spans="1:6" ht="15.75">
      <c r="A3" s="2560" t="s">
        <v>1387</v>
      </c>
      <c r="B3" s="2561">
        <f ca="1">ROUND(B2*10000/E2,0)</f>
        <v>23137</v>
      </c>
      <c r="C3" s="2562" t="s">
        <v>2478</v>
      </c>
      <c r="D3" s="2565"/>
      <c r="E3" s="2566"/>
    </row>
    <row r="4" spans="1:6" ht="15.75">
      <c r="A4" s="2567"/>
      <c r="B4" s="2565"/>
      <c r="C4" s="2565"/>
      <c r="D4" s="2565"/>
      <c r="E4" s="2566"/>
    </row>
    <row r="5" spans="1:6" ht="15">
      <c r="A5" s="2568" t="s">
        <v>2472</v>
      </c>
      <c r="B5" s="3268" t="s">
        <v>2473</v>
      </c>
      <c r="C5" s="3268"/>
      <c r="D5" s="2569"/>
      <c r="E5" s="2570" t="s">
        <v>2474</v>
      </c>
      <c r="F5" s="2571" t="s">
        <v>2475</v>
      </c>
    </row>
    <row r="6" spans="1:6">
      <c r="A6" s="2572">
        <f>'数据-取费表'!AN6</f>
        <v>0</v>
      </c>
      <c r="B6" s="2571" t="e">
        <f ca="1">IF(F6="是",'数据-取费表'!AO6,0)</f>
        <v>#REF!</v>
      </c>
      <c r="C6" s="2562" t="s">
        <v>2470</v>
      </c>
      <c r="D6" s="2565"/>
      <c r="E6" s="2573">
        <f>IF(OR(A6=0,F6="否"),0,'数据-取费表'!K6+'数据-取费表'!S6)</f>
        <v>0</v>
      </c>
      <c r="F6" s="2574" t="s">
        <v>2476</v>
      </c>
    </row>
    <row r="7" spans="1:6">
      <c r="A7" s="2572">
        <f>'数据-取费表'!AN7</f>
        <v>0</v>
      </c>
      <c r="B7" s="2571" t="e">
        <f ca="1">IF(F7="是",'数据-取费表'!AO7,0)</f>
        <v>#REF!</v>
      </c>
      <c r="C7" s="2562" t="s">
        <v>2470</v>
      </c>
      <c r="D7" s="2565"/>
      <c r="E7" s="2573">
        <f>IF(OR(A7=0,F7="否"),0,'数据-取费表'!K7+'数据-取费表'!S7)</f>
        <v>0</v>
      </c>
      <c r="F7" s="2574" t="s">
        <v>2476</v>
      </c>
    </row>
    <row r="8" spans="1:6">
      <c r="A8" s="2572" t="str">
        <f>'数据-取费表'!AN8</f>
        <v>收益法-地下普通仓储</v>
      </c>
      <c r="B8" s="2571">
        <f ca="1">IF(F8="是",'数据-取费表'!AO8,0)</f>
        <v>11111</v>
      </c>
      <c r="C8" s="2562" t="s">
        <v>2470</v>
      </c>
      <c r="D8" s="2565"/>
      <c r="E8" s="2573">
        <f>IF(OR(A8=0,F8="否"),0,'数据-取费表'!K8+'数据-取费表'!S8)</f>
        <v>5334.6699999999992</v>
      </c>
      <c r="F8" s="2574" t="s">
        <v>2476</v>
      </c>
    </row>
    <row r="9" spans="1:6">
      <c r="A9" s="2572">
        <f>'数据-取费表'!AN9</f>
        <v>0</v>
      </c>
      <c r="B9" s="2571" t="e">
        <f ca="1">IF(F9="是",'数据-取费表'!AO9,0)</f>
        <v>#REF!</v>
      </c>
      <c r="C9" s="2562" t="s">
        <v>2470</v>
      </c>
      <c r="D9" s="2565"/>
      <c r="E9" s="2573">
        <f>IF(OR(A9=0,F9="否"),0,'数据-取费表'!K9+'数据-取费表'!S9)</f>
        <v>0</v>
      </c>
      <c r="F9" s="2574" t="s">
        <v>2476</v>
      </c>
    </row>
    <row r="10" spans="1:6">
      <c r="A10" s="2572" t="str">
        <f>'数据-取费表'!AN10</f>
        <v>收益法-地下叠拼仓储</v>
      </c>
      <c r="B10" s="2571">
        <f ca="1">IF(F10="是",'数据-取费表'!AO10,0)</f>
        <v>31620</v>
      </c>
      <c r="C10" s="2562" t="s">
        <v>2470</v>
      </c>
      <c r="D10" s="2565"/>
      <c r="E10" s="2573">
        <f>IF(OR(A10=0,F10="否"),0,'数据-取费表'!K10+'数据-取费表'!S10)</f>
        <v>13133.94</v>
      </c>
      <c r="F10" s="2574" t="s">
        <v>2476</v>
      </c>
    </row>
    <row r="11" spans="1:6">
      <c r="A11" s="2572">
        <f>'数据-取费表'!AN11</f>
        <v>0</v>
      </c>
      <c r="B11" s="2571" t="e">
        <f ca="1">IF(F11="是",'数据-取费表'!AO11,0)</f>
        <v>#REF!</v>
      </c>
      <c r="C11" s="2562" t="s">
        <v>2470</v>
      </c>
      <c r="D11" s="2565"/>
      <c r="E11" s="2573">
        <f>IF(OR(A11=0,F11="否"),0,'数据-取费表'!K11+'数据-取费表'!S11)</f>
        <v>0</v>
      </c>
      <c r="F11" s="2574" t="s">
        <v>2476</v>
      </c>
    </row>
    <row r="12" spans="1:6">
      <c r="A12" s="2572">
        <f>'数据-取费表'!AN12</f>
        <v>0</v>
      </c>
      <c r="B12" s="2571" t="e">
        <f ca="1">IF(F12="是",'数据-取费表'!AO12,0)</f>
        <v>#REF!</v>
      </c>
      <c r="C12" s="2562" t="s">
        <v>2470</v>
      </c>
      <c r="D12" s="2565"/>
      <c r="E12" s="2573">
        <f>IF(OR(A12=0,F12="否"),0,'数据-取费表'!K12+'数据-取费表'!S12)</f>
        <v>0</v>
      </c>
      <c r="F12" s="2574" t="s">
        <v>2476</v>
      </c>
    </row>
    <row r="13" spans="1:6" ht="15" thickBot="1">
      <c r="A13" s="2575">
        <f>'数据-取费表'!AN13</f>
        <v>0</v>
      </c>
      <c r="B13" s="2571" t="e">
        <f ca="1">IF(F13="是",'数据-取费表'!AO13,0)</f>
        <v>#REF!</v>
      </c>
      <c r="C13" s="2576" t="s">
        <v>2470</v>
      </c>
      <c r="D13" s="2577"/>
      <c r="E13" s="2573">
        <f>IF(OR(A13=0,F13="否"),0,'数据-取费表'!K13+'数据-取费表'!S13)</f>
        <v>0</v>
      </c>
      <c r="F13" s="2574"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1603</v>
      </c>
    </row>
    <row r="2" spans="1:1">
      <c r="A2" s="1944"/>
    </row>
    <row r="3" spans="1:1" ht="18">
      <c r="A3" s="1945" t="str">
        <f>项目基本情况!B5&amp;"："</f>
        <v>中信信诚资产管理公司资产管理部：</v>
      </c>
    </row>
    <row r="4" spans="1:1" ht="36">
      <c r="A4" s="1946" t="str">
        <f>"受贵公司委托，我公司对"&amp;项目基本情况!S1&amp;"进行了预评估。"</f>
        <v>受贵公司委托，我公司对北京市大兴区旧宫镇出让国有建设用地使用权及在建建筑物房地产抵押价值进行了预评估。</v>
      </c>
    </row>
    <row r="5" spans="1:1" ht="18.75">
      <c r="A5" s="1947" t="s">
        <v>1604</v>
      </c>
    </row>
    <row r="6" spans="1:1" ht="18.75">
      <c r="A6" s="1948" t="s">
        <v>1605</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估价对象为北京市大兴区旧宫镇出让国有建设用地使用权及在建建筑物房地产，为所有。根据《国有土地使用证》，估价对象（分摊）出让国有建设用地使用权面积为34567.79平方米，建筑面积为123740.26平方米。</v>
      </c>
    </row>
    <row r="8" spans="1:1" ht="57.75">
      <c r="A8" s="1949" t="s">
        <v>1606</v>
      </c>
    </row>
    <row r="9" spans="1:1" ht="18.75">
      <c r="A9" s="1948" t="s">
        <v>1607</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34567.79平方米，规划建筑面积为123740.26平方米。</v>
      </c>
    </row>
    <row r="11" spans="1:1" ht="76.5">
      <c r="A11" s="1949" t="s">
        <v>1608</v>
      </c>
    </row>
    <row r="12" spans="1:1" ht="18.75">
      <c r="A12" s="1947" t="s">
        <v>1609</v>
      </c>
    </row>
    <row r="13" spans="1:1" ht="38.25" customHeight="1">
      <c r="A13" s="1950"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1" t="s">
        <v>1610</v>
      </c>
    </row>
    <row r="15" spans="1:1" ht="18">
      <c r="A15" s="1952" t="str">
        <f>TEXT(项目基本情况!D3,"yyyy年m月d日;;")&amp;IF(项目基本情况!D3=项目基本情况!B3,"（评估专业人员实地查勘之日）","")</f>
        <v>2020年4月5日（评估专业人员实地查勘之日）</v>
      </c>
    </row>
    <row r="16" spans="1:1" ht="18.75">
      <c r="A16" s="1951" t="s">
        <v>1611</v>
      </c>
    </row>
    <row r="17" spans="1:1" ht="75">
      <c r="A17" s="1946" t="s">
        <v>1612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1601</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85" t="s">
        <v>1072</v>
      </c>
      <c r="B1" s="3286"/>
      <c r="C1" s="3287"/>
      <c r="D1" s="3288">
        <f>SUM(I10,I15,I20,I21,I23)</f>
        <v>0</v>
      </c>
      <c r="E1" s="3288"/>
      <c r="F1" s="3288"/>
      <c r="G1" s="3288"/>
      <c r="H1" s="3288"/>
      <c r="I1" s="3289"/>
    </row>
    <row r="2" spans="1:9">
      <c r="A2" s="3275" t="s">
        <v>1073</v>
      </c>
      <c r="B2" s="3276" t="s">
        <v>1074</v>
      </c>
      <c r="C2" s="3276"/>
      <c r="D2" s="1300" t="s">
        <v>1075</v>
      </c>
      <c r="E2" s="1300" t="s">
        <v>1076</v>
      </c>
      <c r="F2" s="1300" t="s">
        <v>1077</v>
      </c>
      <c r="G2" s="1300" t="s">
        <v>1078</v>
      </c>
      <c r="H2" s="1300" t="s">
        <v>1079</v>
      </c>
      <c r="I2" s="1301" t="s">
        <v>1080</v>
      </c>
    </row>
    <row r="3" spans="1:9">
      <c r="A3" s="3275"/>
      <c r="B3" s="3276" t="s">
        <v>1081</v>
      </c>
      <c r="C3" s="3276"/>
      <c r="D3" s="1302"/>
      <c r="E3" s="1300"/>
      <c r="F3" s="1303"/>
      <c r="G3" s="1303"/>
      <c r="H3" s="1304"/>
      <c r="I3" s="1305">
        <f>ROUND(D3*E3*F3*G3*H3/10000,0)</f>
        <v>0</v>
      </c>
    </row>
    <row r="4" spans="1:9">
      <c r="A4" s="3275"/>
      <c r="B4" s="3276" t="s">
        <v>1082</v>
      </c>
      <c r="C4" s="3276"/>
      <c r="D4" s="1302"/>
      <c r="E4" s="1300"/>
      <c r="F4" s="1303"/>
      <c r="G4" s="1303"/>
      <c r="H4" s="1304"/>
      <c r="I4" s="1305">
        <f t="shared" ref="I4:I9" si="0">ROUND(D4*E4*F4*G4*H4/10000,0)</f>
        <v>0</v>
      </c>
    </row>
    <row r="5" spans="1:9">
      <c r="A5" s="3275"/>
      <c r="B5" s="3276" t="s">
        <v>1083</v>
      </c>
      <c r="C5" s="3276"/>
      <c r="D5" s="1302"/>
      <c r="E5" s="1300"/>
      <c r="F5" s="1303"/>
      <c r="G5" s="1303"/>
      <c r="H5" s="1304"/>
      <c r="I5" s="1305">
        <f t="shared" si="0"/>
        <v>0</v>
      </c>
    </row>
    <row r="6" spans="1:9">
      <c r="A6" s="3275"/>
      <c r="B6" s="3276" t="s">
        <v>1084</v>
      </c>
      <c r="C6" s="3276"/>
      <c r="D6" s="1302"/>
      <c r="E6" s="1300"/>
      <c r="F6" s="1303"/>
      <c r="G6" s="1303"/>
      <c r="H6" s="1304"/>
      <c r="I6" s="1305">
        <f t="shared" si="0"/>
        <v>0</v>
      </c>
    </row>
    <row r="7" spans="1:9">
      <c r="A7" s="3275"/>
      <c r="B7" s="3276" t="s">
        <v>1085</v>
      </c>
      <c r="C7" s="3276"/>
      <c r="D7" s="1302"/>
      <c r="E7" s="1300"/>
      <c r="F7" s="1303"/>
      <c r="G7" s="1303"/>
      <c r="H7" s="1304"/>
      <c r="I7" s="1305">
        <f t="shared" si="0"/>
        <v>0</v>
      </c>
    </row>
    <row r="8" spans="1:9">
      <c r="A8" s="3275"/>
      <c r="B8" s="3276" t="s">
        <v>1086</v>
      </c>
      <c r="C8" s="3276"/>
      <c r="D8" s="1302"/>
      <c r="E8" s="1300"/>
      <c r="F8" s="1303"/>
      <c r="G8" s="1303"/>
      <c r="H8" s="1304"/>
      <c r="I8" s="1305">
        <f t="shared" si="0"/>
        <v>0</v>
      </c>
    </row>
    <row r="9" spans="1:9">
      <c r="A9" s="3275"/>
      <c r="B9" s="3276" t="s">
        <v>1087</v>
      </c>
      <c r="C9" s="3276"/>
      <c r="D9" s="1302"/>
      <c r="E9" s="1300"/>
      <c r="F9" s="1303"/>
      <c r="G9" s="1303"/>
      <c r="H9" s="1304"/>
      <c r="I9" s="1305">
        <f t="shared" si="0"/>
        <v>0</v>
      </c>
    </row>
    <row r="10" spans="1:9">
      <c r="A10" s="3275"/>
      <c r="B10" s="3277" t="s">
        <v>1088</v>
      </c>
      <c r="C10" s="3277"/>
      <c r="D10" s="1306"/>
      <c r="E10" s="1306" t="e">
        <f>ROUND(D1*10000/D10/H9,0)</f>
        <v>#DIV/0!</v>
      </c>
      <c r="F10" s="1307"/>
      <c r="G10" s="1307"/>
      <c r="H10" s="1308"/>
      <c r="I10" s="1309">
        <f>SUM(I3:I9)</f>
        <v>0</v>
      </c>
    </row>
    <row r="11" spans="1:9" ht="14.25">
      <c r="A11" s="3275" t="s">
        <v>1089</v>
      </c>
      <c r="B11" s="3276" t="s">
        <v>1090</v>
      </c>
      <c r="C11" s="3276"/>
      <c r="D11" s="1302" t="s">
        <v>1091</v>
      </c>
      <c r="E11" s="1302" t="s">
        <v>1092</v>
      </c>
      <c r="F11" s="1303" t="s">
        <v>1093</v>
      </c>
      <c r="G11" s="1303" t="s">
        <v>1079</v>
      </c>
      <c r="H11" s="1310" t="s">
        <v>1094</v>
      </c>
      <c r="I11" s="1301" t="s">
        <v>1080</v>
      </c>
    </row>
    <row r="12" spans="1:9">
      <c r="A12" s="3275"/>
      <c r="B12" s="3276" t="s">
        <v>1095</v>
      </c>
      <c r="C12" s="3276"/>
      <c r="D12" s="1302"/>
      <c r="E12" s="1302"/>
      <c r="F12" s="1303"/>
      <c r="G12" s="1304"/>
      <c r="H12" s="1311"/>
      <c r="I12" s="1301">
        <f>ROUND(D12*E12*F12*G12/10000,0)</f>
        <v>0</v>
      </c>
    </row>
    <row r="13" spans="1:9">
      <c r="A13" s="3275"/>
      <c r="B13" s="3276" t="s">
        <v>1096</v>
      </c>
      <c r="C13" s="3276"/>
      <c r="D13" s="1302"/>
      <c r="E13" s="1302"/>
      <c r="F13" s="1303"/>
      <c r="G13" s="1304"/>
      <c r="H13" s="1311"/>
      <c r="I13" s="1301">
        <f>ROUND(D13*E13*F13*G13/10000,0)</f>
        <v>0</v>
      </c>
    </row>
    <row r="14" spans="1:9">
      <c r="A14" s="3275"/>
      <c r="B14" s="3276" t="s">
        <v>1097</v>
      </c>
      <c r="C14" s="3276"/>
      <c r="D14" s="1302"/>
      <c r="E14" s="1302"/>
      <c r="F14" s="1303"/>
      <c r="G14" s="1304"/>
      <c r="H14" s="1311"/>
      <c r="I14" s="1301">
        <f>ROUND(D14*E14*F14*G14/10000,0)</f>
        <v>0</v>
      </c>
    </row>
    <row r="15" spans="1:9">
      <c r="A15" s="3275"/>
      <c r="B15" s="3277" t="s">
        <v>1088</v>
      </c>
      <c r="C15" s="3277"/>
      <c r="D15" s="1306"/>
      <c r="E15" s="1306">
        <f>SUM(E12:E14)</f>
        <v>0</v>
      </c>
      <c r="F15" s="1307"/>
      <c r="G15" s="1304"/>
      <c r="H15" s="1311"/>
      <c r="I15" s="1312">
        <f>SUM(I12:I14)</f>
        <v>0</v>
      </c>
    </row>
    <row r="16" spans="1:9" ht="24">
      <c r="A16" s="3275" t="s">
        <v>1098</v>
      </c>
      <c r="B16" s="3276" t="s">
        <v>1099</v>
      </c>
      <c r="C16" s="3276"/>
      <c r="D16" s="1302" t="s">
        <v>1075</v>
      </c>
      <c r="E16" s="1313" t="s">
        <v>1100</v>
      </c>
      <c r="F16" s="1303" t="s">
        <v>1101</v>
      </c>
      <c r="G16" s="1304" t="s">
        <v>1079</v>
      </c>
      <c r="H16" s="1310" t="s">
        <v>1094</v>
      </c>
      <c r="I16" s="1301" t="s">
        <v>1080</v>
      </c>
    </row>
    <row r="17" spans="1:9" ht="14.25">
      <c r="A17" s="3275"/>
      <c r="B17" s="3276" t="s">
        <v>1102</v>
      </c>
      <c r="C17" s="3276"/>
      <c r="D17" s="1302"/>
      <c r="E17" s="1302"/>
      <c r="F17" s="1303"/>
      <c r="G17" s="1304"/>
      <c r="H17" s="1314"/>
      <c r="I17" s="1315">
        <f>ROUND(D17*E17*F17*G17/10000,0)</f>
        <v>0</v>
      </c>
    </row>
    <row r="18" spans="1:9" ht="14.25">
      <c r="A18" s="3275"/>
      <c r="B18" s="3276" t="s">
        <v>1103</v>
      </c>
      <c r="C18" s="3276"/>
      <c r="D18" s="1302"/>
      <c r="E18" s="1302"/>
      <c r="F18" s="1303"/>
      <c r="G18" s="1304"/>
      <c r="H18" s="1314"/>
      <c r="I18" s="1315">
        <f>ROUND(D18*E18*F18*G18/10000,0)</f>
        <v>0</v>
      </c>
    </row>
    <row r="19" spans="1:9" ht="14.25">
      <c r="A19" s="3275"/>
      <c r="B19" s="3276" t="s">
        <v>1104</v>
      </c>
      <c r="C19" s="3276"/>
      <c r="D19" s="1302"/>
      <c r="E19" s="1302"/>
      <c r="F19" s="1303"/>
      <c r="G19" s="1304"/>
      <c r="H19" s="1314"/>
      <c r="I19" s="1315">
        <f>ROUND(D19*E19*F19*G19/10000,0)</f>
        <v>0</v>
      </c>
    </row>
    <row r="20" spans="1:9">
      <c r="A20" s="3275"/>
      <c r="B20" s="3277" t="s">
        <v>1088</v>
      </c>
      <c r="C20" s="3277"/>
      <c r="D20" s="1306">
        <f>SUM(D17:D19)</f>
        <v>0</v>
      </c>
      <c r="E20" s="1306"/>
      <c r="F20" s="1307"/>
      <c r="G20" s="1304"/>
      <c r="H20" s="1311"/>
      <c r="I20" s="1312">
        <f>SUM(I17:I19)</f>
        <v>0</v>
      </c>
    </row>
    <row r="21" spans="1:9">
      <c r="A21" s="3275" t="s">
        <v>1105</v>
      </c>
      <c r="B21" s="3278"/>
      <c r="C21" s="3278"/>
      <c r="D21" s="3278"/>
      <c r="E21" s="3278"/>
      <c r="F21" s="3278"/>
      <c r="G21" s="3278"/>
      <c r="H21" s="1763">
        <v>0.1</v>
      </c>
      <c r="I21" s="1309">
        <f>ROUND(I10*H21,0)</f>
        <v>0</v>
      </c>
    </row>
    <row r="22" spans="1:9" ht="14.25">
      <c r="A22" s="3279" t="s">
        <v>1106</v>
      </c>
      <c r="B22" s="3280"/>
      <c r="C22" s="3281"/>
      <c r="D22" s="1316" t="s">
        <v>1107</v>
      </c>
      <c r="E22" s="1316" t="s">
        <v>1108</v>
      </c>
      <c r="F22" s="1317" t="s">
        <v>1109</v>
      </c>
      <c r="G22" s="1317" t="s">
        <v>1110</v>
      </c>
      <c r="H22" s="1310" t="s">
        <v>1111</v>
      </c>
      <c r="I22" s="1301" t="s">
        <v>1112</v>
      </c>
    </row>
    <row r="23" spans="1:9" ht="14.25" thickBot="1">
      <c r="A23" s="3282"/>
      <c r="B23" s="3283"/>
      <c r="C23" s="3284"/>
      <c r="D23" s="1318"/>
      <c r="E23" s="1318"/>
      <c r="F23" s="1318"/>
      <c r="G23" s="1319"/>
      <c r="H23" s="1320"/>
      <c r="I23" s="1321">
        <f>ROUND(E23*D23*F23*(1-G23)/10000,0)</f>
        <v>0</v>
      </c>
    </row>
    <row r="26" spans="1:9">
      <c r="A26" s="1322" t="s">
        <v>1113</v>
      </c>
      <c r="B26" s="1322"/>
      <c r="C26" s="1322"/>
      <c r="D26" s="1322"/>
      <c r="E26" s="3272">
        <f>C27-C30-C31-C32</f>
        <v>0</v>
      </c>
      <c r="F26" s="3272"/>
      <c r="G26" s="3272"/>
      <c r="H26" s="1735" t="s">
        <v>1332</v>
      </c>
    </row>
    <row r="27" spans="1:9">
      <c r="A27" s="1323">
        <v>1</v>
      </c>
      <c r="B27" s="1324" t="s">
        <v>1114</v>
      </c>
      <c r="C27" s="1324">
        <f>C28+C29</f>
        <v>0</v>
      </c>
      <c r="D27" s="1324"/>
      <c r="E27" s="3273"/>
      <c r="F27" s="3273"/>
      <c r="G27" s="3273"/>
    </row>
    <row r="28" spans="1:9">
      <c r="A28" s="1325" t="s">
        <v>1115</v>
      </c>
      <c r="B28" s="1324" t="s">
        <v>1116</v>
      </c>
      <c r="C28" s="1324"/>
      <c r="D28" s="1324"/>
      <c r="E28" s="3273"/>
      <c r="F28" s="3273"/>
      <c r="G28" s="327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74"/>
      <c r="F32" s="3274"/>
      <c r="G32" s="3274"/>
    </row>
    <row r="33" spans="1:7" hidden="1">
      <c r="A33" s="3269" t="s">
        <v>1125</v>
      </c>
      <c r="B33" s="3270"/>
      <c r="C33" s="3270"/>
      <c r="D33" s="3271"/>
      <c r="E33" s="3272"/>
      <c r="F33" s="3272"/>
      <c r="G33" s="3272"/>
    </row>
    <row r="34" spans="1:7" hidden="1">
      <c r="A34" s="1327">
        <v>1</v>
      </c>
      <c r="B34" s="1324" t="s">
        <v>1126</v>
      </c>
      <c r="C34" s="1324"/>
      <c r="D34" s="1324"/>
      <c r="E34" s="3273"/>
      <c r="F34" s="3273"/>
      <c r="G34" s="3273"/>
    </row>
    <row r="35" spans="1:7" hidden="1">
      <c r="A35" s="1327">
        <v>2</v>
      </c>
      <c r="B35" s="1324" t="s">
        <v>1127</v>
      </c>
      <c r="C35" s="1324"/>
      <c r="D35" s="1324"/>
      <c r="E35" s="3273"/>
      <c r="F35" s="3273"/>
      <c r="G35" s="3273"/>
    </row>
    <row r="36" spans="1:7" hidden="1">
      <c r="A36" s="1327">
        <v>3</v>
      </c>
      <c r="B36" s="1324" t="s">
        <v>1128</v>
      </c>
      <c r="C36" s="1324"/>
      <c r="D36" s="1324"/>
      <c r="E36" s="3273"/>
      <c r="F36" s="3273"/>
      <c r="G36" s="3273"/>
    </row>
    <row r="37" spans="1:7" hidden="1">
      <c r="A37" s="1327">
        <v>4</v>
      </c>
      <c r="B37" s="1324" t="s">
        <v>1129</v>
      </c>
      <c r="C37" s="1324"/>
      <c r="D37" s="1324"/>
      <c r="E37" s="3273"/>
      <c r="F37" s="3273"/>
      <c r="G37" s="3273"/>
    </row>
    <row r="38" spans="1:7" hidden="1">
      <c r="A38" s="3269" t="s">
        <v>1130</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2479</v>
      </c>
      <c r="B1" s="2578" t="s">
        <v>2592</v>
      </c>
      <c r="C1" s="1632" t="s">
        <v>2481</v>
      </c>
      <c r="D1" s="1619"/>
      <c r="E1" s="2653"/>
      <c r="F1" s="2580"/>
      <c r="G1" s="1629" t="s">
        <v>2593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2281</v>
      </c>
      <c r="B2" s="1417" t="e">
        <f ca="1">IF(C2="——",ROUND(C49*D3/10000,0),ROUND(C49*D3/10000,0)-D2)</f>
        <v>#DIV/0!</v>
      </c>
      <c r="C2" s="2582"/>
      <c r="D2" s="1364" t="e">
        <f ca="1">SUMIF(INDIRECT("'"&amp;F2&amp;"'"&amp;"!A:A"),"承租人权益价值",INDIRECT("'"&amp;F2&amp;"'"&amp;"!c:c"))</f>
        <v>#REF!</v>
      </c>
      <c r="E2" s="2583" t="s">
        <v>2282</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2283</v>
      </c>
      <c r="B3" s="608" t="e">
        <f ca="1">IF(C2="——",C49,ROUND(B2*10000/D3,0))</f>
        <v>#DIV/0!</v>
      </c>
      <c r="C3" s="399" t="s">
        <v>2594</v>
      </c>
      <c r="D3" s="398">
        <f>IF(D1="",'数据-汇总表'!E3,SUMIF('数据-汇总表'!$C19:$C33,D1,'数据-汇总表'!$E19:$E33))</f>
        <v>123740.26</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19" t="s">
        <v>2598</v>
      </c>
      <c r="AC4" s="3220" t="s">
        <v>2599</v>
      </c>
    </row>
    <row r="5" spans="1:29" ht="15">
      <c r="A5" s="403"/>
      <c r="B5" s="404"/>
      <c r="C5" s="3240" t="s">
        <v>2493</v>
      </c>
      <c r="D5" s="3241"/>
      <c r="E5" s="3248" t="s">
        <v>2494</v>
      </c>
      <c r="F5" s="3249"/>
      <c r="G5" s="3240" t="s">
        <v>2495</v>
      </c>
      <c r="H5" s="3241"/>
      <c r="I5" s="3240" t="s">
        <v>2496</v>
      </c>
      <c r="J5" s="3241"/>
      <c r="K5" s="609"/>
      <c r="L5" s="1129"/>
      <c r="M5" s="1130"/>
      <c r="N5" s="1130"/>
      <c r="O5" s="1130"/>
      <c r="P5" s="3228"/>
      <c r="Q5" s="3229"/>
      <c r="R5" s="3234"/>
      <c r="S5" s="3235"/>
      <c r="T5" s="3234"/>
      <c r="U5" s="3235"/>
      <c r="V5" s="3219"/>
      <c r="W5" s="3219"/>
      <c r="X5" s="1811"/>
      <c r="Y5" s="3234"/>
      <c r="Z5" s="3235"/>
      <c r="AA5" s="3221"/>
      <c r="AB5" s="3219"/>
      <c r="AC5" s="3221"/>
    </row>
    <row r="6" spans="1:29" ht="15.75" thickBot="1">
      <c r="A6" s="405"/>
      <c r="B6" s="406"/>
      <c r="C6" s="3238" t="s">
        <v>2497</v>
      </c>
      <c r="D6" s="3239"/>
      <c r="E6" s="3246" t="s">
        <v>2497</v>
      </c>
      <c r="F6" s="3247"/>
      <c r="G6" s="3238" t="s">
        <v>2497</v>
      </c>
      <c r="H6" s="3239"/>
      <c r="I6" s="3238" t="s">
        <v>2497</v>
      </c>
      <c r="J6" s="3239"/>
      <c r="K6" s="609" t="s">
        <v>2498</v>
      </c>
      <c r="L6" s="1129"/>
      <c r="M6" s="1130"/>
      <c r="N6" s="1130"/>
      <c r="O6" s="1130"/>
      <c r="P6" s="3230"/>
      <c r="Q6" s="3231"/>
      <c r="R6" s="3234"/>
      <c r="S6" s="3235"/>
      <c r="T6" s="3236"/>
      <c r="U6" s="3237"/>
      <c r="V6" s="3219"/>
      <c r="W6" s="3219"/>
      <c r="X6" s="1811"/>
      <c r="Y6" s="3236"/>
      <c r="Z6" s="3237"/>
      <c r="AA6" s="3222"/>
      <c r="AB6" s="3219"/>
      <c r="AC6" s="3222"/>
    </row>
    <row r="7" spans="1:29" s="117" customFormat="1" ht="15.75" thickBot="1">
      <c r="A7" s="407" t="s">
        <v>2499</v>
      </c>
      <c r="B7" s="408"/>
      <c r="C7" s="409">
        <f>'数据-取费表'!B2</f>
        <v>43926</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2" t="s">
        <v>2500</v>
      </c>
      <c r="Q7" s="3244"/>
      <c r="R7" s="769" t="s">
        <v>17</v>
      </c>
      <c r="S7" s="770">
        <f t="shared" ref="S7:S15" si="0">F7</f>
        <v>0</v>
      </c>
      <c r="T7" s="769" t="s">
        <v>17</v>
      </c>
      <c r="U7" s="770">
        <f t="shared" ref="U7:U15" si="1">H7</f>
        <v>0</v>
      </c>
      <c r="V7" s="769" t="s">
        <v>17</v>
      </c>
      <c r="W7" s="770">
        <f t="shared" ref="W7:W15" si="2">J7</f>
        <v>0</v>
      </c>
      <c r="X7" s="771"/>
      <c r="Y7" s="3242" t="s">
        <v>2500</v>
      </c>
      <c r="Z7" s="3243"/>
      <c r="AA7" s="772" t="e">
        <f>D7/F7</f>
        <v>#DIV/0!</v>
      </c>
      <c r="AB7" s="772" t="e">
        <f>D7/H7</f>
        <v>#DIV/0!</v>
      </c>
      <c r="AC7" s="772" t="e">
        <f>D7/J7</f>
        <v>#DIV/0!</v>
      </c>
    </row>
    <row r="8" spans="1:29" s="117" customFormat="1" ht="15.75" thickBot="1">
      <c r="A8" s="407" t="s">
        <v>2501</v>
      </c>
      <c r="B8" s="408"/>
      <c r="C8" s="413" t="s">
        <v>2602</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2" t="s">
        <v>2503</v>
      </c>
      <c r="Q8" s="3243"/>
      <c r="R8" s="769" t="s">
        <v>17</v>
      </c>
      <c r="S8" s="770">
        <f t="shared" si="0"/>
        <v>0</v>
      </c>
      <c r="T8" s="769" t="s">
        <v>17</v>
      </c>
      <c r="U8" s="770">
        <f t="shared" si="1"/>
        <v>0</v>
      </c>
      <c r="V8" s="769" t="s">
        <v>17</v>
      </c>
      <c r="W8" s="770">
        <f t="shared" si="2"/>
        <v>0</v>
      </c>
      <c r="X8" s="771"/>
      <c r="Y8" s="3242" t="s">
        <v>2503</v>
      </c>
      <c r="Z8" s="3243"/>
      <c r="AA8" s="772" t="e">
        <f t="shared" ref="AA8:AA46" si="3">D8/F8</f>
        <v>#DIV/0!</v>
      </c>
      <c r="AB8" s="772" t="e">
        <f t="shared" ref="AB8:AB46" si="4">D8/H8</f>
        <v>#DIV/0!</v>
      </c>
      <c r="AC8" s="772" t="e">
        <f t="shared" ref="AC8:AC46" si="5">D8/J8</f>
        <v>#DIV/0!</v>
      </c>
    </row>
    <row r="9" spans="1:29" s="117" customFormat="1">
      <c r="A9" s="414" t="s">
        <v>2504</v>
      </c>
      <c r="B9" s="71" t="s">
        <v>2505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12"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772">
        <f t="shared" si="5"/>
        <v>1</v>
      </c>
    </row>
    <row r="10" spans="1:29" s="426" customFormat="1" ht="27">
      <c r="A10" s="420"/>
      <c r="B10" s="421" t="s">
        <v>2508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12"/>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2509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12"/>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2"/>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2"/>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2"/>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39" t="s">
        <v>2510</v>
      </c>
      <c r="B15" s="69" t="s">
        <v>2603</v>
      </c>
      <c r="C15" s="2599">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59" t="s">
        <v>2511</v>
      </c>
      <c r="Q15" s="1808" t="str">
        <f t="shared" si="6"/>
        <v>商业繁华度</v>
      </c>
      <c r="R15" s="773" t="s">
        <v>17</v>
      </c>
      <c r="S15" s="774">
        <f t="shared" si="0"/>
        <v>100</v>
      </c>
      <c r="T15" s="773" t="s">
        <v>17</v>
      </c>
      <c r="U15" s="774">
        <f t="shared" si="1"/>
        <v>100</v>
      </c>
      <c r="V15" s="773" t="s">
        <v>17</v>
      </c>
      <c r="W15" s="774">
        <f t="shared" si="2"/>
        <v>100</v>
      </c>
      <c r="X15" s="1811"/>
      <c r="Y15" s="3215" t="s">
        <v>2511</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60"/>
      <c r="Q16" s="1808"/>
      <c r="R16" s="773"/>
      <c r="S16" s="774"/>
      <c r="T16" s="773"/>
      <c r="U16" s="774"/>
      <c r="V16" s="773"/>
      <c r="W16" s="774"/>
      <c r="X16" s="1811"/>
      <c r="Y16" s="3216"/>
      <c r="Z16" s="1812"/>
      <c r="AA16" s="1809">
        <v>1</v>
      </c>
      <c r="AB16" s="1809">
        <v>1</v>
      </c>
      <c r="AC16" s="1809">
        <v>1</v>
      </c>
    </row>
    <row r="17" spans="1:29" ht="142.5">
      <c r="A17" s="427"/>
      <c r="B17" s="450" t="s">
        <v>2054</v>
      </c>
      <c r="C17" s="2603" t="str">
        <f>估价对象房地状况!C6</f>
        <v>估价对象周边道路状况较好、公共交通通达情况较好、停车便捷程度较好，周边临近8号线德茂站、周边有341/453等公交线路，综合评价交通便捷度较好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60"/>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9"/>
      <c r="M18" s="1130"/>
      <c r="N18" s="1130"/>
      <c r="O18" s="1130"/>
      <c r="P18" s="3260"/>
      <c r="Q18" s="1808"/>
      <c r="R18" s="773"/>
      <c r="S18" s="774"/>
      <c r="T18" s="773"/>
      <c r="U18" s="774"/>
      <c r="V18" s="773"/>
      <c r="W18" s="774"/>
      <c r="X18" s="1811"/>
      <c r="Y18" s="3216"/>
      <c r="Z18" s="1812"/>
      <c r="AA18" s="1809">
        <v>1</v>
      </c>
      <c r="AB18" s="1809">
        <v>1</v>
      </c>
      <c r="AC18" s="1809">
        <v>1</v>
      </c>
    </row>
    <row r="19" spans="1:29" ht="42.75">
      <c r="A19" s="427"/>
      <c r="B19" s="450" t="s">
        <v>2604</v>
      </c>
      <c r="C19" s="2603"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60"/>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9"/>
      <c r="M20" s="1130"/>
      <c r="N20" s="1130"/>
      <c r="O20" s="1130"/>
      <c r="P20" s="3260"/>
      <c r="Q20" s="1808"/>
      <c r="R20" s="773"/>
      <c r="S20" s="774"/>
      <c r="T20" s="773"/>
      <c r="U20" s="774"/>
      <c r="V20" s="773"/>
      <c r="W20" s="774"/>
      <c r="X20" s="1811"/>
      <c r="Y20" s="3216"/>
      <c r="Z20" s="1812"/>
      <c r="AA20" s="1809">
        <v>1</v>
      </c>
      <c r="AB20" s="1809">
        <v>1</v>
      </c>
      <c r="AC20" s="1809">
        <v>1</v>
      </c>
    </row>
    <row r="21" spans="1:29" ht="42.75">
      <c r="A21" s="427"/>
      <c r="B21" s="1383" t="s">
        <v>2605</v>
      </c>
      <c r="C21" s="2603"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60"/>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8"/>
      <c r="G22" s="446"/>
      <c r="H22" s="447"/>
      <c r="I22" s="446"/>
      <c r="J22" s="447"/>
      <c r="K22" s="1382"/>
      <c r="L22" s="1139"/>
      <c r="M22" s="1130"/>
      <c r="N22" s="1130"/>
      <c r="O22" s="1130"/>
      <c r="P22" s="3260"/>
      <c r="Q22" s="1808"/>
      <c r="R22" s="773"/>
      <c r="S22" s="774"/>
      <c r="T22" s="773"/>
      <c r="U22" s="774"/>
      <c r="V22" s="773"/>
      <c r="W22" s="774"/>
      <c r="X22" s="1811"/>
      <c r="Y22" s="3216"/>
      <c r="Z22" s="1812"/>
      <c r="AA22" s="1809">
        <v>1</v>
      </c>
      <c r="AB22" s="1809">
        <v>1</v>
      </c>
      <c r="AC22" s="1809">
        <v>1</v>
      </c>
    </row>
    <row r="23" spans="1:29" ht="85.5">
      <c r="A23" s="427"/>
      <c r="B23" s="450" t="s">
        <v>2057</v>
      </c>
      <c r="C23" s="2660" t="str">
        <f>估价对象房地状况!C9</f>
        <v>区域自然环境好；人文环境较好；周边有南海子公园等，综合评价环境状况较好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60"/>
      <c r="Q23" s="1808" t="str">
        <f>B23</f>
        <v>自然及人文环境</v>
      </c>
      <c r="R23" s="773" t="s">
        <v>17</v>
      </c>
      <c r="S23" s="774">
        <f>F23</f>
        <v>100</v>
      </c>
      <c r="T23" s="773" t="s">
        <v>17</v>
      </c>
      <c r="U23" s="774">
        <f>H23</f>
        <v>100</v>
      </c>
      <c r="V23" s="773" t="s">
        <v>17</v>
      </c>
      <c r="W23" s="774">
        <f>J23</f>
        <v>100</v>
      </c>
      <c r="X23" s="1811"/>
      <c r="Y23" s="3216"/>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9"/>
      <c r="M24" s="1130"/>
      <c r="N24" s="1130"/>
      <c r="O24" s="1130"/>
      <c r="P24" s="3260"/>
      <c r="Q24" s="1808"/>
      <c r="R24" s="773"/>
      <c r="S24" s="774"/>
      <c r="T24" s="773"/>
      <c r="U24" s="774"/>
      <c r="V24" s="773"/>
      <c r="W24" s="774"/>
      <c r="X24" s="1811"/>
      <c r="Y24" s="3216"/>
      <c r="Z24" s="1812"/>
      <c r="AA24" s="1809">
        <v>1</v>
      </c>
      <c r="AB24" s="1809">
        <v>1</v>
      </c>
      <c r="AC24" s="1809">
        <v>1</v>
      </c>
    </row>
    <row r="25" spans="1:29" ht="15">
      <c r="A25" s="427"/>
      <c r="B25" s="421" t="s">
        <v>2606</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60"/>
      <c r="Q25" s="1808" t="str">
        <f t="shared" ref="Q25:Q46" si="11">B25</f>
        <v>临街状况</v>
      </c>
      <c r="R25" s="773" t="s">
        <v>17</v>
      </c>
      <c r="S25" s="774">
        <f>F25</f>
        <v>100</v>
      </c>
      <c r="T25" s="773" t="s">
        <v>17</v>
      </c>
      <c r="U25" s="774">
        <f>H25</f>
        <v>100</v>
      </c>
      <c r="V25" s="773" t="s">
        <v>17</v>
      </c>
      <c r="W25" s="774">
        <f>J25</f>
        <v>100</v>
      </c>
      <c r="X25" s="1811"/>
      <c r="Y25" s="3216"/>
      <c r="Z25" s="1812" t="str">
        <f>Q25</f>
        <v>临街状况</v>
      </c>
      <c r="AA25" s="1809">
        <f t="shared" si="3"/>
        <v>1</v>
      </c>
      <c r="AB25" s="1809">
        <f t="shared" si="4"/>
        <v>1</v>
      </c>
      <c r="AC25" s="1809">
        <f t="shared" si="5"/>
        <v>1</v>
      </c>
    </row>
    <row r="26" spans="1:29" ht="15">
      <c r="A26" s="427"/>
      <c r="B26" s="1385" t="s">
        <v>2607</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60"/>
      <c r="Q26" s="1808" t="str">
        <f t="shared" si="11"/>
        <v>平面位置/可视性</v>
      </c>
      <c r="R26" s="773" t="s">
        <v>17</v>
      </c>
      <c r="S26" s="774">
        <f>F26</f>
        <v>100</v>
      </c>
      <c r="T26" s="773" t="s">
        <v>17</v>
      </c>
      <c r="U26" s="774">
        <f>H26</f>
        <v>100</v>
      </c>
      <c r="V26" s="773" t="s">
        <v>17</v>
      </c>
      <c r="W26" s="774">
        <f>J26</f>
        <v>100</v>
      </c>
      <c r="X26" s="1811"/>
      <c r="Y26" s="3216"/>
      <c r="Z26" s="1812" t="str">
        <f>Q26</f>
        <v>平面位置/可视性</v>
      </c>
      <c r="AA26" s="1809">
        <f t="shared" si="3"/>
        <v>1</v>
      </c>
      <c r="AB26" s="1809">
        <f t="shared" si="4"/>
        <v>1</v>
      </c>
      <c r="AC26" s="1809">
        <f t="shared" si="5"/>
        <v>1</v>
      </c>
    </row>
    <row r="27" spans="1:29" s="117" customFormat="1" ht="15">
      <c r="A27" s="430"/>
      <c r="B27" s="450" t="s">
        <v>2608</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60"/>
      <c r="Q27" s="1793" t="str">
        <f t="shared" si="11"/>
        <v>人流量</v>
      </c>
      <c r="R27" s="769" t="s">
        <v>17</v>
      </c>
      <c r="S27" s="770">
        <f>F27</f>
        <v>100</v>
      </c>
      <c r="T27" s="769" t="s">
        <v>17</v>
      </c>
      <c r="U27" s="770">
        <f>H27</f>
        <v>100</v>
      </c>
      <c r="V27" s="769" t="s">
        <v>17</v>
      </c>
      <c r="W27" s="770">
        <f>J27</f>
        <v>100</v>
      </c>
      <c r="X27" s="771"/>
      <c r="Y27" s="3216"/>
      <c r="Z27" s="55" t="str">
        <f>Q27</f>
        <v>人流量</v>
      </c>
      <c r="AA27" s="1809">
        <f>D27/F27</f>
        <v>1</v>
      </c>
      <c r="AB27" s="1809">
        <f>D27/H27</f>
        <v>1</v>
      </c>
      <c r="AC27" s="1809">
        <f>D27/J27</f>
        <v>1</v>
      </c>
    </row>
    <row r="28" spans="1:29" ht="15">
      <c r="A28" s="427"/>
      <c r="B28" s="421" t="s">
        <v>2609</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6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6"/>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60"/>
      <c r="Q29" s="1808">
        <f t="shared" si="11"/>
        <v>111</v>
      </c>
      <c r="R29" s="773" t="s">
        <v>17</v>
      </c>
      <c r="S29" s="774">
        <f t="shared" si="12"/>
        <v>100</v>
      </c>
      <c r="T29" s="773" t="s">
        <v>17</v>
      </c>
      <c r="U29" s="774">
        <f t="shared" si="13"/>
        <v>100</v>
      </c>
      <c r="V29" s="773" t="s">
        <v>17</v>
      </c>
      <c r="W29" s="774">
        <f t="shared" si="14"/>
        <v>100</v>
      </c>
      <c r="X29" s="1811"/>
      <c r="Y29" s="3216"/>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60"/>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60"/>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1809">
        <f t="shared" si="5"/>
        <v>1</v>
      </c>
    </row>
    <row r="32" spans="1:29" ht="15">
      <c r="A32" s="439" t="s">
        <v>2514</v>
      </c>
      <c r="B32" s="71" t="s">
        <v>2610</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55" t="s">
        <v>2516</v>
      </c>
      <c r="Q32" s="1808" t="str">
        <f t="shared" si="11"/>
        <v>商业类型</v>
      </c>
      <c r="R32" s="773" t="s">
        <v>17</v>
      </c>
      <c r="S32" s="774">
        <f t="shared" si="12"/>
        <v>100</v>
      </c>
      <c r="T32" s="773" t="s">
        <v>17</v>
      </c>
      <c r="U32" s="774">
        <f t="shared" si="13"/>
        <v>100</v>
      </c>
      <c r="V32" s="773" t="s">
        <v>17</v>
      </c>
      <c r="W32" s="774">
        <f t="shared" si="14"/>
        <v>100</v>
      </c>
      <c r="X32" s="1811"/>
      <c r="Y32" s="3218" t="s">
        <v>2516</v>
      </c>
      <c r="Z32" s="1812" t="str">
        <f t="shared" si="15"/>
        <v>商业类型</v>
      </c>
      <c r="AA32" s="1809">
        <f t="shared" si="3"/>
        <v>1</v>
      </c>
      <c r="AB32" s="1809">
        <f t="shared" si="4"/>
        <v>1</v>
      </c>
      <c r="AC32" s="1809">
        <f t="shared" si="5"/>
        <v>1</v>
      </c>
    </row>
    <row r="33" spans="1:29" s="470" customFormat="1" ht="15">
      <c r="A33" s="467"/>
      <c r="B33" s="421" t="s">
        <v>2517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5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09" t="e">
        <f t="shared" si="3"/>
        <v>#N/A</v>
      </c>
      <c r="AB33" s="1809" t="e">
        <f t="shared" si="4"/>
        <v>#N/A</v>
      </c>
      <c r="AC33" s="1809" t="e">
        <f t="shared" si="5"/>
        <v>#N/A</v>
      </c>
    </row>
    <row r="34" spans="1:29" ht="15">
      <c r="A34" s="471"/>
      <c r="B34" s="421" t="s">
        <v>2518</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56"/>
      <c r="Q34" s="1808" t="str">
        <f t="shared" si="11"/>
        <v>建筑结构</v>
      </c>
      <c r="R34" s="773" t="s">
        <v>17</v>
      </c>
      <c r="S34" s="774">
        <f t="shared" si="12"/>
        <v>100</v>
      </c>
      <c r="T34" s="773" t="s">
        <v>17</v>
      </c>
      <c r="U34" s="774">
        <f t="shared" si="13"/>
        <v>100</v>
      </c>
      <c r="V34" s="773" t="s">
        <v>17</v>
      </c>
      <c r="W34" s="774">
        <f t="shared" si="14"/>
        <v>100</v>
      </c>
      <c r="X34" s="1811"/>
      <c r="Y34" s="3218"/>
      <c r="Z34" s="1812" t="str">
        <f t="shared" si="15"/>
        <v>建筑结构</v>
      </c>
      <c r="AA34" s="1809">
        <f t="shared" si="3"/>
        <v>1</v>
      </c>
      <c r="AB34" s="1809">
        <f t="shared" si="4"/>
        <v>1</v>
      </c>
      <c r="AC34" s="1809">
        <f t="shared" si="5"/>
        <v>1</v>
      </c>
    </row>
    <row r="35" spans="1:29" ht="15">
      <c r="A35" s="471"/>
      <c r="B35" s="421" t="s">
        <v>2611</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56"/>
      <c r="Q35" s="1808" t="str">
        <f t="shared" si="11"/>
        <v>公共部分装修</v>
      </c>
      <c r="R35" s="773" t="s">
        <v>17</v>
      </c>
      <c r="S35" s="774">
        <f t="shared" si="12"/>
        <v>100</v>
      </c>
      <c r="T35" s="773" t="s">
        <v>17</v>
      </c>
      <c r="U35" s="774">
        <f t="shared" si="13"/>
        <v>100</v>
      </c>
      <c r="V35" s="773" t="s">
        <v>17</v>
      </c>
      <c r="W35" s="774">
        <f t="shared" si="14"/>
        <v>100</v>
      </c>
      <c r="X35" s="1811"/>
      <c r="Y35" s="3218"/>
      <c r="Z35" s="1812" t="str">
        <f t="shared" si="15"/>
        <v>公共部分装修</v>
      </c>
      <c r="AA35" s="1809">
        <f t="shared" si="3"/>
        <v>1</v>
      </c>
      <c r="AB35" s="1809">
        <f t="shared" si="4"/>
        <v>1</v>
      </c>
      <c r="AC35" s="1809">
        <f t="shared" si="5"/>
        <v>1</v>
      </c>
    </row>
    <row r="36" spans="1:29" ht="15">
      <c r="A36" s="471"/>
      <c r="B36" s="421" t="s">
        <v>2612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56"/>
      <c r="Q36" s="1808" t="str">
        <f t="shared" si="11"/>
        <v>成新度</v>
      </c>
      <c r="R36" s="773" t="s">
        <v>17</v>
      </c>
      <c r="S36" s="774" t="e">
        <f t="shared" si="12"/>
        <v>#N/A</v>
      </c>
      <c r="T36" s="773" t="s">
        <v>17</v>
      </c>
      <c r="U36" s="774" t="e">
        <f t="shared" si="13"/>
        <v>#N/A</v>
      </c>
      <c r="V36" s="773" t="s">
        <v>17</v>
      </c>
      <c r="W36" s="774" t="e">
        <f t="shared" si="14"/>
        <v>#N/A</v>
      </c>
      <c r="X36" s="1811"/>
      <c r="Y36" s="3218"/>
      <c r="Z36" s="1812" t="str">
        <f t="shared" si="15"/>
        <v>成新度</v>
      </c>
      <c r="AA36" s="1809" t="e">
        <f t="shared" si="3"/>
        <v>#N/A</v>
      </c>
      <c r="AB36" s="1809" t="e">
        <f t="shared" si="4"/>
        <v>#N/A</v>
      </c>
      <c r="AC36" s="1809" t="e">
        <f t="shared" si="5"/>
        <v>#N/A</v>
      </c>
    </row>
    <row r="37" spans="1:29" s="117" customFormat="1" ht="15">
      <c r="A37" s="472"/>
      <c r="B37" s="421" t="s">
        <v>2613</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56"/>
      <c r="Q37" s="1793"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2614</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56" t="s">
        <v>2516</v>
      </c>
      <c r="Q38" s="1808" t="str">
        <f t="shared" si="11"/>
        <v>业态</v>
      </c>
      <c r="R38" s="773" t="s">
        <v>17</v>
      </c>
      <c r="S38" s="774">
        <f t="shared" si="12"/>
        <v>100</v>
      </c>
      <c r="T38" s="773" t="s">
        <v>17</v>
      </c>
      <c r="U38" s="774">
        <f t="shared" si="13"/>
        <v>100</v>
      </c>
      <c r="V38" s="773" t="s">
        <v>17</v>
      </c>
      <c r="W38" s="774">
        <f t="shared" si="14"/>
        <v>100</v>
      </c>
      <c r="X38" s="1811"/>
      <c r="Y38" s="3218" t="s">
        <v>2516</v>
      </c>
      <c r="Z38" s="1812" t="str">
        <f t="shared" si="15"/>
        <v>业态</v>
      </c>
      <c r="AA38" s="1809">
        <f t="shared" si="3"/>
        <v>1</v>
      </c>
      <c r="AB38" s="1809">
        <f t="shared" si="4"/>
        <v>1</v>
      </c>
      <c r="AC38" s="1809">
        <f t="shared" si="5"/>
        <v>1</v>
      </c>
    </row>
    <row r="39" spans="1:29" ht="15">
      <c r="A39" s="471"/>
      <c r="B39" s="421" t="s">
        <v>2615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56"/>
      <c r="Q39" s="1808" t="str">
        <f t="shared" si="11"/>
        <v>层高</v>
      </c>
      <c r="R39" s="773" t="s">
        <v>17</v>
      </c>
      <c r="S39" s="774">
        <f t="shared" si="12"/>
        <v>100</v>
      </c>
      <c r="T39" s="773" t="s">
        <v>17</v>
      </c>
      <c r="U39" s="774">
        <f t="shared" si="13"/>
        <v>100</v>
      </c>
      <c r="V39" s="773" t="s">
        <v>17</v>
      </c>
      <c r="W39" s="774">
        <f t="shared" si="14"/>
        <v>100</v>
      </c>
      <c r="X39" s="1811"/>
      <c r="Y39" s="3218"/>
      <c r="Z39" s="1812" t="str">
        <f t="shared" si="15"/>
        <v>层高</v>
      </c>
      <c r="AA39" s="1809">
        <f t="shared" si="3"/>
        <v>1</v>
      </c>
      <c r="AB39" s="1809">
        <f t="shared" si="4"/>
        <v>1</v>
      </c>
      <c r="AC39" s="1809">
        <f t="shared" si="5"/>
        <v>1</v>
      </c>
    </row>
    <row r="40" spans="1:29" ht="15">
      <c r="A40" s="471"/>
      <c r="B40" s="421" t="s">
        <v>2616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56"/>
      <c r="Q40" s="1808" t="str">
        <f t="shared" si="11"/>
        <v>单套建筑面积</v>
      </c>
      <c r="R40" s="773" t="s">
        <v>17</v>
      </c>
      <c r="S40" s="774">
        <f t="shared" si="12"/>
        <v>100</v>
      </c>
      <c r="T40" s="773" t="s">
        <v>17</v>
      </c>
      <c r="U40" s="774">
        <f t="shared" si="13"/>
        <v>100</v>
      </c>
      <c r="V40" s="773" t="s">
        <v>17</v>
      </c>
      <c r="W40" s="774">
        <f t="shared" si="14"/>
        <v>100</v>
      </c>
      <c r="X40" s="1811"/>
      <c r="Y40" s="3218"/>
      <c r="Z40" s="1812" t="str">
        <f t="shared" si="15"/>
        <v>单套建筑面积</v>
      </c>
      <c r="AA40" s="1809">
        <f t="shared" si="3"/>
        <v>1</v>
      </c>
      <c r="AB40" s="1809">
        <f t="shared" si="4"/>
        <v>1</v>
      </c>
      <c r="AC40" s="1809">
        <f t="shared" si="5"/>
        <v>1</v>
      </c>
    </row>
    <row r="41" spans="1:29" s="470" customFormat="1" ht="15">
      <c r="A41" s="467"/>
      <c r="B41" s="1810" t="s">
        <v>2617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5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09">
        <f t="shared" si="3"/>
        <v>1</v>
      </c>
      <c r="AB41" s="1809">
        <f t="shared" si="4"/>
        <v>1</v>
      </c>
      <c r="AC41" s="1809">
        <f t="shared" si="5"/>
        <v>1</v>
      </c>
    </row>
    <row r="42" spans="1:29" ht="15">
      <c r="A42" s="471"/>
      <c r="B42" s="421" t="s">
        <v>2618</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56"/>
      <c r="Q42" s="1808" t="str">
        <f t="shared" si="11"/>
        <v>内部装修</v>
      </c>
      <c r="R42" s="773" t="s">
        <v>17</v>
      </c>
      <c r="S42" s="774">
        <f t="shared" si="12"/>
        <v>100</v>
      </c>
      <c r="T42" s="773" t="s">
        <v>17</v>
      </c>
      <c r="U42" s="774">
        <f t="shared" si="13"/>
        <v>100</v>
      </c>
      <c r="V42" s="773" t="s">
        <v>17</v>
      </c>
      <c r="W42" s="774">
        <f t="shared" si="14"/>
        <v>100</v>
      </c>
      <c r="X42" s="1811"/>
      <c r="Y42" s="3218"/>
      <c r="Z42" s="1812" t="str">
        <f t="shared" si="15"/>
        <v>内部装修</v>
      </c>
      <c r="AA42" s="1809">
        <f t="shared" si="3"/>
        <v>1</v>
      </c>
      <c r="AB42" s="1809">
        <f t="shared" si="4"/>
        <v>1</v>
      </c>
      <c r="AC42" s="1809">
        <f t="shared" si="5"/>
        <v>1</v>
      </c>
    </row>
    <row r="43" spans="1:29" ht="15">
      <c r="A43" s="471"/>
      <c r="B43" s="421" t="s">
        <v>2527</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56"/>
      <c r="Q43" s="1808" t="str">
        <f t="shared" si="11"/>
        <v>内部装修维护情况</v>
      </c>
      <c r="R43" s="773" t="s">
        <v>17</v>
      </c>
      <c r="S43" s="774">
        <f t="shared" si="12"/>
        <v>100</v>
      </c>
      <c r="T43" s="773" t="s">
        <v>17</v>
      </c>
      <c r="U43" s="774">
        <f t="shared" si="13"/>
        <v>100</v>
      </c>
      <c r="V43" s="773" t="s">
        <v>17</v>
      </c>
      <c r="W43" s="774">
        <f t="shared" si="14"/>
        <v>100</v>
      </c>
      <c r="X43" s="1811"/>
      <c r="Y43" s="3218"/>
      <c r="Z43" s="1812" t="str">
        <f t="shared" si="15"/>
        <v>内部装修维护情况</v>
      </c>
      <c r="AA43" s="1809">
        <f t="shared" si="3"/>
        <v>1</v>
      </c>
      <c r="AB43" s="1809">
        <f t="shared" si="4"/>
        <v>1</v>
      </c>
      <c r="AC43" s="1809">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6"/>
      <c r="Q44" s="1793">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6"/>
      <c r="Q45" s="1808">
        <f t="shared" si="11"/>
        <v>111</v>
      </c>
      <c r="R45" s="773" t="s">
        <v>17</v>
      </c>
      <c r="S45" s="774">
        <f t="shared" si="12"/>
        <v>100</v>
      </c>
      <c r="T45" s="773" t="s">
        <v>17</v>
      </c>
      <c r="U45" s="774">
        <f t="shared" si="13"/>
        <v>100</v>
      </c>
      <c r="V45" s="773" t="s">
        <v>17</v>
      </c>
      <c r="W45" s="774">
        <f t="shared" si="14"/>
        <v>100</v>
      </c>
      <c r="X45" s="1811"/>
      <c r="Y45" s="3218"/>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7"/>
      <c r="Q46" s="1808">
        <f t="shared" si="11"/>
        <v>111</v>
      </c>
      <c r="R46" s="773" t="s">
        <v>17</v>
      </c>
      <c r="S46" s="774">
        <f t="shared" si="12"/>
        <v>100</v>
      </c>
      <c r="T46" s="773" t="s">
        <v>17</v>
      </c>
      <c r="U46" s="774">
        <f t="shared" si="13"/>
        <v>100</v>
      </c>
      <c r="V46" s="773" t="s">
        <v>17</v>
      </c>
      <c r="W46" s="774">
        <f t="shared" si="14"/>
        <v>100</v>
      </c>
      <c r="X46" s="1811"/>
      <c r="Y46" s="3258"/>
      <c r="Z46" s="1812">
        <f t="shared" si="15"/>
        <v>111</v>
      </c>
      <c r="AA46" s="1809">
        <f t="shared" si="3"/>
        <v>1</v>
      </c>
      <c r="AB46" s="1809">
        <f t="shared" si="4"/>
        <v>1</v>
      </c>
      <c r="AC46" s="1809">
        <f t="shared" si="5"/>
        <v>1</v>
      </c>
    </row>
    <row r="47" spans="1:29" ht="15">
      <c r="A47" s="478" t="s">
        <v>2528</v>
      </c>
      <c r="B47" s="479"/>
      <c r="C47" s="1406" t="s">
        <v>1</v>
      </c>
      <c r="D47" s="1407"/>
      <c r="E47" s="1408"/>
      <c r="F47" s="1409"/>
      <c r="G47" s="1410"/>
      <c r="H47" s="1411"/>
      <c r="I47" s="1408"/>
      <c r="J47" s="1411"/>
      <c r="K47" s="782"/>
      <c r="L47" s="1142"/>
      <c r="M47" s="1143"/>
      <c r="N47" s="1130"/>
      <c r="O47" s="1143"/>
      <c r="P47" s="3213" t="str">
        <f>A47</f>
        <v>成交单价（元/平方米）</v>
      </c>
      <c r="Q47" s="3213"/>
      <c r="R47" s="3219">
        <f>E47</f>
        <v>0</v>
      </c>
      <c r="S47" s="3219"/>
      <c r="T47" s="3219">
        <f>G47</f>
        <v>0</v>
      </c>
      <c r="U47" s="3219"/>
      <c r="V47" s="3219">
        <f>I47</f>
        <v>0</v>
      </c>
      <c r="W47" s="3219"/>
      <c r="X47" s="758"/>
      <c r="Y47" s="780"/>
      <c r="Z47" s="758"/>
      <c r="AA47" s="758"/>
      <c r="AB47" s="758"/>
      <c r="AC47" s="758"/>
    </row>
    <row r="48" spans="1:29" ht="15.75" thickBot="1">
      <c r="A48" s="485" t="s">
        <v>2619</v>
      </c>
      <c r="B48" s="486"/>
      <c r="C48" s="1412" t="e">
        <f>R49</f>
        <v>#DIV/0!</v>
      </c>
      <c r="D48" s="1413"/>
      <c r="E48" s="1414" t="e">
        <f>R48</f>
        <v>#DIV/0!</v>
      </c>
      <c r="F48" s="1414"/>
      <c r="G48" s="1412" t="e">
        <f>T48</f>
        <v>#DIV/0!</v>
      </c>
      <c r="H48" s="1413"/>
      <c r="I48" s="1414" t="e">
        <f>V48</f>
        <v>#DIV/0!</v>
      </c>
      <c r="J48" s="1413"/>
      <c r="K48" s="783"/>
      <c r="L48" s="1142"/>
      <c r="M48" s="1143"/>
      <c r="N48" s="1130"/>
      <c r="O48" s="1143"/>
      <c r="P48" s="3213" t="str">
        <f>A48</f>
        <v>比较价值（元/平方米）</v>
      </c>
      <c r="Q48" s="321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2620</v>
      </c>
      <c r="B49" s="492"/>
      <c r="C49" s="1416" t="e">
        <f>R49</f>
        <v>#DIV/0!</v>
      </c>
      <c r="D49" s="1416"/>
      <c r="E49" s="1416"/>
      <c r="F49" s="1416"/>
      <c r="G49" s="1416"/>
      <c r="H49" s="1416"/>
      <c r="I49" s="1416"/>
      <c r="J49" s="1416"/>
      <c r="K49" s="784"/>
      <c r="L49" s="1142"/>
      <c r="M49" s="1143"/>
      <c r="N49" s="1130"/>
      <c r="O49" s="1143"/>
      <c r="P49" s="3207" t="str">
        <f>A49</f>
        <v>估价对象XX用房的比较价值（楼面单价，元/平方米）</v>
      </c>
      <c r="Q49" s="3208"/>
      <c r="R49" s="3253" t="e">
        <f>IF(F1="售价",ROUND(AVERAGE(R48:V48),0),ROUND(AVERAGE(R48:V48),1))</f>
        <v>#DIV/0!</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2621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2622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2623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2499</v>
      </c>
      <c r="B58" s="505"/>
      <c r="C58" s="1572" t="str">
        <f>YEAR(C7)&amp;"-"&amp;MONTH(C7)</f>
        <v>2020-4</v>
      </c>
      <c r="D58" s="1573">
        <f>EDATE(C58,-1)</f>
        <v>43891</v>
      </c>
      <c r="E58" s="1573">
        <f t="shared" ref="E58:N58" si="16">EDATE(D58,-1)</f>
        <v>43862</v>
      </c>
      <c r="F58" s="1573">
        <f t="shared" si="16"/>
        <v>43831</v>
      </c>
      <c r="G58" s="1573">
        <f t="shared" si="16"/>
        <v>43800</v>
      </c>
      <c r="H58" s="1573">
        <f t="shared" si="16"/>
        <v>43770</v>
      </c>
      <c r="I58" s="1573">
        <f t="shared" si="16"/>
        <v>43739</v>
      </c>
      <c r="J58" s="1573">
        <f t="shared" si="16"/>
        <v>43709</v>
      </c>
      <c r="K58" s="1573">
        <f t="shared" si="16"/>
        <v>43678</v>
      </c>
      <c r="L58" s="1573">
        <f t="shared" si="16"/>
        <v>43647</v>
      </c>
      <c r="M58" s="1573">
        <f t="shared" si="16"/>
        <v>43617</v>
      </c>
      <c r="N58" s="1573">
        <f t="shared" si="16"/>
        <v>43586</v>
      </c>
      <c r="O58" s="1573">
        <f>EDATE(N58,-1)</f>
        <v>43556</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2535</v>
      </c>
      <c r="B60" s="515"/>
      <c r="C60" s="516"/>
      <c r="D60" s="517"/>
      <c r="E60" s="517"/>
      <c r="F60" s="517"/>
      <c r="G60" s="517"/>
      <c r="H60" s="517"/>
      <c r="I60" s="517"/>
      <c r="J60" s="517"/>
      <c r="K60" s="517"/>
      <c r="L60" s="517"/>
      <c r="M60" s="518"/>
      <c r="N60" s="517"/>
      <c r="O60" s="518"/>
      <c r="P60" s="2624"/>
      <c r="Q60" s="503"/>
    </row>
    <row r="61" spans="1:29" s="117" customFormat="1" ht="15">
      <c r="A61" s="520" t="s">
        <v>2501</v>
      </c>
      <c r="B61" s="509"/>
      <c r="C61" s="521" t="s">
        <v>2602</v>
      </c>
      <c r="D61" s="522"/>
      <c r="E61" s="522"/>
      <c r="F61" s="522"/>
      <c r="G61" s="522"/>
      <c r="H61" s="522"/>
      <c r="I61" s="522"/>
      <c r="J61" s="522"/>
      <c r="K61" s="522"/>
      <c r="L61" s="523"/>
      <c r="M61" s="524"/>
      <c r="N61" s="1150"/>
      <c r="O61" s="1150"/>
      <c r="P61" s="2625"/>
      <c r="Q61" s="503"/>
    </row>
    <row r="62" spans="1:29" s="117"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2538</v>
      </c>
      <c r="B63" s="527" t="s">
        <v>2505</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2508</v>
      </c>
      <c r="C65" s="538" t="s">
        <v>2539</v>
      </c>
      <c r="D65" s="538" t="s">
        <v>2540</v>
      </c>
      <c r="E65" s="538" t="s">
        <v>2541</v>
      </c>
      <c r="F65" s="538" t="s">
        <v>2542</v>
      </c>
      <c r="G65" s="538" t="s">
        <v>2543</v>
      </c>
      <c r="H65" s="538" t="s">
        <v>2544</v>
      </c>
      <c r="I65" s="538" t="s">
        <v>2545</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2509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2510</v>
      </c>
      <c r="B76" s="527" t="s">
        <v>2546</v>
      </c>
      <c r="C76" s="572" t="s">
        <v>2547</v>
      </c>
      <c r="D76" s="572" t="s">
        <v>2548</v>
      </c>
      <c r="E76" s="572" t="s">
        <v>2549</v>
      </c>
      <c r="F76" s="572" t="s">
        <v>2550</v>
      </c>
      <c r="G76" s="572" t="s">
        <v>2551</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2552</v>
      </c>
      <c r="C78" s="577" t="s">
        <v>2547</v>
      </c>
      <c r="D78" s="577" t="s">
        <v>2548</v>
      </c>
      <c r="E78" s="577" t="s">
        <v>2549</v>
      </c>
      <c r="F78" s="577" t="s">
        <v>2550</v>
      </c>
      <c r="G78" s="577" t="s">
        <v>2551</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2553</v>
      </c>
      <c r="C80" s="577" t="s">
        <v>2547</v>
      </c>
      <c r="D80" s="577" t="s">
        <v>2548</v>
      </c>
      <c r="E80" s="577" t="s">
        <v>2549</v>
      </c>
      <c r="F80" s="577" t="s">
        <v>2550</v>
      </c>
      <c r="G80" s="577" t="s">
        <v>2551</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2605</v>
      </c>
      <c r="C82" s="659" t="s">
        <v>2625</v>
      </c>
      <c r="D82" s="659" t="s">
        <v>2626</v>
      </c>
      <c r="E82" s="659" t="s">
        <v>2627</v>
      </c>
      <c r="F82" s="659" t="s">
        <v>2628</v>
      </c>
      <c r="G82" s="659" t="s">
        <v>2629</v>
      </c>
      <c r="H82" s="538"/>
      <c r="I82" s="538"/>
      <c r="J82" s="538"/>
      <c r="K82" s="538"/>
      <c r="L82" s="538"/>
      <c r="M82" s="1381"/>
      <c r="N82" s="1152"/>
      <c r="O82" s="1152"/>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6"/>
      <c r="Q83" s="503"/>
    </row>
    <row r="84" spans="1:17" ht="15.75" thickTop="1">
      <c r="A84" s="533"/>
      <c r="B84" s="537" t="s">
        <v>2559</v>
      </c>
      <c r="C84" s="577" t="s">
        <v>2547</v>
      </c>
      <c r="D84" s="577" t="s">
        <v>2548</v>
      </c>
      <c r="E84" s="577" t="s">
        <v>2549</v>
      </c>
      <c r="F84" s="577" t="s">
        <v>2550</v>
      </c>
      <c r="G84" s="577" t="s">
        <v>2551</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7" customFormat="1" ht="15.75" thickTop="1">
      <c r="A86" s="578"/>
      <c r="B86" s="537" t="s">
        <v>2630</v>
      </c>
      <c r="C86" s="553"/>
      <c r="D86" s="553"/>
      <c r="E86" s="553"/>
      <c r="F86" s="553"/>
      <c r="G86" s="553"/>
      <c r="H86" s="553"/>
      <c r="I86" s="553"/>
      <c r="J86" s="553"/>
      <c r="K86" s="553"/>
      <c r="L86" s="579"/>
      <c r="M86" s="580"/>
      <c r="N86" s="1150"/>
      <c r="O86" s="1150"/>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7"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2514</v>
      </c>
      <c r="B100" s="527" t="s">
        <v>2631</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6"/>
      <c r="Q101" s="503"/>
    </row>
    <row r="102" spans="1:17" ht="15.75" thickTop="1">
      <c r="A102" s="533"/>
      <c r="B102" s="537" t="s">
        <v>2563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2564</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6"/>
      <c r="Q106" s="503"/>
    </row>
    <row r="107" spans="1:17" ht="15" thickTop="1">
      <c r="A107" s="598"/>
      <c r="B107" s="537" t="s">
        <v>2566</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6"/>
      <c r="Q108" s="503"/>
    </row>
    <row r="109" spans="1:17" ht="15" thickTop="1">
      <c r="A109" s="598"/>
      <c r="B109" s="537" t="s">
        <v>1958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6"/>
      <c r="Q111" s="503"/>
    </row>
    <row r="112" spans="1:17" s="470" customFormat="1" ht="15" thickTop="1">
      <c r="A112" s="592"/>
      <c r="B112" s="537" t="s">
        <v>2568</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7"/>
      <c r="Q113" s="558"/>
    </row>
    <row r="114" spans="1:17" ht="15" thickTop="1">
      <c r="A114" s="598"/>
      <c r="B114" s="537" t="s">
        <v>2632</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6"/>
      <c r="Q115" s="503"/>
    </row>
    <row r="116" spans="1:17" ht="15" thickTop="1">
      <c r="A116" s="598"/>
      <c r="B116" s="537" t="s">
        <v>2633</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2634</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2635</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2570</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6"/>
      <c r="Q123" s="503"/>
    </row>
    <row r="124" spans="1:17" ht="15" thickTop="1">
      <c r="A124" s="598"/>
      <c r="B124" s="537" t="s">
        <v>2571</v>
      </c>
      <c r="C124" s="577" t="s">
        <v>2547</v>
      </c>
      <c r="D124" s="577" t="s">
        <v>2548</v>
      </c>
      <c r="E124" s="577" t="s">
        <v>2549</v>
      </c>
      <c r="F124" s="577" t="s">
        <v>2550</v>
      </c>
      <c r="G124" s="577" t="s">
        <v>2551</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2479</v>
      </c>
      <c r="B1" s="2665" t="s">
        <v>2636</v>
      </c>
      <c r="C1" s="1618" t="s">
        <v>2481</v>
      </c>
      <c r="D1" s="1619"/>
      <c r="E1" s="1628"/>
      <c r="F1" s="2580"/>
      <c r="G1" s="1629" t="s">
        <v>2593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2281</v>
      </c>
      <c r="B2" s="1417" t="e">
        <f ca="1">IF(C2="——",ROUND(C50*D3/10000,0),ROUND(C50*D3/10000,0)-D2)</f>
        <v>#DIV/0!</v>
      </c>
      <c r="C2" s="2582"/>
      <c r="D2" s="1364" t="e">
        <f ca="1">SUMIF(INDIRECT("'"&amp;F2&amp;"'"&amp;"!A:A"),"承租人权益价值",INDIRECT("'"&amp;F2&amp;"'"&amp;"!c:c"))</f>
        <v>#REF!</v>
      </c>
      <c r="E2" s="2583" t="s">
        <v>2282</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2283</v>
      </c>
      <c r="B3" s="608" t="e">
        <f ca="1">IF(C2="——",C50,ROUND(B2*10000/D3,0))</f>
        <v>#DIV/0!</v>
      </c>
      <c r="C3" s="399" t="s">
        <v>2594</v>
      </c>
      <c r="D3" s="398">
        <f>IF(D1="",'数据-汇总表'!E3,SUMIF('数据-汇总表'!$C19:$C33,D1,'数据-汇总表'!$E19:$E33))</f>
        <v>123740.26</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96" t="s">
        <v>2601</v>
      </c>
      <c r="Q4" s="3297"/>
      <c r="R4" s="3300" t="s">
        <v>2597</v>
      </c>
      <c r="S4" s="3301"/>
      <c r="T4" s="3300" t="s">
        <v>2598</v>
      </c>
      <c r="U4" s="3301"/>
      <c r="V4" s="3302" t="s">
        <v>2599</v>
      </c>
      <c r="W4" s="3302"/>
      <c r="X4" s="2666"/>
      <c r="Y4" s="3300" t="s">
        <v>2601</v>
      </c>
      <c r="Z4" s="3301"/>
      <c r="AA4" s="3304" t="s">
        <v>2597</v>
      </c>
      <c r="AB4" s="3304" t="s">
        <v>2598</v>
      </c>
      <c r="AC4" s="3293" t="s">
        <v>2599</v>
      </c>
    </row>
    <row r="5" spans="1:29" ht="15">
      <c r="A5" s="403"/>
      <c r="B5" s="404"/>
      <c r="C5" s="3240" t="s">
        <v>2493</v>
      </c>
      <c r="D5" s="3241"/>
      <c r="E5" s="3248" t="s">
        <v>2494</v>
      </c>
      <c r="F5" s="3249"/>
      <c r="G5" s="3240" t="s">
        <v>2495</v>
      </c>
      <c r="H5" s="3241"/>
      <c r="I5" s="3240" t="s">
        <v>2496</v>
      </c>
      <c r="J5" s="3241"/>
      <c r="K5" s="609"/>
      <c r="L5" s="1129"/>
      <c r="M5" s="1130"/>
      <c r="N5" s="1130"/>
      <c r="O5" s="1130"/>
      <c r="P5" s="3298"/>
      <c r="Q5" s="3229"/>
      <c r="R5" s="3234"/>
      <c r="S5" s="3235"/>
      <c r="T5" s="3234"/>
      <c r="U5" s="3235"/>
      <c r="V5" s="3219"/>
      <c r="W5" s="3219"/>
      <c r="X5" s="1811"/>
      <c r="Y5" s="3234"/>
      <c r="Z5" s="3235"/>
      <c r="AA5" s="3221"/>
      <c r="AB5" s="3221"/>
      <c r="AC5" s="3294"/>
    </row>
    <row r="6" spans="1:29" ht="15.75" thickBot="1">
      <c r="A6" s="405"/>
      <c r="B6" s="406"/>
      <c r="C6" s="3238" t="s">
        <v>2497</v>
      </c>
      <c r="D6" s="3239"/>
      <c r="E6" s="3246" t="s">
        <v>2497</v>
      </c>
      <c r="F6" s="3247"/>
      <c r="G6" s="3238" t="s">
        <v>2497</v>
      </c>
      <c r="H6" s="3239"/>
      <c r="I6" s="3238" t="s">
        <v>2497</v>
      </c>
      <c r="J6" s="3239"/>
      <c r="K6" s="609" t="s">
        <v>2498</v>
      </c>
      <c r="L6" s="1129"/>
      <c r="M6" s="1130"/>
      <c r="N6" s="1130"/>
      <c r="O6" s="1130"/>
      <c r="P6" s="3299"/>
      <c r="Q6" s="3231"/>
      <c r="R6" s="3234"/>
      <c r="S6" s="3235"/>
      <c r="T6" s="3236"/>
      <c r="U6" s="3237"/>
      <c r="V6" s="3219"/>
      <c r="W6" s="3219"/>
      <c r="X6" s="1811"/>
      <c r="Y6" s="3236"/>
      <c r="Z6" s="3237"/>
      <c r="AA6" s="3222"/>
      <c r="AB6" s="3222"/>
      <c r="AC6" s="3295"/>
    </row>
    <row r="7" spans="1:29" s="117" customFormat="1" ht="15.75" thickBot="1">
      <c r="A7" s="407" t="s">
        <v>2499</v>
      </c>
      <c r="B7" s="408"/>
      <c r="C7" s="409">
        <f>'数据-取费表'!B2</f>
        <v>43926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3" t="s">
        <v>2500</v>
      </c>
      <c r="Q7" s="3244"/>
      <c r="R7" s="769" t="s">
        <v>17</v>
      </c>
      <c r="S7" s="770">
        <f t="shared" ref="S7:S15" si="0">F7</f>
        <v>0</v>
      </c>
      <c r="T7" s="769" t="s">
        <v>17</v>
      </c>
      <c r="U7" s="770">
        <f t="shared" ref="U7:U15" si="1">H7</f>
        <v>0</v>
      </c>
      <c r="V7" s="769" t="s">
        <v>17</v>
      </c>
      <c r="W7" s="770">
        <f t="shared" ref="W7:W15" si="2">J7</f>
        <v>0</v>
      </c>
      <c r="X7" s="771"/>
      <c r="Y7" s="3242" t="s">
        <v>2500</v>
      </c>
      <c r="Z7" s="3243"/>
      <c r="AA7" s="772" t="e">
        <f>D7/F7</f>
        <v>#DIV/0!</v>
      </c>
      <c r="AB7" s="772" t="e">
        <f>D7/H7</f>
        <v>#DIV/0!</v>
      </c>
      <c r="AC7" s="2667" t="e">
        <f>D7/J7</f>
        <v>#DIV/0!</v>
      </c>
    </row>
    <row r="8" spans="1:29" s="117" customFormat="1" ht="15.75" thickBot="1">
      <c r="A8" s="407" t="s">
        <v>2501</v>
      </c>
      <c r="B8" s="408"/>
      <c r="C8" s="413" t="s">
        <v>2602</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3" t="s">
        <v>2503</v>
      </c>
      <c r="Q8" s="3243"/>
      <c r="R8" s="769" t="s">
        <v>17</v>
      </c>
      <c r="S8" s="770">
        <f t="shared" si="0"/>
        <v>0</v>
      </c>
      <c r="T8" s="769" t="s">
        <v>17</v>
      </c>
      <c r="U8" s="770">
        <f t="shared" si="1"/>
        <v>0</v>
      </c>
      <c r="V8" s="769" t="s">
        <v>17</v>
      </c>
      <c r="W8" s="770">
        <f t="shared" si="2"/>
        <v>0</v>
      </c>
      <c r="X8" s="771"/>
      <c r="Y8" s="3242" t="s">
        <v>2503</v>
      </c>
      <c r="Z8" s="3243"/>
      <c r="AA8" s="772" t="e">
        <f t="shared" ref="AA8:AA47" si="3">D8/F8</f>
        <v>#DIV/0!</v>
      </c>
      <c r="AB8" s="772" t="e">
        <f t="shared" ref="AB8:AB47" si="4">D8/H8</f>
        <v>#DIV/0!</v>
      </c>
      <c r="AC8" s="2667" t="e">
        <f t="shared" ref="AC8:AC47" si="5">D8/J8</f>
        <v>#DIV/0!</v>
      </c>
    </row>
    <row r="9" spans="1:29" s="117" customFormat="1">
      <c r="A9" s="414" t="s">
        <v>2504</v>
      </c>
      <c r="B9" s="71" t="s">
        <v>2505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2"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2667">
        <f t="shared" si="5"/>
        <v>1</v>
      </c>
    </row>
    <row r="10" spans="1:29" s="426" customFormat="1" ht="27">
      <c r="A10" s="420"/>
      <c r="B10" s="421" t="s">
        <v>2508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2"/>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2667">
        <f t="shared" si="5"/>
        <v>1</v>
      </c>
    </row>
    <row r="11" spans="1:29" ht="15">
      <c r="A11" s="427"/>
      <c r="B11" s="421" t="s">
        <v>2509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2"/>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12"/>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12"/>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12"/>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2667">
        <f t="shared" si="5"/>
        <v>1</v>
      </c>
    </row>
    <row r="15" spans="1:29" ht="15">
      <c r="A15" s="439" t="s">
        <v>2510</v>
      </c>
      <c r="B15" s="628" t="s">
        <v>2637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9" t="s">
        <v>2511</v>
      </c>
      <c r="Q15" s="1808" t="str">
        <f t="shared" si="6"/>
        <v>办公集聚程度</v>
      </c>
      <c r="R15" s="773" t="s">
        <v>17</v>
      </c>
      <c r="S15" s="774">
        <f t="shared" si="0"/>
        <v>100</v>
      </c>
      <c r="T15" s="773" t="s">
        <v>17</v>
      </c>
      <c r="U15" s="774">
        <f t="shared" si="1"/>
        <v>100</v>
      </c>
      <c r="V15" s="773" t="s">
        <v>17</v>
      </c>
      <c r="W15" s="774">
        <f t="shared" si="2"/>
        <v>100</v>
      </c>
      <c r="X15" s="1811"/>
      <c r="Y15" s="3215" t="s">
        <v>2511</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9"/>
      <c r="M16" s="1130"/>
      <c r="N16" s="1130"/>
      <c r="O16" s="1130"/>
      <c r="P16" s="3260"/>
      <c r="Q16" s="1808"/>
      <c r="R16" s="773"/>
      <c r="S16" s="774"/>
      <c r="T16" s="773"/>
      <c r="U16" s="774"/>
      <c r="V16" s="773"/>
      <c r="W16" s="774"/>
      <c r="X16" s="1811"/>
      <c r="Y16" s="3216"/>
      <c r="Z16" s="1812"/>
      <c r="AA16" s="1809">
        <v>1</v>
      </c>
      <c r="AB16" s="1809">
        <v>1</v>
      </c>
      <c r="AC16" s="2670">
        <v>1</v>
      </c>
    </row>
    <row r="17" spans="1:29" ht="128.25">
      <c r="A17" s="427"/>
      <c r="B17" s="630" t="s">
        <v>2054</v>
      </c>
      <c r="C17" s="2671" t="str">
        <f>估价对象房地状况!C6</f>
        <v>估价对象周边道路状况较好、公共交通通达情况较好、停车便捷程度较好，周边临近8号线德茂站、周边有341/453等公交线路，综合评价交通便捷度较好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60"/>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9"/>
      <c r="M18" s="1130"/>
      <c r="N18" s="1130"/>
      <c r="O18" s="1130"/>
      <c r="P18" s="3260"/>
      <c r="Q18" s="1808"/>
      <c r="R18" s="773"/>
      <c r="S18" s="774"/>
      <c r="T18" s="773"/>
      <c r="U18" s="774"/>
      <c r="V18" s="773"/>
      <c r="W18" s="774"/>
      <c r="X18" s="1811"/>
      <c r="Y18" s="3216"/>
      <c r="Z18" s="1812"/>
      <c r="AA18" s="1809">
        <v>1</v>
      </c>
      <c r="AB18" s="1809">
        <v>1</v>
      </c>
      <c r="AC18" s="2670">
        <v>1</v>
      </c>
    </row>
    <row r="19" spans="1:29" ht="42.75">
      <c r="A19" s="427"/>
      <c r="B19" s="630" t="s">
        <v>2638</v>
      </c>
      <c r="C19" s="2671"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60"/>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9"/>
      <c r="M20" s="1130"/>
      <c r="N20" s="1130"/>
      <c r="O20" s="1130"/>
      <c r="P20" s="3260"/>
      <c r="Q20" s="1808"/>
      <c r="R20" s="773"/>
      <c r="S20" s="774"/>
      <c r="T20" s="773"/>
      <c r="U20" s="774"/>
      <c r="V20" s="773"/>
      <c r="W20" s="774"/>
      <c r="X20" s="1811"/>
      <c r="Y20" s="3216"/>
      <c r="Z20" s="1812"/>
      <c r="AA20" s="1809">
        <v>1</v>
      </c>
      <c r="AB20" s="1809">
        <v>1</v>
      </c>
      <c r="AC20" s="2670">
        <v>1</v>
      </c>
    </row>
    <row r="21" spans="1:29" ht="28.5">
      <c r="A21" s="427"/>
      <c r="B21" s="632" t="s">
        <v>2639</v>
      </c>
      <c r="C21" s="2671"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60"/>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2"/>
      <c r="L22" s="1139"/>
      <c r="M22" s="1130"/>
      <c r="N22" s="1130"/>
      <c r="O22" s="1130"/>
      <c r="P22" s="3260"/>
      <c r="Q22" s="1808"/>
      <c r="R22" s="773"/>
      <c r="S22" s="774"/>
      <c r="T22" s="773"/>
      <c r="U22" s="774"/>
      <c r="V22" s="773"/>
      <c r="W22" s="774"/>
      <c r="X22" s="1811"/>
      <c r="Y22" s="3216"/>
      <c r="Z22" s="1812"/>
      <c r="AA22" s="1809">
        <v>1</v>
      </c>
      <c r="AB22" s="1809">
        <v>1</v>
      </c>
      <c r="AC22" s="2670">
        <v>1</v>
      </c>
    </row>
    <row r="23" spans="1:29" ht="71.25">
      <c r="A23" s="427"/>
      <c r="B23" s="630" t="s">
        <v>2640</v>
      </c>
      <c r="C23" s="2671" t="str">
        <f>估价对象房地状况!C9</f>
        <v>区域自然环境好；人文环境较好；周边有南海子公园等，综合评价环境状况较好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60"/>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9"/>
      <c r="M24" s="1130"/>
      <c r="N24" s="1130"/>
      <c r="O24" s="1130"/>
      <c r="P24" s="3260"/>
      <c r="Q24" s="1808"/>
      <c r="R24" s="773"/>
      <c r="S24" s="774"/>
      <c r="T24" s="773"/>
      <c r="U24" s="774"/>
      <c r="V24" s="773"/>
      <c r="W24" s="774"/>
      <c r="X24" s="1811"/>
      <c r="Y24" s="3216"/>
      <c r="Z24" s="1812"/>
      <c r="AA24" s="1809">
        <v>1</v>
      </c>
      <c r="AB24" s="1809">
        <v>1</v>
      </c>
      <c r="AC24" s="2670">
        <v>1</v>
      </c>
    </row>
    <row r="25" spans="1:29" ht="27">
      <c r="A25" s="403"/>
      <c r="B25" s="630" t="s">
        <v>2641</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60"/>
      <c r="Q25" s="1808" t="str">
        <f>B25</f>
        <v>毗邻道路的类型与等级</v>
      </c>
      <c r="R25" s="773" t="s">
        <v>17</v>
      </c>
      <c r="S25" s="774">
        <f>F25</f>
        <v>100</v>
      </c>
      <c r="T25" s="773" t="s">
        <v>17</v>
      </c>
      <c r="U25" s="774">
        <f>H25</f>
        <v>100</v>
      </c>
      <c r="V25" s="773" t="s">
        <v>17</v>
      </c>
      <c r="W25" s="774">
        <f>J25</f>
        <v>100</v>
      </c>
      <c r="X25" s="1811"/>
      <c r="Y25" s="3216"/>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9"/>
      <c r="M26" s="1130"/>
      <c r="N26" s="1130"/>
      <c r="O26" s="1130"/>
      <c r="P26" s="3260"/>
      <c r="Q26" s="1808"/>
      <c r="R26" s="773"/>
      <c r="S26" s="774"/>
      <c r="T26" s="773"/>
      <c r="U26" s="774"/>
      <c r="V26" s="773"/>
      <c r="W26" s="774"/>
      <c r="X26" s="1811"/>
      <c r="Y26" s="3216"/>
      <c r="Z26" s="1812"/>
      <c r="AA26" s="1809">
        <v>1</v>
      </c>
      <c r="AB26" s="1809">
        <v>1</v>
      </c>
      <c r="AC26" s="2670">
        <v>1</v>
      </c>
    </row>
    <row r="27" spans="1:29" ht="15">
      <c r="A27" s="427"/>
      <c r="B27" s="631" t="s">
        <v>2609</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60"/>
      <c r="Q27" s="1808" t="str">
        <f t="shared" ref="Q27:Q47" si="11">B27</f>
        <v>楼层</v>
      </c>
      <c r="R27" s="773" t="s">
        <v>17</v>
      </c>
      <c r="S27" s="774">
        <f>F27</f>
        <v>100</v>
      </c>
      <c r="T27" s="773" t="s">
        <v>17</v>
      </c>
      <c r="U27" s="774">
        <f>H27</f>
        <v>100</v>
      </c>
      <c r="V27" s="773" t="s">
        <v>17</v>
      </c>
      <c r="W27" s="774">
        <f>J27</f>
        <v>100</v>
      </c>
      <c r="X27" s="1811"/>
      <c r="Y27" s="3216"/>
      <c r="Z27" s="1812" t="str">
        <f>Q27</f>
        <v>楼层</v>
      </c>
      <c r="AA27" s="1809">
        <f t="shared" si="3"/>
        <v>1</v>
      </c>
      <c r="AB27" s="1809">
        <f t="shared" si="4"/>
        <v>1</v>
      </c>
      <c r="AC27" s="2670">
        <f t="shared" si="5"/>
        <v>1</v>
      </c>
    </row>
    <row r="28" spans="1:29" s="117" customFormat="1" ht="15">
      <c r="A28" s="430"/>
      <c r="B28" s="630" t="s">
        <v>2642</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60"/>
      <c r="Q28" s="1793" t="str">
        <f t="shared" si="11"/>
        <v>朝向</v>
      </c>
      <c r="R28" s="769" t="s">
        <v>17</v>
      </c>
      <c r="S28" s="770">
        <f>F28</f>
        <v>100</v>
      </c>
      <c r="T28" s="769" t="s">
        <v>17</v>
      </c>
      <c r="U28" s="770">
        <f>H28</f>
        <v>100</v>
      </c>
      <c r="V28" s="769" t="s">
        <v>17</v>
      </c>
      <c r="W28" s="770">
        <f>J28</f>
        <v>100</v>
      </c>
      <c r="X28" s="771"/>
      <c r="Y28" s="3216"/>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60"/>
      <c r="Q29" s="1808">
        <f t="shared" si="11"/>
        <v>111</v>
      </c>
      <c r="R29" s="773" t="s">
        <v>17</v>
      </c>
      <c r="S29" s="774">
        <f t="shared" ref="S29:S47" si="12">F29</f>
        <v>100</v>
      </c>
      <c r="T29" s="773" t="s">
        <v>17</v>
      </c>
      <c r="U29" s="774">
        <f t="shared" ref="U29:U47" si="13">H29</f>
        <v>100</v>
      </c>
      <c r="V29" s="773" t="s">
        <v>17</v>
      </c>
      <c r="W29" s="774">
        <f t="shared" ref="W29:W47" si="14">J29</f>
        <v>100</v>
      </c>
      <c r="X29" s="1811"/>
      <c r="Y29" s="3216"/>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60"/>
      <c r="Q30" s="1808">
        <f t="shared" si="11"/>
        <v>111</v>
      </c>
      <c r="R30" s="773" t="s">
        <v>17</v>
      </c>
      <c r="S30" s="774">
        <f t="shared" si="12"/>
        <v>100</v>
      </c>
      <c r="T30" s="773" t="s">
        <v>17</v>
      </c>
      <c r="U30" s="774">
        <f t="shared" si="13"/>
        <v>100</v>
      </c>
      <c r="V30" s="773" t="s">
        <v>17</v>
      </c>
      <c r="W30" s="774">
        <f t="shared" si="14"/>
        <v>100</v>
      </c>
      <c r="X30" s="1811"/>
      <c r="Y30" s="3216"/>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60"/>
      <c r="Q31" s="1808">
        <f t="shared" si="11"/>
        <v>111</v>
      </c>
      <c r="R31" s="773" t="s">
        <v>17</v>
      </c>
      <c r="S31" s="774">
        <f t="shared" si="12"/>
        <v>100</v>
      </c>
      <c r="T31" s="773" t="s">
        <v>17</v>
      </c>
      <c r="U31" s="774">
        <f t="shared" si="13"/>
        <v>100</v>
      </c>
      <c r="V31" s="773" t="s">
        <v>17</v>
      </c>
      <c r="W31" s="774">
        <f t="shared" si="14"/>
        <v>100</v>
      </c>
      <c r="X31" s="1811"/>
      <c r="Y31" s="3216"/>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60"/>
      <c r="Q32" s="1808">
        <f t="shared" si="11"/>
        <v>111</v>
      </c>
      <c r="R32" s="773" t="s">
        <v>17</v>
      </c>
      <c r="S32" s="774">
        <f t="shared" si="12"/>
        <v>100</v>
      </c>
      <c r="T32" s="773" t="s">
        <v>17</v>
      </c>
      <c r="U32" s="774">
        <f t="shared" si="13"/>
        <v>100</v>
      </c>
      <c r="V32" s="773" t="s">
        <v>17</v>
      </c>
      <c r="W32" s="774">
        <f t="shared" si="14"/>
        <v>100</v>
      </c>
      <c r="X32" s="1811"/>
      <c r="Y32" s="3216"/>
      <c r="Z32" s="1812">
        <f t="shared" si="15"/>
        <v>111</v>
      </c>
      <c r="AA32" s="1809">
        <f t="shared" si="3"/>
        <v>1</v>
      </c>
      <c r="AB32" s="1809">
        <f t="shared" si="4"/>
        <v>1</v>
      </c>
      <c r="AC32" s="2670">
        <f t="shared" si="5"/>
        <v>1</v>
      </c>
    </row>
    <row r="33" spans="1:29" ht="15">
      <c r="A33" s="439" t="s">
        <v>2514</v>
      </c>
      <c r="B33" s="71" t="s">
        <v>2643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55" t="s">
        <v>2516</v>
      </c>
      <c r="Q33" s="1808" t="str">
        <f t="shared" si="11"/>
        <v>建筑类型</v>
      </c>
      <c r="R33" s="773" t="s">
        <v>17</v>
      </c>
      <c r="S33" s="774">
        <f t="shared" si="12"/>
        <v>100</v>
      </c>
      <c r="T33" s="773" t="s">
        <v>17</v>
      </c>
      <c r="U33" s="774">
        <f t="shared" si="13"/>
        <v>100</v>
      </c>
      <c r="V33" s="773" t="s">
        <v>17</v>
      </c>
      <c r="W33" s="774">
        <f t="shared" si="14"/>
        <v>100</v>
      </c>
      <c r="X33" s="1811"/>
      <c r="Y33" s="3218" t="s">
        <v>2516</v>
      </c>
      <c r="Z33" s="1812" t="str">
        <f t="shared" si="15"/>
        <v>建筑类型</v>
      </c>
      <c r="AA33" s="1809">
        <f t="shared" si="3"/>
        <v>1</v>
      </c>
      <c r="AB33" s="1809">
        <f t="shared" si="4"/>
        <v>1</v>
      </c>
      <c r="AC33" s="2670">
        <f t="shared" si="5"/>
        <v>1</v>
      </c>
    </row>
    <row r="34" spans="1:29" s="470" customFormat="1" ht="15">
      <c r="A34" s="467"/>
      <c r="B34" s="421" t="s">
        <v>2517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09" t="e">
        <f t="shared" si="3"/>
        <v>#N/A</v>
      </c>
      <c r="AB34" s="1809" t="e">
        <f t="shared" si="4"/>
        <v>#N/A</v>
      </c>
      <c r="AC34" s="2670" t="e">
        <f t="shared" si="5"/>
        <v>#N/A</v>
      </c>
    </row>
    <row r="35" spans="1:29" ht="15">
      <c r="A35" s="471"/>
      <c r="B35" s="421" t="s">
        <v>2518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6"/>
      <c r="Q35" s="1808" t="str">
        <f t="shared" si="11"/>
        <v>建筑结构</v>
      </c>
      <c r="R35" s="773" t="s">
        <v>17</v>
      </c>
      <c r="S35" s="774">
        <f t="shared" si="12"/>
        <v>100</v>
      </c>
      <c r="T35" s="773" t="s">
        <v>17</v>
      </c>
      <c r="U35" s="774">
        <f t="shared" si="13"/>
        <v>100</v>
      </c>
      <c r="V35" s="773" t="s">
        <v>17</v>
      </c>
      <c r="W35" s="774">
        <f t="shared" si="14"/>
        <v>100</v>
      </c>
      <c r="X35" s="1811"/>
      <c r="Y35" s="3218"/>
      <c r="Z35" s="1812" t="str">
        <f t="shared" si="15"/>
        <v>建筑结构</v>
      </c>
      <c r="AA35" s="1809">
        <f t="shared" si="3"/>
        <v>1</v>
      </c>
      <c r="AB35" s="1809">
        <f t="shared" si="4"/>
        <v>1</v>
      </c>
      <c r="AC35" s="2670">
        <f t="shared" si="5"/>
        <v>1</v>
      </c>
    </row>
    <row r="36" spans="1:29" ht="15">
      <c r="A36" s="471"/>
      <c r="B36" s="421" t="s">
        <v>2611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6"/>
      <c r="Q36" s="1808" t="str">
        <f t="shared" si="11"/>
        <v>公共部分装修</v>
      </c>
      <c r="R36" s="773" t="s">
        <v>17</v>
      </c>
      <c r="S36" s="774">
        <f t="shared" si="12"/>
        <v>100</v>
      </c>
      <c r="T36" s="773" t="s">
        <v>17</v>
      </c>
      <c r="U36" s="774">
        <f t="shared" si="13"/>
        <v>100</v>
      </c>
      <c r="V36" s="773" t="s">
        <v>17</v>
      </c>
      <c r="W36" s="774">
        <f t="shared" si="14"/>
        <v>100</v>
      </c>
      <c r="X36" s="1811"/>
      <c r="Y36" s="3218"/>
      <c r="Z36" s="1812" t="str">
        <f t="shared" si="15"/>
        <v>公共部分装修</v>
      </c>
      <c r="AA36" s="1809">
        <f t="shared" si="3"/>
        <v>1</v>
      </c>
      <c r="AB36" s="1809">
        <f t="shared" si="4"/>
        <v>1</v>
      </c>
      <c r="AC36" s="2670">
        <f t="shared" si="5"/>
        <v>1</v>
      </c>
    </row>
    <row r="37" spans="1:29" ht="15">
      <c r="A37" s="471"/>
      <c r="B37" s="421" t="s">
        <v>2612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6"/>
      <c r="Q37" s="1808" t="str">
        <f t="shared" si="11"/>
        <v>成新度</v>
      </c>
      <c r="R37" s="773" t="s">
        <v>17</v>
      </c>
      <c r="S37" s="774" t="e">
        <f t="shared" si="12"/>
        <v>#N/A</v>
      </c>
      <c r="T37" s="773" t="s">
        <v>17</v>
      </c>
      <c r="U37" s="774" t="e">
        <f t="shared" si="13"/>
        <v>#N/A</v>
      </c>
      <c r="V37" s="773" t="s">
        <v>17</v>
      </c>
      <c r="W37" s="774" t="e">
        <f t="shared" si="14"/>
        <v>#N/A</v>
      </c>
      <c r="X37" s="1811"/>
      <c r="Y37" s="3218"/>
      <c r="Z37" s="1812" t="str">
        <f t="shared" si="15"/>
        <v>成新度</v>
      </c>
      <c r="AA37" s="1809" t="e">
        <f t="shared" si="3"/>
        <v>#N/A</v>
      </c>
      <c r="AB37" s="1809" t="e">
        <f t="shared" si="4"/>
        <v>#N/A</v>
      </c>
      <c r="AC37" s="2670" t="e">
        <f t="shared" si="5"/>
        <v>#N/A</v>
      </c>
    </row>
    <row r="38" spans="1:29" s="117" customFormat="1" ht="15">
      <c r="A38" s="472"/>
      <c r="B38" s="421" t="s">
        <v>2644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6"/>
      <c r="Q38" s="1793"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7">
        <f t="shared" si="5"/>
        <v>1</v>
      </c>
    </row>
    <row r="39" spans="1:29" ht="15">
      <c r="A39" s="471"/>
      <c r="B39" s="421" t="s">
        <v>2645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6" t="s">
        <v>2516</v>
      </c>
      <c r="Q39" s="1808" t="str">
        <f t="shared" si="11"/>
        <v>物业管理</v>
      </c>
      <c r="R39" s="773" t="s">
        <v>17</v>
      </c>
      <c r="S39" s="774">
        <f t="shared" si="12"/>
        <v>100</v>
      </c>
      <c r="T39" s="773" t="s">
        <v>17</v>
      </c>
      <c r="U39" s="774">
        <f t="shared" si="13"/>
        <v>100</v>
      </c>
      <c r="V39" s="773" t="s">
        <v>17</v>
      </c>
      <c r="W39" s="774">
        <f t="shared" si="14"/>
        <v>100</v>
      </c>
      <c r="X39" s="1811"/>
      <c r="Y39" s="3218" t="s">
        <v>2516</v>
      </c>
      <c r="Z39" s="1812" t="str">
        <f t="shared" si="15"/>
        <v>物业管理</v>
      </c>
      <c r="AA39" s="1809">
        <f t="shared" si="3"/>
        <v>1</v>
      </c>
      <c r="AB39" s="1809">
        <f t="shared" si="4"/>
        <v>1</v>
      </c>
      <c r="AC39" s="2670">
        <f t="shared" si="5"/>
        <v>1</v>
      </c>
    </row>
    <row r="40" spans="1:29" ht="15">
      <c r="A40" s="471"/>
      <c r="B40" s="421" t="s">
        <v>2613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6"/>
      <c r="Q40" s="1808" t="str">
        <f t="shared" si="11"/>
        <v>市政基础设施</v>
      </c>
      <c r="R40" s="773" t="s">
        <v>17</v>
      </c>
      <c r="S40" s="774">
        <f t="shared" si="12"/>
        <v>100</v>
      </c>
      <c r="T40" s="773" t="s">
        <v>17</v>
      </c>
      <c r="U40" s="774">
        <f t="shared" si="13"/>
        <v>100</v>
      </c>
      <c r="V40" s="773" t="s">
        <v>17</v>
      </c>
      <c r="W40" s="774">
        <f t="shared" si="14"/>
        <v>100</v>
      </c>
      <c r="X40" s="1811"/>
      <c r="Y40" s="3218"/>
      <c r="Z40" s="1812" t="str">
        <f t="shared" si="15"/>
        <v>市政基础设施</v>
      </c>
      <c r="AA40" s="1809">
        <f t="shared" si="3"/>
        <v>1</v>
      </c>
      <c r="AB40" s="1809">
        <f t="shared" si="4"/>
        <v>1</v>
      </c>
      <c r="AC40" s="2670">
        <f t="shared" si="5"/>
        <v>1</v>
      </c>
    </row>
    <row r="41" spans="1:29" ht="15">
      <c r="A41" s="471"/>
      <c r="B41" s="421" t="s">
        <v>2615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6"/>
      <c r="Q41" s="1808" t="str">
        <f t="shared" si="11"/>
        <v>层高</v>
      </c>
      <c r="R41" s="773" t="s">
        <v>17</v>
      </c>
      <c r="S41" s="774">
        <f t="shared" si="12"/>
        <v>100</v>
      </c>
      <c r="T41" s="773" t="s">
        <v>17</v>
      </c>
      <c r="U41" s="774">
        <f t="shared" si="13"/>
        <v>100</v>
      </c>
      <c r="V41" s="773" t="s">
        <v>17</v>
      </c>
      <c r="W41" s="774">
        <f t="shared" si="14"/>
        <v>100</v>
      </c>
      <c r="X41" s="1811"/>
      <c r="Y41" s="3218"/>
      <c r="Z41" s="1812" t="str">
        <f t="shared" si="15"/>
        <v>层高</v>
      </c>
      <c r="AA41" s="1809">
        <f t="shared" si="3"/>
        <v>1</v>
      </c>
      <c r="AB41" s="1809">
        <f t="shared" si="4"/>
        <v>1</v>
      </c>
      <c r="AC41" s="2670">
        <f t="shared" si="5"/>
        <v>1</v>
      </c>
    </row>
    <row r="42" spans="1:29" s="470" customFormat="1" ht="15">
      <c r="A42" s="467"/>
      <c r="B42" s="1810" t="s">
        <v>2646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09">
        <f t="shared" si="3"/>
        <v>1</v>
      </c>
      <c r="AB42" s="1809">
        <f t="shared" si="4"/>
        <v>1</v>
      </c>
      <c r="AC42" s="2670">
        <f t="shared" si="5"/>
        <v>1</v>
      </c>
    </row>
    <row r="43" spans="1:29" ht="15">
      <c r="A43" s="471"/>
      <c r="B43" s="421" t="s">
        <v>2618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6"/>
      <c r="Q43" s="1808" t="str">
        <f t="shared" si="11"/>
        <v>内部装修</v>
      </c>
      <c r="R43" s="773" t="s">
        <v>17</v>
      </c>
      <c r="S43" s="774">
        <f t="shared" si="12"/>
        <v>100</v>
      </c>
      <c r="T43" s="773" t="s">
        <v>17</v>
      </c>
      <c r="U43" s="774">
        <f t="shared" si="13"/>
        <v>100</v>
      </c>
      <c r="V43" s="773" t="s">
        <v>17</v>
      </c>
      <c r="W43" s="774">
        <f t="shared" si="14"/>
        <v>100</v>
      </c>
      <c r="X43" s="1811"/>
      <c r="Y43" s="3218"/>
      <c r="Z43" s="1812" t="str">
        <f t="shared" si="15"/>
        <v>内部装修</v>
      </c>
      <c r="AA43" s="1809">
        <f t="shared" si="3"/>
        <v>1</v>
      </c>
      <c r="AB43" s="1809">
        <f t="shared" si="4"/>
        <v>1</v>
      </c>
      <c r="AC43" s="2670">
        <f t="shared" si="5"/>
        <v>1</v>
      </c>
    </row>
    <row r="44" spans="1:29" ht="15">
      <c r="A44" s="471"/>
      <c r="B44" s="421" t="s">
        <v>2527</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56"/>
      <c r="Q44" s="1808" t="str">
        <f t="shared" si="11"/>
        <v>内部装修维护情况</v>
      </c>
      <c r="R44" s="773" t="s">
        <v>17</v>
      </c>
      <c r="S44" s="774">
        <f t="shared" si="12"/>
        <v>100</v>
      </c>
      <c r="T44" s="773" t="s">
        <v>17</v>
      </c>
      <c r="U44" s="774">
        <f t="shared" si="13"/>
        <v>100</v>
      </c>
      <c r="V44" s="773" t="s">
        <v>17</v>
      </c>
      <c r="W44" s="774">
        <f t="shared" si="14"/>
        <v>100</v>
      </c>
      <c r="X44" s="1811"/>
      <c r="Y44" s="3218"/>
      <c r="Z44" s="1812" t="str">
        <f t="shared" si="15"/>
        <v>内部装修维护情况</v>
      </c>
      <c r="AA44" s="1809">
        <f t="shared" si="3"/>
        <v>1</v>
      </c>
      <c r="AB44" s="1809">
        <f t="shared" si="4"/>
        <v>1</v>
      </c>
      <c r="AC44" s="2670">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6"/>
      <c r="Q45" s="1793">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7">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6"/>
      <c r="Q46" s="1808">
        <f t="shared" si="11"/>
        <v>111</v>
      </c>
      <c r="R46" s="773" t="s">
        <v>17</v>
      </c>
      <c r="S46" s="774">
        <f t="shared" si="12"/>
        <v>100</v>
      </c>
      <c r="T46" s="773" t="s">
        <v>17</v>
      </c>
      <c r="U46" s="774">
        <f t="shared" si="13"/>
        <v>100</v>
      </c>
      <c r="V46" s="773" t="s">
        <v>17</v>
      </c>
      <c r="W46" s="774">
        <f t="shared" si="14"/>
        <v>100</v>
      </c>
      <c r="X46" s="1811"/>
      <c r="Y46" s="3218"/>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7"/>
      <c r="Q47" s="1808">
        <f t="shared" si="11"/>
        <v>111</v>
      </c>
      <c r="R47" s="773" t="s">
        <v>17</v>
      </c>
      <c r="S47" s="774">
        <f t="shared" si="12"/>
        <v>100</v>
      </c>
      <c r="T47" s="773" t="s">
        <v>17</v>
      </c>
      <c r="U47" s="774">
        <f t="shared" si="13"/>
        <v>100</v>
      </c>
      <c r="V47" s="773" t="s">
        <v>17</v>
      </c>
      <c r="W47" s="774">
        <f t="shared" si="14"/>
        <v>100</v>
      </c>
      <c r="X47" s="1811"/>
      <c r="Y47" s="3258"/>
      <c r="Z47" s="1812">
        <f t="shared" si="15"/>
        <v>111</v>
      </c>
      <c r="AA47" s="1809">
        <f t="shared" si="3"/>
        <v>1</v>
      </c>
      <c r="AB47" s="1809">
        <f t="shared" si="4"/>
        <v>1</v>
      </c>
      <c r="AC47" s="2670">
        <f t="shared" si="5"/>
        <v>1</v>
      </c>
    </row>
    <row r="48" spans="1:29" ht="15">
      <c r="A48" s="478" t="s">
        <v>2528</v>
      </c>
      <c r="B48" s="479"/>
      <c r="C48" s="1406" t="s">
        <v>1</v>
      </c>
      <c r="D48" s="1407"/>
      <c r="E48" s="1408"/>
      <c r="F48" s="1409"/>
      <c r="G48" s="1410"/>
      <c r="H48" s="1411"/>
      <c r="I48" s="1408"/>
      <c r="J48" s="484"/>
      <c r="K48" s="782"/>
      <c r="L48" s="1142"/>
      <c r="M48" s="1130"/>
      <c r="N48" s="1130"/>
      <c r="O48" s="1130"/>
      <c r="P48" s="3212" t="str">
        <f>A48</f>
        <v>成交单价（元/平方米）</v>
      </c>
      <c r="Q48" s="3213"/>
      <c r="R48" s="3254">
        <f>E48</f>
        <v>0</v>
      </c>
      <c r="S48" s="3254"/>
      <c r="T48" s="3254">
        <f>G48</f>
        <v>0</v>
      </c>
      <c r="U48" s="3254"/>
      <c r="V48" s="3254">
        <f>I48</f>
        <v>0</v>
      </c>
      <c r="W48" s="3254"/>
      <c r="X48" s="445"/>
      <c r="Y48" s="780"/>
      <c r="Z48" s="445"/>
      <c r="AA48" s="445"/>
      <c r="AB48" s="445"/>
      <c r="AC48" s="629"/>
    </row>
    <row r="49" spans="1:29" ht="15.75" thickBot="1">
      <c r="A49" s="485" t="s">
        <v>2619</v>
      </c>
      <c r="B49" s="486"/>
      <c r="C49" s="1412" t="e">
        <f>R50</f>
        <v>#DIV/0!</v>
      </c>
      <c r="D49" s="1413"/>
      <c r="E49" s="1414" t="e">
        <f>R49</f>
        <v>#DIV/0!</v>
      </c>
      <c r="F49" s="1414"/>
      <c r="G49" s="1412" t="e">
        <f>T49</f>
        <v>#DIV/0!</v>
      </c>
      <c r="H49" s="1413"/>
      <c r="I49" s="1414" t="e">
        <f>V49</f>
        <v>#DIV/0!</v>
      </c>
      <c r="J49" s="488"/>
      <c r="K49" s="783"/>
      <c r="L49" s="1142"/>
      <c r="M49" s="1130"/>
      <c r="N49" s="1130"/>
      <c r="O49" s="1130"/>
      <c r="P49" s="3212" t="str">
        <f>A49</f>
        <v>比较价值（元/平方米）</v>
      </c>
      <c r="Q49" s="321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2620</v>
      </c>
      <c r="B50" s="492"/>
      <c r="C50" s="1416" t="e">
        <f>R50</f>
        <v>#DIV/0!</v>
      </c>
      <c r="D50" s="1416"/>
      <c r="E50" s="1416"/>
      <c r="F50" s="1416"/>
      <c r="G50" s="1416"/>
      <c r="H50" s="1416"/>
      <c r="I50" s="1416"/>
      <c r="J50" s="493"/>
      <c r="K50" s="784"/>
      <c r="L50" s="1142"/>
      <c r="M50" s="1130"/>
      <c r="N50" s="1130"/>
      <c r="O50" s="1130"/>
      <c r="P50" s="3290" t="str">
        <f>A50</f>
        <v>估价对象XX用房的比较价值（楼面单价，元/平方米）</v>
      </c>
      <c r="Q50" s="3291"/>
      <c r="R50" s="3292" t="e">
        <f>IF(F1="售价",ROUND(AVERAGE(R49:V49),0),ROUND(AVERAGE(R49:V49),1))</f>
        <v>#DIV/0!</v>
      </c>
      <c r="S50" s="3292"/>
      <c r="T50" s="3292"/>
      <c r="U50" s="3292"/>
      <c r="V50" s="3292"/>
      <c r="W50" s="3292"/>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2621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2622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2623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2624</v>
      </c>
      <c r="B58" s="758"/>
      <c r="C58" s="763"/>
      <c r="D58" s="763"/>
      <c r="E58" s="763"/>
      <c r="F58" s="764"/>
      <c r="G58" s="764"/>
      <c r="H58" s="763"/>
      <c r="I58" s="763"/>
      <c r="J58" s="763"/>
      <c r="K58" s="765"/>
      <c r="L58" s="1160"/>
      <c r="M58" s="1158"/>
      <c r="N58" s="1158"/>
      <c r="O58" s="1158"/>
      <c r="P58" s="2677"/>
      <c r="Q58" s="503"/>
    </row>
    <row r="59" spans="1:29" s="507" customFormat="1" ht="15">
      <c r="A59" s="504" t="s">
        <v>2499</v>
      </c>
      <c r="B59" s="505"/>
      <c r="C59" s="1572" t="str">
        <f>YEAR(C7)&amp;"-"&amp;MONTH(C7)</f>
        <v>2020-4</v>
      </c>
      <c r="D59" s="1573">
        <f>EDATE(C59,-1)</f>
        <v>43891</v>
      </c>
      <c r="E59" s="1573">
        <f>EDATE(D59,-1)</f>
        <v>43862</v>
      </c>
      <c r="F59" s="1573">
        <f t="shared" ref="F59:O59" si="16">EDATE(E59,-1)</f>
        <v>43831</v>
      </c>
      <c r="G59" s="1573">
        <f t="shared" si="16"/>
        <v>43800</v>
      </c>
      <c r="H59" s="1573">
        <f t="shared" si="16"/>
        <v>43770</v>
      </c>
      <c r="I59" s="1573">
        <f t="shared" si="16"/>
        <v>43739</v>
      </c>
      <c r="J59" s="1573">
        <f t="shared" si="16"/>
        <v>43709</v>
      </c>
      <c r="K59" s="1573">
        <f t="shared" si="16"/>
        <v>43678</v>
      </c>
      <c r="L59" s="1573">
        <f t="shared" si="16"/>
        <v>43647</v>
      </c>
      <c r="M59" s="1573">
        <f t="shared" si="16"/>
        <v>43617</v>
      </c>
      <c r="N59" s="1573">
        <f t="shared" si="16"/>
        <v>43586</v>
      </c>
      <c r="O59" s="1573">
        <f t="shared" si="16"/>
        <v>43556</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2535</v>
      </c>
      <c r="B61" s="515"/>
      <c r="C61" s="516"/>
      <c r="D61" s="517"/>
      <c r="E61" s="517"/>
      <c r="F61" s="517"/>
      <c r="G61" s="517"/>
      <c r="H61" s="517"/>
      <c r="I61" s="517"/>
      <c r="J61" s="517"/>
      <c r="K61" s="517"/>
      <c r="L61" s="517"/>
      <c r="M61" s="518"/>
      <c r="N61" s="517"/>
      <c r="O61" s="518"/>
      <c r="P61" s="2678"/>
      <c r="Q61" s="503"/>
    </row>
    <row r="62" spans="1:29" s="117" customFormat="1" ht="15">
      <c r="A62" s="520" t="s">
        <v>2501</v>
      </c>
      <c r="B62" s="509"/>
      <c r="C62" s="521" t="s">
        <v>2602</v>
      </c>
      <c r="D62" s="522"/>
      <c r="E62" s="522"/>
      <c r="F62" s="522"/>
      <c r="G62" s="522"/>
      <c r="H62" s="522"/>
      <c r="I62" s="522"/>
      <c r="J62" s="522"/>
      <c r="K62" s="522"/>
      <c r="L62" s="523"/>
      <c r="M62" s="524"/>
      <c r="N62" s="1150"/>
      <c r="O62" s="1150"/>
      <c r="P62" s="2679"/>
      <c r="Q62" s="503"/>
    </row>
    <row r="63" spans="1:29" s="117"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2538</v>
      </c>
      <c r="B64" s="527" t="s">
        <v>2505</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2508</v>
      </c>
      <c r="C66" s="538" t="s">
        <v>2539</v>
      </c>
      <c r="D66" s="538" t="s">
        <v>2540</v>
      </c>
      <c r="E66" s="538" t="s">
        <v>2541</v>
      </c>
      <c r="F66" s="538" t="s">
        <v>2542</v>
      </c>
      <c r="G66" s="538" t="s">
        <v>2543</v>
      </c>
      <c r="H66" s="538" t="s">
        <v>2544</v>
      </c>
      <c r="I66" s="538" t="s">
        <v>2545</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2509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2510</v>
      </c>
      <c r="B77" s="527" t="s">
        <v>2647</v>
      </c>
      <c r="C77" s="572" t="s">
        <v>2547</v>
      </c>
      <c r="D77" s="572" t="s">
        <v>2548</v>
      </c>
      <c r="E77" s="572" t="s">
        <v>2549</v>
      </c>
      <c r="F77" s="572" t="s">
        <v>2550</v>
      </c>
      <c r="G77" s="572" t="s">
        <v>2551</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2552</v>
      </c>
      <c r="C79" s="577" t="s">
        <v>2547</v>
      </c>
      <c r="D79" s="577" t="s">
        <v>2548</v>
      </c>
      <c r="E79" s="577" t="s">
        <v>2549</v>
      </c>
      <c r="F79" s="577" t="s">
        <v>2550</v>
      </c>
      <c r="G79" s="577" t="s">
        <v>2551</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2553</v>
      </c>
      <c r="C81" s="577" t="s">
        <v>2547</v>
      </c>
      <c r="D81" s="577" t="s">
        <v>2548</v>
      </c>
      <c r="E81" s="577" t="s">
        <v>2549</v>
      </c>
      <c r="F81" s="577" t="s">
        <v>2550</v>
      </c>
      <c r="G81" s="577" t="s">
        <v>2551</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2639</v>
      </c>
      <c r="C83" s="659" t="s">
        <v>2625</v>
      </c>
      <c r="D83" s="659" t="s">
        <v>2626</v>
      </c>
      <c r="E83" s="659" t="s">
        <v>2627</v>
      </c>
      <c r="F83" s="659" t="s">
        <v>2628</v>
      </c>
      <c r="G83" s="659" t="s">
        <v>2629</v>
      </c>
      <c r="H83" s="538"/>
      <c r="I83" s="538"/>
      <c r="J83" s="538"/>
      <c r="K83" s="538"/>
      <c r="L83" s="538"/>
      <c r="M83" s="1381"/>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2648</v>
      </c>
      <c r="C85" s="577" t="s">
        <v>2547</v>
      </c>
      <c r="D85" s="577" t="s">
        <v>2548</v>
      </c>
      <c r="E85" s="577" t="s">
        <v>2549</v>
      </c>
      <c r="F85" s="577" t="s">
        <v>2550</v>
      </c>
      <c r="G85" s="577" t="s">
        <v>2551</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7" customFormat="1" ht="27.75" thickTop="1">
      <c r="A87" s="578"/>
      <c r="B87" s="537" t="s">
        <v>2649</v>
      </c>
      <c r="C87" s="553"/>
      <c r="D87" s="553"/>
      <c r="E87" s="553"/>
      <c r="F87" s="553"/>
      <c r="G87" s="553"/>
      <c r="H87" s="553"/>
      <c r="I87" s="553"/>
      <c r="J87" s="553"/>
      <c r="K87" s="553"/>
      <c r="L87" s="579"/>
      <c r="M87" s="580"/>
      <c r="N87" s="1150"/>
      <c r="O87" s="1150"/>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7"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2514</v>
      </c>
      <c r="B101" s="527" t="s">
        <v>2562</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2563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2564</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2566</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1958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2650</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2567</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2568</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2651</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2634</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2570</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2571</v>
      </c>
      <c r="C125" s="577" t="s">
        <v>2547</v>
      </c>
      <c r="D125" s="577" t="s">
        <v>2548</v>
      </c>
      <c r="E125" s="577" t="s">
        <v>2549</v>
      </c>
      <c r="F125" s="577" t="s">
        <v>2550</v>
      </c>
      <c r="G125" s="577" t="s">
        <v>2551</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2479</v>
      </c>
      <c r="B1" s="2665" t="s">
        <v>2652</v>
      </c>
      <c r="C1" s="1618" t="s">
        <v>2481</v>
      </c>
      <c r="D1" s="1619"/>
      <c r="E1" s="1628"/>
      <c r="F1" s="2580"/>
      <c r="G1" s="1629" t="s">
        <v>2593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2281</v>
      </c>
      <c r="B2" s="1417" t="e">
        <f ca="1">IF(C2="——",ROUND(C43*D3/10000,0),ROUND(C43*D3/10000,0)-D2)</f>
        <v>#DIV/0!</v>
      </c>
      <c r="C2" s="2582"/>
      <c r="D2" s="1123" t="e">
        <f ca="1">SUMIF(INDIRECT("'"&amp;F2&amp;"'"&amp;"!A:A"),"承租人权益价值",INDIRECT("'"&amp;F2&amp;"'"&amp;"!c:c"))</f>
        <v>#REF!</v>
      </c>
      <c r="E2" s="2583" t="s">
        <v>2282</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2283</v>
      </c>
      <c r="B3" s="608" t="e">
        <f ca="1">IF(C2="——",C43,ROUND(B2*10000/D3,0))</f>
        <v>#DIV/0!</v>
      </c>
      <c r="C3" s="399" t="s">
        <v>2594</v>
      </c>
      <c r="D3" s="398">
        <f>IF(D1="",'数据-汇总表'!E3,SUMIF('数据-汇总表'!$C19:$C33,D1,'数据-汇总表'!$E19:$E33))</f>
        <v>123740.26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21" t="s">
        <v>2598</v>
      </c>
      <c r="AC4" s="3220" t="s">
        <v>2599</v>
      </c>
    </row>
    <row r="5" spans="1:29" ht="15">
      <c r="A5" s="403"/>
      <c r="B5" s="404"/>
      <c r="C5" s="3240" t="s">
        <v>2493</v>
      </c>
      <c r="D5" s="3241"/>
      <c r="E5" s="3248" t="s">
        <v>2494</v>
      </c>
      <c r="F5" s="3249"/>
      <c r="G5" s="3240" t="s">
        <v>2495</v>
      </c>
      <c r="H5" s="3241"/>
      <c r="I5" s="3240" t="s">
        <v>2496</v>
      </c>
      <c r="J5" s="3241"/>
      <c r="K5" s="609"/>
      <c r="L5" s="1129"/>
      <c r="M5" s="1130"/>
      <c r="N5" s="1130"/>
      <c r="O5" s="1130"/>
      <c r="P5" s="3228"/>
      <c r="Q5" s="3229"/>
      <c r="R5" s="3234"/>
      <c r="S5" s="3235"/>
      <c r="T5" s="3234"/>
      <c r="U5" s="3235"/>
      <c r="V5" s="3219"/>
      <c r="W5" s="3219"/>
      <c r="X5" s="1811"/>
      <c r="Y5" s="3234"/>
      <c r="Z5" s="3235"/>
      <c r="AA5" s="3221"/>
      <c r="AB5" s="3221"/>
      <c r="AC5" s="3221"/>
    </row>
    <row r="6" spans="1:29" ht="15.75" thickBot="1">
      <c r="A6" s="405"/>
      <c r="B6" s="406"/>
      <c r="C6" s="3238" t="s">
        <v>2497</v>
      </c>
      <c r="D6" s="3239"/>
      <c r="E6" s="3246" t="s">
        <v>2497</v>
      </c>
      <c r="F6" s="3247"/>
      <c r="G6" s="3238" t="s">
        <v>2497</v>
      </c>
      <c r="H6" s="3239"/>
      <c r="I6" s="3238" t="s">
        <v>2497</v>
      </c>
      <c r="J6" s="3239"/>
      <c r="K6" s="609" t="s">
        <v>2498</v>
      </c>
      <c r="L6" s="1129"/>
      <c r="M6" s="1130"/>
      <c r="N6" s="1130"/>
      <c r="O6" s="1130"/>
      <c r="P6" s="3230"/>
      <c r="Q6" s="3231"/>
      <c r="R6" s="3234"/>
      <c r="S6" s="3235"/>
      <c r="T6" s="3236"/>
      <c r="U6" s="3237"/>
      <c r="V6" s="3219"/>
      <c r="W6" s="3219"/>
      <c r="X6" s="1811"/>
      <c r="Y6" s="3236"/>
      <c r="Z6" s="3237"/>
      <c r="AA6" s="3222"/>
      <c r="AB6" s="3222"/>
      <c r="AC6" s="3222"/>
    </row>
    <row r="7" spans="1:29" s="117" customFormat="1" ht="15.75" thickBot="1">
      <c r="A7" s="407" t="s">
        <v>2499</v>
      </c>
      <c r="B7" s="408"/>
      <c r="C7" s="409">
        <f>'数据-取费表'!B2</f>
        <v>43926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2" t="s">
        <v>2500</v>
      </c>
      <c r="Q7" s="3244"/>
      <c r="R7" s="769" t="s">
        <v>17</v>
      </c>
      <c r="S7" s="770">
        <f t="shared" ref="S7:S15" si="0">F7</f>
        <v>0</v>
      </c>
      <c r="T7" s="769" t="s">
        <v>17</v>
      </c>
      <c r="U7" s="770">
        <f t="shared" ref="U7:U15" si="1">H7</f>
        <v>0</v>
      </c>
      <c r="V7" s="769" t="s">
        <v>17</v>
      </c>
      <c r="W7" s="770">
        <f t="shared" ref="W7:W15" si="2">J7</f>
        <v>0</v>
      </c>
      <c r="X7" s="771"/>
      <c r="Y7" s="3242" t="s">
        <v>2500</v>
      </c>
      <c r="Z7" s="3243"/>
      <c r="AA7" s="772" t="e">
        <f>D7/F7</f>
        <v>#DIV/0!</v>
      </c>
      <c r="AB7" s="772" t="e">
        <f>D7/H7</f>
        <v>#DIV/0!</v>
      </c>
      <c r="AC7" s="772" t="e">
        <f>D7/J7</f>
        <v>#DIV/0!</v>
      </c>
    </row>
    <row r="8" spans="1:29" s="117" customFormat="1" ht="15.75" thickBot="1">
      <c r="A8" s="407" t="s">
        <v>2501</v>
      </c>
      <c r="B8" s="408"/>
      <c r="C8" s="413" t="s">
        <v>2502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2" t="s">
        <v>2503</v>
      </c>
      <c r="Q8" s="3243"/>
      <c r="R8" s="769" t="s">
        <v>17</v>
      </c>
      <c r="S8" s="770">
        <f t="shared" si="0"/>
        <v>0</v>
      </c>
      <c r="T8" s="769" t="s">
        <v>17</v>
      </c>
      <c r="U8" s="770">
        <f t="shared" si="1"/>
        <v>0</v>
      </c>
      <c r="V8" s="769" t="s">
        <v>17</v>
      </c>
      <c r="W8" s="770">
        <f t="shared" si="2"/>
        <v>0</v>
      </c>
      <c r="X8" s="771"/>
      <c r="Y8" s="3242" t="s">
        <v>2503</v>
      </c>
      <c r="Z8" s="3243"/>
      <c r="AA8" s="772" t="e">
        <f t="shared" ref="AA8:AA40" si="3">D8/F8</f>
        <v>#DIV/0!</v>
      </c>
      <c r="AB8" s="772" t="e">
        <f t="shared" ref="AB8:AB40" si="4">D8/H8</f>
        <v>#DIV/0!</v>
      </c>
      <c r="AC8" s="772" t="e">
        <f t="shared" ref="AC8:AC40" si="5">D8/J8</f>
        <v>#DIV/0!</v>
      </c>
    </row>
    <row r="9" spans="1:29" s="117" customFormat="1">
      <c r="A9" s="414" t="s">
        <v>2504</v>
      </c>
      <c r="B9" s="71" t="s">
        <v>2505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3"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772">
        <f t="shared" si="5"/>
        <v>1</v>
      </c>
    </row>
    <row r="10" spans="1:29" s="426" customFormat="1" ht="27">
      <c r="A10" s="420"/>
      <c r="B10" s="421" t="s">
        <v>2508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2509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3"/>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13"/>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39" t="s">
        <v>2510</v>
      </c>
      <c r="B15" s="69" t="s">
        <v>2653</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5" t="s">
        <v>2511</v>
      </c>
      <c r="Q15" s="1808" t="str">
        <f t="shared" si="6"/>
        <v>产业集聚程度</v>
      </c>
      <c r="R15" s="773" t="s">
        <v>17</v>
      </c>
      <c r="S15" s="774">
        <f t="shared" si="0"/>
        <v>100</v>
      </c>
      <c r="T15" s="773" t="s">
        <v>17</v>
      </c>
      <c r="U15" s="774">
        <f t="shared" si="1"/>
        <v>100</v>
      </c>
      <c r="V15" s="773" t="s">
        <v>17</v>
      </c>
      <c r="W15" s="774">
        <f t="shared" si="2"/>
        <v>100</v>
      </c>
      <c r="X15" s="1811"/>
      <c r="Y15" s="3215" t="s">
        <v>2511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16"/>
      <c r="Q16" s="1808"/>
      <c r="R16" s="773"/>
      <c r="S16" s="774"/>
      <c r="T16" s="773"/>
      <c r="U16" s="774"/>
      <c r="V16" s="773"/>
      <c r="W16" s="774"/>
      <c r="X16" s="1811"/>
      <c r="Y16" s="3216"/>
      <c r="Z16" s="1812"/>
      <c r="AA16" s="1809">
        <v>1</v>
      </c>
      <c r="AB16" s="1809">
        <v>1</v>
      </c>
      <c r="AC16" s="1809">
        <v>1</v>
      </c>
    </row>
    <row r="17" spans="1:29" ht="15">
      <c r="A17" s="427"/>
      <c r="B17" s="450" t="s">
        <v>2054</v>
      </c>
      <c r="C17" s="2603">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9"/>
      <c r="M18" s="1130"/>
      <c r="N18" s="1130"/>
      <c r="O18" s="1138"/>
      <c r="P18" s="3216"/>
      <c r="Q18" s="1808"/>
      <c r="R18" s="773"/>
      <c r="S18" s="774"/>
      <c r="T18" s="773"/>
      <c r="U18" s="774"/>
      <c r="V18" s="773"/>
      <c r="W18" s="774"/>
      <c r="X18" s="1811"/>
      <c r="Y18" s="3216"/>
      <c r="Z18" s="1812"/>
      <c r="AA18" s="1809">
        <v>1</v>
      </c>
      <c r="AB18" s="1809">
        <v>1</v>
      </c>
      <c r="AC18" s="1809">
        <v>1</v>
      </c>
    </row>
    <row r="19" spans="1:29" ht="15">
      <c r="A19" s="427"/>
      <c r="B19" s="450" t="s">
        <v>2638</v>
      </c>
      <c r="C19" s="2603">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6"/>
      <c r="Q19" s="1808" t="str">
        <f>B19</f>
        <v>公共配套设施</v>
      </c>
      <c r="R19" s="773" t="s">
        <v>17</v>
      </c>
      <c r="S19" s="774">
        <f>F19</f>
        <v>100</v>
      </c>
      <c r="T19" s="773" t="s">
        <v>17</v>
      </c>
      <c r="U19" s="774">
        <f>H19</f>
        <v>100</v>
      </c>
      <c r="V19" s="773" t="s">
        <v>17</v>
      </c>
      <c r="W19" s="774">
        <f>J19</f>
        <v>100</v>
      </c>
      <c r="X19" s="1811"/>
      <c r="Y19" s="321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9"/>
      <c r="M20" s="1130"/>
      <c r="N20" s="1130"/>
      <c r="O20" s="1138"/>
      <c r="P20" s="3216"/>
      <c r="Q20" s="1808"/>
      <c r="R20" s="773"/>
      <c r="S20" s="774"/>
      <c r="T20" s="773"/>
      <c r="U20" s="774"/>
      <c r="V20" s="773"/>
      <c r="W20" s="774"/>
      <c r="X20" s="1811"/>
      <c r="Y20" s="3216"/>
      <c r="Z20" s="1812"/>
      <c r="AA20" s="1809">
        <v>1</v>
      </c>
      <c r="AB20" s="1809">
        <v>1</v>
      </c>
      <c r="AC20" s="1809">
        <v>1</v>
      </c>
    </row>
    <row r="21" spans="1:29" ht="15">
      <c r="A21" s="427"/>
      <c r="B21" s="1383" t="s">
        <v>2639</v>
      </c>
      <c r="C21" s="2603">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6"/>
      <c r="Q21" s="1808" t="str">
        <f>B21</f>
        <v>基础设施水平</v>
      </c>
      <c r="R21" s="773" t="s">
        <v>17</v>
      </c>
      <c r="S21" s="774">
        <f>F21</f>
        <v>100</v>
      </c>
      <c r="T21" s="773" t="s">
        <v>17</v>
      </c>
      <c r="U21" s="774">
        <f>H21</f>
        <v>100</v>
      </c>
      <c r="V21" s="773" t="s">
        <v>17</v>
      </c>
      <c r="W21" s="774">
        <f>J21</f>
        <v>100</v>
      </c>
      <c r="X21" s="1811"/>
      <c r="Y21" s="3216"/>
      <c r="Z21" s="1812" t="str">
        <f>Q21</f>
        <v>基础设施水平</v>
      </c>
      <c r="AA21" s="1809">
        <f t="shared" ref="AA21" si="8">D21/F21</f>
        <v>1</v>
      </c>
      <c r="AB21" s="1809">
        <f t="shared" ref="AB21" si="9">D21/H21</f>
        <v>1</v>
      </c>
      <c r="AC21" s="1809">
        <f t="shared" ref="AC21" si="10">D21/J21</f>
        <v>1</v>
      </c>
    </row>
    <row r="22" spans="1:29" ht="15">
      <c r="A22" s="427"/>
      <c r="B22" s="1383"/>
      <c r="C22" s="2604"/>
      <c r="D22" s="447"/>
      <c r="E22" s="446"/>
      <c r="F22" s="448"/>
      <c r="G22" s="446"/>
      <c r="H22" s="447"/>
      <c r="I22" s="446"/>
      <c r="J22" s="447"/>
      <c r="K22" s="1382"/>
      <c r="L22" s="1139"/>
      <c r="M22" s="1130"/>
      <c r="N22" s="1130"/>
      <c r="O22" s="1138"/>
      <c r="P22" s="3216"/>
      <c r="Q22" s="1808"/>
      <c r="R22" s="773"/>
      <c r="S22" s="774"/>
      <c r="T22" s="773"/>
      <c r="U22" s="774"/>
      <c r="V22" s="773"/>
      <c r="W22" s="774"/>
      <c r="X22" s="1811"/>
      <c r="Y22" s="3216"/>
      <c r="Z22" s="1812"/>
      <c r="AA22" s="1809">
        <v>1</v>
      </c>
      <c r="AB22" s="1809">
        <v>1</v>
      </c>
      <c r="AC22" s="1809">
        <v>1</v>
      </c>
    </row>
    <row r="23" spans="1:29" ht="15">
      <c r="A23" s="427"/>
      <c r="B23" s="450" t="s">
        <v>2640</v>
      </c>
      <c r="C23" s="2603">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6"/>
      <c r="Q23" s="1808" t="str">
        <f>B23</f>
        <v>环境质量</v>
      </c>
      <c r="R23" s="773" t="s">
        <v>17</v>
      </c>
      <c r="S23" s="774">
        <f>F23</f>
        <v>100</v>
      </c>
      <c r="T23" s="773" t="s">
        <v>17</v>
      </c>
      <c r="U23" s="774">
        <f>H23</f>
        <v>100</v>
      </c>
      <c r="V23" s="773" t="s">
        <v>17</v>
      </c>
      <c r="W23" s="774">
        <f>J23</f>
        <v>100</v>
      </c>
      <c r="X23" s="1811"/>
      <c r="Y23" s="3216"/>
      <c r="Z23" s="1812" t="str">
        <f>Q23</f>
        <v>环境质量</v>
      </c>
      <c r="AA23" s="1809">
        <f t="shared" si="3"/>
        <v>1</v>
      </c>
      <c r="AB23" s="1809">
        <f t="shared" si="4"/>
        <v>1</v>
      </c>
      <c r="AC23" s="1809">
        <f t="shared" si="5"/>
        <v>1</v>
      </c>
    </row>
    <row r="24" spans="1:29" ht="15">
      <c r="A24" s="427"/>
      <c r="B24" s="1383"/>
      <c r="C24" s="446"/>
      <c r="D24" s="447"/>
      <c r="E24" s="2601"/>
      <c r="F24" s="448"/>
      <c r="G24" s="2600"/>
      <c r="H24" s="447"/>
      <c r="I24" s="2601"/>
      <c r="J24" s="447"/>
      <c r="K24" s="614"/>
      <c r="L24" s="1139"/>
      <c r="M24" s="1130"/>
      <c r="N24" s="1130"/>
      <c r="O24" s="1138"/>
      <c r="P24" s="3216"/>
      <c r="Q24" s="1808"/>
      <c r="R24" s="773"/>
      <c r="S24" s="774"/>
      <c r="T24" s="773"/>
      <c r="U24" s="774"/>
      <c r="V24" s="773"/>
      <c r="W24" s="774"/>
      <c r="X24" s="1811"/>
      <c r="Y24" s="3216"/>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6"/>
      <c r="Q25" s="1808">
        <f>B25</f>
        <v>111</v>
      </c>
      <c r="R25" s="773" t="s">
        <v>17</v>
      </c>
      <c r="S25" s="774">
        <f>F25</f>
        <v>100</v>
      </c>
      <c r="T25" s="773" t="s">
        <v>17</v>
      </c>
      <c r="U25" s="774">
        <f>H25</f>
        <v>100</v>
      </c>
      <c r="V25" s="773" t="s">
        <v>17</v>
      </c>
      <c r="W25" s="774">
        <f>J25</f>
        <v>100</v>
      </c>
      <c r="X25" s="1811"/>
      <c r="Y25" s="3216"/>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6"/>
      <c r="Q26" s="1808">
        <f t="shared" ref="Q26:Q40" si="11">B26</f>
        <v>111</v>
      </c>
      <c r="R26" s="773" t="s">
        <v>17</v>
      </c>
      <c r="S26" s="774">
        <f>F26</f>
        <v>100</v>
      </c>
      <c r="T26" s="773" t="s">
        <v>17</v>
      </c>
      <c r="U26" s="774">
        <f>H26</f>
        <v>100</v>
      </c>
      <c r="V26" s="773" t="s">
        <v>17</v>
      </c>
      <c r="W26" s="774">
        <f>J26</f>
        <v>100</v>
      </c>
      <c r="X26" s="1811"/>
      <c r="Y26" s="3216"/>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6"/>
      <c r="Q27" s="1793">
        <f t="shared" si="11"/>
        <v>111</v>
      </c>
      <c r="R27" s="769" t="s">
        <v>17</v>
      </c>
      <c r="S27" s="770">
        <f>F27</f>
        <v>100</v>
      </c>
      <c r="T27" s="769" t="s">
        <v>17</v>
      </c>
      <c r="U27" s="770">
        <f>H27</f>
        <v>100</v>
      </c>
      <c r="V27" s="769" t="s">
        <v>17</v>
      </c>
      <c r="W27" s="770">
        <f>J27</f>
        <v>100</v>
      </c>
      <c r="X27" s="771"/>
      <c r="Y27" s="3216"/>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6"/>
      <c r="Q28" s="1808">
        <f t="shared" si="11"/>
        <v>111</v>
      </c>
      <c r="R28" s="773" t="s">
        <v>17</v>
      </c>
      <c r="S28" s="774">
        <f t="shared" ref="S28:S40" si="12">F28</f>
        <v>100</v>
      </c>
      <c r="T28" s="773" t="s">
        <v>17</v>
      </c>
      <c r="U28" s="774">
        <f t="shared" ref="U28:U40" si="13">H28</f>
        <v>100</v>
      </c>
      <c r="V28" s="773" t="s">
        <v>17</v>
      </c>
      <c r="W28" s="774">
        <f t="shared" ref="W28:W40" si="14">J28</f>
        <v>100</v>
      </c>
      <c r="X28" s="1811"/>
      <c r="Y28" s="3216"/>
      <c r="Z28" s="1812">
        <f t="shared" ref="Z28:Z40" si="15">Q28</f>
        <v>111</v>
      </c>
      <c r="AA28" s="1809">
        <f t="shared" si="3"/>
        <v>1</v>
      </c>
      <c r="AB28" s="1809">
        <f t="shared" si="4"/>
        <v>1</v>
      </c>
      <c r="AC28" s="1809">
        <f t="shared" si="5"/>
        <v>1</v>
      </c>
    </row>
    <row r="29" spans="1:29" ht="28.5">
      <c r="A29" s="465" t="s">
        <v>2514</v>
      </c>
      <c r="B29" s="71" t="s">
        <v>2643</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17" t="s">
        <v>2516</v>
      </c>
      <c r="Q29" s="1808" t="str">
        <f t="shared" si="11"/>
        <v>建筑类型</v>
      </c>
      <c r="R29" s="773" t="s">
        <v>17</v>
      </c>
      <c r="S29" s="774">
        <f t="shared" si="12"/>
        <v>100</v>
      </c>
      <c r="T29" s="773" t="s">
        <v>17</v>
      </c>
      <c r="U29" s="774">
        <f t="shared" si="13"/>
        <v>100</v>
      </c>
      <c r="V29" s="773" t="s">
        <v>17</v>
      </c>
      <c r="W29" s="774">
        <f t="shared" si="14"/>
        <v>100</v>
      </c>
      <c r="X29" s="1811"/>
      <c r="Y29" s="3218" t="s">
        <v>2516</v>
      </c>
      <c r="Z29" s="1812" t="str">
        <f t="shared" si="15"/>
        <v>建筑类型</v>
      </c>
      <c r="AA29" s="1809">
        <f t="shared" si="3"/>
        <v>1</v>
      </c>
      <c r="AB29" s="1809">
        <f t="shared" si="4"/>
        <v>1</v>
      </c>
      <c r="AC29" s="1809">
        <f t="shared" si="5"/>
        <v>1</v>
      </c>
    </row>
    <row r="30" spans="1:29" s="470" customFormat="1" ht="15">
      <c r="A30" s="467"/>
      <c r="B30" s="421" t="s">
        <v>2517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09" t="e">
        <f t="shared" si="3"/>
        <v>#N/A</v>
      </c>
      <c r="AB30" s="1809" t="e">
        <f t="shared" si="4"/>
        <v>#N/A</v>
      </c>
      <c r="AC30" s="1809" t="e">
        <f t="shared" si="5"/>
        <v>#N/A</v>
      </c>
    </row>
    <row r="31" spans="1:29" ht="15">
      <c r="A31" s="471"/>
      <c r="B31" s="421" t="s">
        <v>2518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8"/>
      <c r="Q31" s="1808" t="str">
        <f t="shared" si="11"/>
        <v>建筑结构</v>
      </c>
      <c r="R31" s="773" t="s">
        <v>17</v>
      </c>
      <c r="S31" s="774">
        <f t="shared" si="12"/>
        <v>100</v>
      </c>
      <c r="T31" s="773" t="s">
        <v>17</v>
      </c>
      <c r="U31" s="774">
        <f t="shared" si="13"/>
        <v>100</v>
      </c>
      <c r="V31" s="773" t="s">
        <v>17</v>
      </c>
      <c r="W31" s="774">
        <f t="shared" si="14"/>
        <v>100</v>
      </c>
      <c r="X31" s="1811"/>
      <c r="Y31" s="3218"/>
      <c r="Z31" s="1812" t="str">
        <f t="shared" si="15"/>
        <v>建筑结构</v>
      </c>
      <c r="AA31" s="1809">
        <f t="shared" si="3"/>
        <v>1</v>
      </c>
      <c r="AB31" s="1809">
        <f t="shared" si="4"/>
        <v>1</v>
      </c>
      <c r="AC31" s="1809">
        <f t="shared" si="5"/>
        <v>1</v>
      </c>
    </row>
    <row r="32" spans="1:29" ht="15">
      <c r="A32" s="471"/>
      <c r="B32" s="421" t="s">
        <v>2611</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8"/>
      <c r="Q32" s="1808" t="str">
        <f t="shared" si="11"/>
        <v>公共部分装修</v>
      </c>
      <c r="R32" s="773" t="s">
        <v>17</v>
      </c>
      <c r="S32" s="774">
        <f t="shared" si="12"/>
        <v>100</v>
      </c>
      <c r="T32" s="773" t="s">
        <v>17</v>
      </c>
      <c r="U32" s="774">
        <f t="shared" si="13"/>
        <v>100</v>
      </c>
      <c r="V32" s="773" t="s">
        <v>17</v>
      </c>
      <c r="W32" s="774">
        <f t="shared" si="14"/>
        <v>100</v>
      </c>
      <c r="X32" s="1811"/>
      <c r="Y32" s="3218"/>
      <c r="Z32" s="1812" t="str">
        <f t="shared" si="15"/>
        <v>公共部分装修</v>
      </c>
      <c r="AA32" s="1809">
        <f t="shared" si="3"/>
        <v>1</v>
      </c>
      <c r="AB32" s="1809">
        <f t="shared" si="4"/>
        <v>1</v>
      </c>
      <c r="AC32" s="1809">
        <f t="shared" si="5"/>
        <v>1</v>
      </c>
    </row>
    <row r="33" spans="1:29" ht="15">
      <c r="A33" s="471"/>
      <c r="B33" s="421" t="s">
        <v>2612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8"/>
      <c r="Q33" s="1808" t="str">
        <f t="shared" si="11"/>
        <v>成新度</v>
      </c>
      <c r="R33" s="773" t="s">
        <v>17</v>
      </c>
      <c r="S33" s="774" t="e">
        <f t="shared" si="12"/>
        <v>#N/A</v>
      </c>
      <c r="T33" s="773" t="s">
        <v>17</v>
      </c>
      <c r="U33" s="774" t="e">
        <f t="shared" si="13"/>
        <v>#N/A</v>
      </c>
      <c r="V33" s="773" t="s">
        <v>17</v>
      </c>
      <c r="W33" s="774" t="e">
        <f t="shared" si="14"/>
        <v>#N/A</v>
      </c>
      <c r="X33" s="1811"/>
      <c r="Y33" s="3218"/>
      <c r="Z33" s="1812" t="str">
        <f t="shared" si="15"/>
        <v>成新度</v>
      </c>
      <c r="AA33" s="1809" t="e">
        <f t="shared" si="3"/>
        <v>#N/A</v>
      </c>
      <c r="AB33" s="1809" t="e">
        <f t="shared" si="4"/>
        <v>#N/A</v>
      </c>
      <c r="AC33" s="1809" t="e">
        <f t="shared" si="5"/>
        <v>#N/A</v>
      </c>
    </row>
    <row r="34" spans="1:29" s="117" customFormat="1" ht="15">
      <c r="A34" s="472"/>
      <c r="B34" s="421" t="s">
        <v>2645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8"/>
      <c r="Q34" s="1793"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2613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8" t="s">
        <v>2516</v>
      </c>
      <c r="Q35" s="1808" t="str">
        <f t="shared" si="11"/>
        <v>市政基础设施</v>
      </c>
      <c r="R35" s="773" t="s">
        <v>17</v>
      </c>
      <c r="S35" s="774">
        <f t="shared" si="12"/>
        <v>100</v>
      </c>
      <c r="T35" s="773" t="s">
        <v>17</v>
      </c>
      <c r="U35" s="774">
        <f t="shared" si="13"/>
        <v>100</v>
      </c>
      <c r="V35" s="773" t="s">
        <v>17</v>
      </c>
      <c r="W35" s="774">
        <f t="shared" si="14"/>
        <v>100</v>
      </c>
      <c r="X35" s="1811"/>
      <c r="Y35" s="3218" t="s">
        <v>2516</v>
      </c>
      <c r="Z35" s="1812" t="str">
        <f t="shared" si="15"/>
        <v>市政基础设施</v>
      </c>
      <c r="AA35" s="1809">
        <f t="shared" si="3"/>
        <v>1</v>
      </c>
      <c r="AB35" s="1809">
        <f t="shared" si="4"/>
        <v>1</v>
      </c>
      <c r="AC35" s="1809">
        <f t="shared" si="5"/>
        <v>1</v>
      </c>
    </row>
    <row r="36" spans="1:29" ht="15">
      <c r="A36" s="471"/>
      <c r="B36" s="421" t="s">
        <v>2618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8"/>
      <c r="Q36" s="1808" t="str">
        <f t="shared" si="11"/>
        <v>内部装修</v>
      </c>
      <c r="R36" s="773" t="s">
        <v>17</v>
      </c>
      <c r="S36" s="774">
        <f t="shared" si="12"/>
        <v>100</v>
      </c>
      <c r="T36" s="773" t="s">
        <v>17</v>
      </c>
      <c r="U36" s="774">
        <f t="shared" si="13"/>
        <v>100</v>
      </c>
      <c r="V36" s="773" t="s">
        <v>17</v>
      </c>
      <c r="W36" s="774">
        <f t="shared" si="14"/>
        <v>100</v>
      </c>
      <c r="X36" s="1811"/>
      <c r="Y36" s="3218"/>
      <c r="Z36" s="1812" t="str">
        <f t="shared" si="15"/>
        <v>内部装修</v>
      </c>
      <c r="AA36" s="1809">
        <f t="shared" si="3"/>
        <v>1</v>
      </c>
      <c r="AB36" s="1809">
        <f t="shared" si="4"/>
        <v>1</v>
      </c>
      <c r="AC36" s="1809">
        <f t="shared" si="5"/>
        <v>1</v>
      </c>
    </row>
    <row r="37" spans="1:29" ht="15">
      <c r="A37" s="471"/>
      <c r="B37" s="421" t="s">
        <v>2654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8"/>
      <c r="Q37" s="1808" t="str">
        <f t="shared" si="11"/>
        <v>内部装修状况</v>
      </c>
      <c r="R37" s="773" t="s">
        <v>17</v>
      </c>
      <c r="S37" s="774">
        <f t="shared" si="12"/>
        <v>100</v>
      </c>
      <c r="T37" s="773" t="s">
        <v>17</v>
      </c>
      <c r="U37" s="774">
        <f t="shared" si="13"/>
        <v>100</v>
      </c>
      <c r="V37" s="773" t="s">
        <v>17</v>
      </c>
      <c r="W37" s="774">
        <f t="shared" si="14"/>
        <v>100</v>
      </c>
      <c r="X37" s="1811"/>
      <c r="Y37" s="3218"/>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8"/>
      <c r="Q39" s="1808">
        <f t="shared" si="11"/>
        <v>111</v>
      </c>
      <c r="R39" s="773" t="s">
        <v>17</v>
      </c>
      <c r="S39" s="774">
        <f t="shared" si="12"/>
        <v>100</v>
      </c>
      <c r="T39" s="773" t="s">
        <v>17</v>
      </c>
      <c r="U39" s="774">
        <f t="shared" si="13"/>
        <v>100</v>
      </c>
      <c r="V39" s="773" t="s">
        <v>17</v>
      </c>
      <c r="W39" s="774">
        <f t="shared" si="14"/>
        <v>100</v>
      </c>
      <c r="X39" s="1811"/>
      <c r="Y39" s="3218"/>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8"/>
      <c r="Q40" s="1808">
        <f t="shared" si="11"/>
        <v>111</v>
      </c>
      <c r="R40" s="773" t="s">
        <v>17</v>
      </c>
      <c r="S40" s="774">
        <f t="shared" si="12"/>
        <v>100</v>
      </c>
      <c r="T40" s="773" t="s">
        <v>17</v>
      </c>
      <c r="U40" s="774">
        <f t="shared" si="13"/>
        <v>100</v>
      </c>
      <c r="V40" s="773" t="s">
        <v>17</v>
      </c>
      <c r="W40" s="774">
        <f t="shared" si="14"/>
        <v>100</v>
      </c>
      <c r="X40" s="1811"/>
      <c r="Y40" s="3258"/>
      <c r="Z40" s="1812">
        <f t="shared" si="15"/>
        <v>111</v>
      </c>
      <c r="AA40" s="1809">
        <f t="shared" si="3"/>
        <v>1</v>
      </c>
      <c r="AB40" s="1809">
        <f t="shared" si="4"/>
        <v>1</v>
      </c>
      <c r="AC40" s="1809">
        <f t="shared" si="5"/>
        <v>1</v>
      </c>
    </row>
    <row r="41" spans="1:29" ht="15">
      <c r="A41" s="478" t="s">
        <v>2528</v>
      </c>
      <c r="B41" s="479"/>
      <c r="C41" s="1406" t="s">
        <v>1</v>
      </c>
      <c r="D41" s="1407"/>
      <c r="E41" s="1408"/>
      <c r="F41" s="1409"/>
      <c r="G41" s="1410"/>
      <c r="H41" s="1411"/>
      <c r="I41" s="1408"/>
      <c r="J41" s="1411"/>
      <c r="K41" s="782"/>
      <c r="L41" s="1142"/>
      <c r="M41" s="1143"/>
      <c r="N41" s="1130"/>
      <c r="O41" s="1143"/>
      <c r="P41" s="3213" t="str">
        <f>A41</f>
        <v>成交单价（元/平方米）</v>
      </c>
      <c r="Q41" s="3213"/>
      <c r="R41" s="3254">
        <f>E41</f>
        <v>0</v>
      </c>
      <c r="S41" s="3254"/>
      <c r="T41" s="3254">
        <f>G41</f>
        <v>0</v>
      </c>
      <c r="U41" s="3254"/>
      <c r="V41" s="3254">
        <f>I41</f>
        <v>0</v>
      </c>
      <c r="W41" s="3254"/>
      <c r="X41" s="758"/>
      <c r="Y41" s="780"/>
      <c r="Z41" s="758"/>
      <c r="AA41" s="758"/>
      <c r="AB41" s="758"/>
      <c r="AC41" s="758"/>
    </row>
    <row r="42" spans="1:29" ht="15.75" thickBot="1">
      <c r="A42" s="485" t="s">
        <v>2619</v>
      </c>
      <c r="B42" s="486"/>
      <c r="C42" s="1412" t="e">
        <f>R43</f>
        <v>#DIV/0!</v>
      </c>
      <c r="D42" s="1413"/>
      <c r="E42" s="1414" t="e">
        <f>R42</f>
        <v>#DIV/0!</v>
      </c>
      <c r="F42" s="1414"/>
      <c r="G42" s="1412" t="e">
        <f>T42</f>
        <v>#DIV/0!</v>
      </c>
      <c r="H42" s="1413"/>
      <c r="I42" s="1414" t="e">
        <f>V42</f>
        <v>#DIV/0!</v>
      </c>
      <c r="J42" s="1413"/>
      <c r="K42" s="783"/>
      <c r="L42" s="1142"/>
      <c r="M42" s="1143"/>
      <c r="N42" s="1130"/>
      <c r="O42" s="1143"/>
      <c r="P42" s="3213" t="str">
        <f>A42</f>
        <v>比较价值（元/平方米）</v>
      </c>
      <c r="Q42" s="321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1" t="s">
        <v>2620</v>
      </c>
      <c r="B43" s="492"/>
      <c r="C43" s="1416" t="e">
        <f>R43</f>
        <v>#DIV/0!</v>
      </c>
      <c r="D43" s="1416"/>
      <c r="E43" s="1416"/>
      <c r="F43" s="1416"/>
      <c r="G43" s="1416"/>
      <c r="H43" s="1416"/>
      <c r="I43" s="1416"/>
      <c r="J43" s="1416"/>
      <c r="K43" s="784"/>
      <c r="L43" s="1142"/>
      <c r="M43" s="1143"/>
      <c r="N43" s="1143"/>
      <c r="O43" s="1143"/>
      <c r="P43" s="3207" t="str">
        <f>A43</f>
        <v>估价对象XX用房的比较价值（楼面单价，元/平方米）</v>
      </c>
      <c r="Q43" s="3208"/>
      <c r="R43" s="3253" t="e">
        <f>IF(F1="售价",ROUND(AVERAGE(R42:V42),0),ROUND(AVERAGE(R42:V42),1))</f>
        <v>#DIV/0!</v>
      </c>
      <c r="S43" s="3253"/>
      <c r="T43" s="3253"/>
      <c r="U43" s="3253"/>
      <c r="V43" s="3253"/>
      <c r="W43" s="325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2621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2622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2624</v>
      </c>
      <c r="B51" s="758"/>
      <c r="C51" s="763"/>
      <c r="D51" s="763"/>
      <c r="E51" s="763"/>
      <c r="F51" s="764"/>
      <c r="G51" s="764"/>
      <c r="H51" s="763"/>
      <c r="I51" s="763"/>
      <c r="J51" s="763"/>
      <c r="K51" s="1159"/>
      <c r="L51" s="1160"/>
      <c r="M51" s="1158"/>
      <c r="N51" s="1158"/>
      <c r="O51" s="1158"/>
      <c r="P51" s="502"/>
      <c r="Q51" s="503"/>
    </row>
    <row r="52" spans="1:17" s="507" customFormat="1" ht="15">
      <c r="A52" s="504" t="s">
        <v>2499</v>
      </c>
      <c r="B52" s="505"/>
      <c r="C52" s="1572" t="str">
        <f>YEAR(C7)&amp;"-"&amp;MONTH(C7)</f>
        <v>2020-4</v>
      </c>
      <c r="D52" s="1573">
        <f>EDATE(C52,-1)</f>
        <v>43891</v>
      </c>
      <c r="E52" s="1573">
        <f t="shared" ref="E52:O52" si="16">EDATE(D52,-1)</f>
        <v>43862</v>
      </c>
      <c r="F52" s="1573">
        <f t="shared" si="16"/>
        <v>43831</v>
      </c>
      <c r="G52" s="1573">
        <f t="shared" si="16"/>
        <v>43800</v>
      </c>
      <c r="H52" s="1573">
        <f t="shared" si="16"/>
        <v>43770</v>
      </c>
      <c r="I52" s="1573">
        <f t="shared" si="16"/>
        <v>43739</v>
      </c>
      <c r="J52" s="1573">
        <f t="shared" si="16"/>
        <v>43709</v>
      </c>
      <c r="K52" s="1573">
        <f t="shared" si="16"/>
        <v>43678</v>
      </c>
      <c r="L52" s="1573">
        <f t="shared" si="16"/>
        <v>43647</v>
      </c>
      <c r="M52" s="1573">
        <f t="shared" si="16"/>
        <v>43617</v>
      </c>
      <c r="N52" s="1573">
        <f t="shared" si="16"/>
        <v>43586</v>
      </c>
      <c r="O52" s="1573">
        <f t="shared" si="16"/>
        <v>43556</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2535</v>
      </c>
      <c r="B54" s="515"/>
      <c r="C54" s="516"/>
      <c r="D54" s="517"/>
      <c r="E54" s="517"/>
      <c r="F54" s="517"/>
      <c r="G54" s="517"/>
      <c r="H54" s="517"/>
      <c r="I54" s="517"/>
      <c r="J54" s="517"/>
      <c r="K54" s="517"/>
      <c r="L54" s="517"/>
      <c r="M54" s="518"/>
      <c r="N54" s="517"/>
      <c r="O54" s="519"/>
      <c r="P54" s="503"/>
      <c r="Q54" s="503"/>
    </row>
    <row r="55" spans="1:17" s="117" customFormat="1" ht="15">
      <c r="A55" s="520" t="s">
        <v>2501</v>
      </c>
      <c r="B55" s="509"/>
      <c r="C55" s="521" t="s">
        <v>2602</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2538</v>
      </c>
      <c r="B57" s="527" t="s">
        <v>2505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2508</v>
      </c>
      <c r="C59" s="538" t="s">
        <v>2539</v>
      </c>
      <c r="D59" s="538" t="s">
        <v>2540</v>
      </c>
      <c r="E59" s="538" t="s">
        <v>2541</v>
      </c>
      <c r="F59" s="538" t="s">
        <v>2542</v>
      </c>
      <c r="G59" s="538" t="s">
        <v>2543</v>
      </c>
      <c r="H59" s="538" t="s">
        <v>2544</v>
      </c>
      <c r="I59" s="538" t="s">
        <v>2545</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2509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2510</v>
      </c>
      <c r="B70" s="527" t="s">
        <v>2655</v>
      </c>
      <c r="C70" s="572" t="s">
        <v>2547</v>
      </c>
      <c r="D70" s="572" t="s">
        <v>2548</v>
      </c>
      <c r="E70" s="572" t="s">
        <v>2549</v>
      </c>
      <c r="F70" s="572" t="s">
        <v>2550</v>
      </c>
      <c r="G70" s="572" t="s">
        <v>2551</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2552</v>
      </c>
      <c r="C72" s="577" t="s">
        <v>2547</v>
      </c>
      <c r="D72" s="577" t="s">
        <v>2548</v>
      </c>
      <c r="E72" s="577" t="s">
        <v>2549</v>
      </c>
      <c r="F72" s="577" t="s">
        <v>2550</v>
      </c>
      <c r="G72" s="577" t="s">
        <v>2551</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2553</v>
      </c>
      <c r="C74" s="577" t="s">
        <v>2547</v>
      </c>
      <c r="D74" s="577" t="s">
        <v>2548</v>
      </c>
      <c r="E74" s="577" t="s">
        <v>2549</v>
      </c>
      <c r="F74" s="577" t="s">
        <v>2550</v>
      </c>
      <c r="G74" s="577" t="s">
        <v>2551</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2639</v>
      </c>
      <c r="C76" s="659" t="s">
        <v>2625</v>
      </c>
      <c r="D76" s="659" t="s">
        <v>2626</v>
      </c>
      <c r="E76" s="659" t="s">
        <v>2627</v>
      </c>
      <c r="F76" s="659" t="s">
        <v>2628</v>
      </c>
      <c r="G76" s="659" t="s">
        <v>2629</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2648</v>
      </c>
      <c r="C78" s="577" t="s">
        <v>2547</v>
      </c>
      <c r="D78" s="577" t="s">
        <v>2548</v>
      </c>
      <c r="E78" s="577" t="s">
        <v>2549</v>
      </c>
      <c r="F78" s="577" t="s">
        <v>2550</v>
      </c>
      <c r="G78" s="577" t="s">
        <v>2551</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2"/>
      <c r="B87" s="568"/>
      <c r="C87" s="569"/>
      <c r="D87" s="569"/>
      <c r="E87" s="569"/>
      <c r="F87" s="569"/>
      <c r="G87" s="590"/>
      <c r="H87" s="590"/>
      <c r="I87" s="590"/>
      <c r="J87" s="590"/>
      <c r="K87" s="590"/>
      <c r="L87" s="590"/>
      <c r="M87" s="591"/>
      <c r="N87" s="1152"/>
      <c r="O87" s="1152"/>
      <c r="P87" s="45"/>
      <c r="Q87" s="503"/>
    </row>
    <row r="88" spans="1:17">
      <c r="A88" s="526" t="s">
        <v>2514</v>
      </c>
      <c r="B88" s="527" t="s">
        <v>2562</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2563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2564</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2566</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1958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2567</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2568</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2570</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2656</v>
      </c>
      <c r="C106" s="577" t="s">
        <v>2547</v>
      </c>
      <c r="D106" s="577" t="s">
        <v>2548</v>
      </c>
      <c r="E106" s="577" t="s">
        <v>2549</v>
      </c>
      <c r="F106" s="577" t="s">
        <v>2550</v>
      </c>
      <c r="G106" s="577" t="s">
        <v>2551</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2"/>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8" zoomScale="80" zoomScaleNormal="80" zoomScaleSheetLayoutView="90" workbookViewId="0">
      <selection activeCell="A4" sqref="A4: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t="s">
        <v>3043</v>
      </c>
      <c r="D1" s="1818" t="s">
        <v>3101</v>
      </c>
      <c r="E1" s="1819" t="s">
        <v>1379</v>
      </c>
      <c r="F1" s="1282">
        <f ca="1">J53</f>
        <v>45.71</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1507</v>
      </c>
      <c r="B2" s="1842">
        <f ca="1">C40+J29+L46</f>
        <v>11111</v>
      </c>
      <c r="C2" s="1843" t="s">
        <v>1508</v>
      </c>
      <c r="D2" s="1843"/>
      <c r="E2" s="1844"/>
      <c r="F2" s="1845"/>
      <c r="G2" s="1846"/>
      <c r="H2" s="1838"/>
      <c r="I2" s="1838"/>
      <c r="J2" s="1838"/>
      <c r="K2" s="1839"/>
      <c r="L2" s="1838"/>
      <c r="M2" s="1838"/>
    </row>
    <row r="3" spans="1:37" ht="18" customHeight="1" thickBot="1">
      <c r="A3" s="1847" t="s">
        <v>1509</v>
      </c>
      <c r="B3" s="1848">
        <f ca="1">IF(ISERROR(B2*10000/F43),0,ROUND(B2*10000/F43,0))</f>
        <v>21212</v>
      </c>
      <c r="C3" s="1843" t="s">
        <v>1510</v>
      </c>
      <c r="D3" s="1843"/>
      <c r="E3" s="1844"/>
      <c r="F3" s="1845"/>
      <c r="G3" s="1846"/>
      <c r="H3" s="743" t="s">
        <v>1580</v>
      </c>
      <c r="I3" s="1838"/>
      <c r="J3" s="1838"/>
      <c r="K3" s="1839"/>
      <c r="L3" s="1838"/>
      <c r="M3" s="1838"/>
    </row>
    <row r="4" spans="1:37" ht="18" customHeight="1">
      <c r="A4" s="339" t="s">
        <v>1388</v>
      </c>
      <c r="B4" s="340" t="s">
        <v>1389</v>
      </c>
      <c r="C4" s="340" t="s">
        <v>1390</v>
      </c>
      <c r="D4" s="340" t="s">
        <v>1391</v>
      </c>
      <c r="E4" s="341" t="s">
        <v>1392</v>
      </c>
      <c r="F4" s="342"/>
      <c r="G4" s="1849"/>
      <c r="H4" s="339" t="s">
        <v>1388</v>
      </c>
      <c r="I4" s="340" t="s">
        <v>1389</v>
      </c>
      <c r="J4" s="340" t="s">
        <v>1390</v>
      </c>
      <c r="K4" s="340" t="s">
        <v>1391</v>
      </c>
      <c r="L4" s="341" t="s">
        <v>1392</v>
      </c>
      <c r="M4" s="342"/>
    </row>
    <row r="5" spans="1:37" ht="18" customHeight="1">
      <c r="A5" s="343">
        <v>1</v>
      </c>
      <c r="B5" s="344" t="s">
        <v>1393</v>
      </c>
      <c r="C5" s="1291">
        <f ca="1">C6+C10+C12</f>
        <v>603</v>
      </c>
      <c r="D5" s="1820" t="s">
        <v>1394</v>
      </c>
      <c r="E5" s="1292"/>
      <c r="F5" s="1293"/>
      <c r="G5" s="1849"/>
      <c r="H5" s="343">
        <v>1</v>
      </c>
      <c r="I5" s="344" t="s">
        <v>1393</v>
      </c>
      <c r="J5" s="1291">
        <f ca="1">J6+J10+J12</f>
        <v>0</v>
      </c>
      <c r="K5" s="1820" t="s">
        <v>1394</v>
      </c>
      <c r="L5" s="1292"/>
      <c r="M5" s="1293"/>
    </row>
    <row r="6" spans="1:37" ht="18" customHeight="1">
      <c r="A6" s="1290" t="s">
        <v>1031</v>
      </c>
      <c r="B6" s="3265" t="s">
        <v>1395</v>
      </c>
      <c r="C6" s="1295">
        <f ca="1">ROUND(F6*F8*F7*(1-F9)/10000,0)</f>
        <v>602</v>
      </c>
      <c r="D6" s="163" t="s">
        <v>2981</v>
      </c>
      <c r="E6" s="346" t="s">
        <v>1397</v>
      </c>
      <c r="F6" s="347">
        <f ca="1">INDIRECT("'数据-取费表'!u"&amp;$G$1)</f>
        <v>3.5</v>
      </c>
      <c r="G6" s="1849"/>
      <c r="H6" s="1290" t="s">
        <v>1031</v>
      </c>
      <c r="I6" s="3265" t="s">
        <v>1395</v>
      </c>
      <c r="J6" s="345">
        <f ca="1">ROUND(M6*M8*M7*(1-M9)/10000,0)</f>
        <v>0</v>
      </c>
      <c r="K6" s="163" t="s">
        <v>2980</v>
      </c>
      <c r="L6" s="346" t="s">
        <v>1397</v>
      </c>
      <c r="M6" s="347">
        <f ca="1">INDIRECT("'数据-取费表'!z"&amp;$G$1)</f>
        <v>0</v>
      </c>
    </row>
    <row r="7" spans="1:37" ht="18" customHeight="1">
      <c r="A7" s="1294"/>
      <c r="B7" s="3266"/>
      <c r="C7" s="1296"/>
      <c r="D7" s="351"/>
      <c r="E7" s="2941" t="s">
        <v>1398</v>
      </c>
      <c r="F7" s="347">
        <f ca="1">IF(INDIRECT("'数据-取费表'!ah"&amp;$G$1)="",INDIRECT("'数据-取费表'!k"&amp;$G$1),INDIRECT("'数据-取费表'!ah"&amp;$G$1))</f>
        <v>5238.1899999999996</v>
      </c>
      <c r="G7" s="1849"/>
      <c r="H7" s="348"/>
      <c r="I7" s="3266"/>
      <c r="J7" s="350"/>
      <c r="K7" s="351"/>
      <c r="L7" s="346" t="s">
        <v>1398</v>
      </c>
      <c r="M7" s="347">
        <f ca="1">F7</f>
        <v>5238.1899999999996</v>
      </c>
    </row>
    <row r="8" spans="1:37" ht="18" customHeight="1">
      <c r="A8" s="348"/>
      <c r="B8" s="3266"/>
      <c r="C8" s="350"/>
      <c r="D8" s="351"/>
      <c r="E8" s="346" t="s">
        <v>1399</v>
      </c>
      <c r="F8" s="347">
        <f ca="1">INDIRECT("'数据-取费表'!ai"&amp;$G$1)</f>
        <v>365</v>
      </c>
      <c r="G8" s="1849"/>
      <c r="H8" s="348"/>
      <c r="I8" s="3266"/>
      <c r="J8" s="350"/>
      <c r="K8" s="351"/>
      <c r="L8" s="346" t="s">
        <v>1399</v>
      </c>
      <c r="M8" s="347">
        <f ca="1">INDIRECT("'数据-取费表'!ai"&amp;$G$1)</f>
        <v>365</v>
      </c>
    </row>
    <row r="9" spans="1:37" ht="18" customHeight="1">
      <c r="A9" s="348"/>
      <c r="B9" s="3267"/>
      <c r="C9" s="350"/>
      <c r="D9" s="351"/>
      <c r="E9" s="346" t="s">
        <v>1400</v>
      </c>
      <c r="F9" s="356">
        <f ca="1">INDIRECT("'数据-取费表'!w"&amp;$G$1)</f>
        <v>0.1</v>
      </c>
      <c r="G9" s="1849"/>
      <c r="H9" s="348"/>
      <c r="I9" s="3267"/>
      <c r="J9" s="350"/>
      <c r="K9" s="351"/>
      <c r="L9" s="357" t="s">
        <v>1400</v>
      </c>
      <c r="M9" s="358">
        <f ca="1">INDIRECT("'数据-取费表'!ab"&amp;$G$1)</f>
        <v>0</v>
      </c>
    </row>
    <row r="10" spans="1:37" ht="18" customHeight="1">
      <c r="A10" s="1290" t="s">
        <v>1035</v>
      </c>
      <c r="B10" s="1821" t="s">
        <v>1401</v>
      </c>
      <c r="C10" s="360">
        <f ca="1">ROUND(IF(F10="押一",C6/12*F11,IF(F10="押二",C6/12*2*F11,IF(F10="押三",C6/12*3*F11,C11*F11))),0)</f>
        <v>1</v>
      </c>
      <c r="D10" s="1822" t="s">
        <v>2989</v>
      </c>
      <c r="E10" s="357" t="s">
        <v>1402</v>
      </c>
      <c r="F10" s="1365" t="s">
        <v>3100</v>
      </c>
      <c r="G10" s="1849"/>
      <c r="H10" s="1290" t="s">
        <v>1035</v>
      </c>
      <c r="I10" s="1821" t="s">
        <v>1401</v>
      </c>
      <c r="J10" s="345">
        <f ca="1">ROUND(IF(M10="押一",J6/12*M11,IF(M10="押二",J6/12*2*M11,IF(M10="押三",J6/12*3*M11,J11*M11))),0)</f>
        <v>0</v>
      </c>
      <c r="K10" s="1822" t="s">
        <v>2989</v>
      </c>
      <c r="L10" s="357" t="s">
        <v>1402</v>
      </c>
      <c r="M10" s="1365" t="s">
        <v>1403</v>
      </c>
    </row>
    <row r="11" spans="1:37" ht="18" customHeight="1">
      <c r="A11" s="352"/>
      <c r="B11" s="1823" t="s">
        <v>1380</v>
      </c>
      <c r="C11" s="1177"/>
      <c r="D11" s="1824"/>
      <c r="E11" s="357" t="s">
        <v>1404</v>
      </c>
      <c r="F11" s="358">
        <f ca="1">'数据-取费表'!B39</f>
        <v>1.4999999999999999E-2</v>
      </c>
      <c r="G11" s="1849"/>
      <c r="H11" s="1298"/>
      <c r="I11" s="1823" t="s">
        <v>1380</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2295</v>
      </c>
      <c r="D13" s="1330" t="s">
        <v>1407</v>
      </c>
      <c r="E13" s="1330" t="s">
        <v>1408</v>
      </c>
      <c r="F13" s="1331">
        <f ca="1">INDIRECT("'数据-取费表'!y"&amp;$G$1)</f>
        <v>1</v>
      </c>
      <c r="G13" s="1849"/>
      <c r="H13" s="1328">
        <v>2</v>
      </c>
      <c r="I13" s="1329" t="s">
        <v>1406</v>
      </c>
      <c r="J13" s="1289">
        <f ca="1">ROUND(J14*J15,0)</f>
        <v>0</v>
      </c>
      <c r="K13" s="1336" t="s">
        <v>1407</v>
      </c>
      <c r="L13" s="1850"/>
      <c r="M13" s="1851"/>
    </row>
    <row r="14" spans="1:37" ht="18" customHeight="1">
      <c r="A14" s="1200" t="s">
        <v>1030</v>
      </c>
      <c r="B14" s="346" t="s">
        <v>1409</v>
      </c>
      <c r="C14" s="362">
        <f ca="1">INDIRECT("'数据-取费表'!m"&amp;$G$1)+INDIRECT("'数据-取费表'!t"&amp;$G$1)</f>
        <v>1600</v>
      </c>
      <c r="D14" s="2944" t="s">
        <v>1410</v>
      </c>
      <c r="E14" s="2943"/>
      <c r="F14" s="363"/>
      <c r="G14" s="1849"/>
      <c r="H14" s="1200" t="s">
        <v>1031</v>
      </c>
      <c r="I14" s="346" t="s">
        <v>1411</v>
      </c>
      <c r="J14" s="24">
        <f ca="1">C29</f>
        <v>2295</v>
      </c>
      <c r="K14" s="2940"/>
      <c r="L14" s="978"/>
      <c r="M14" s="979"/>
    </row>
    <row r="15" spans="1:37" s="1856" customFormat="1" ht="18" customHeight="1" thickBot="1">
      <c r="A15" s="1200" t="s">
        <v>1032</v>
      </c>
      <c r="B15" s="346" t="s">
        <v>1412</v>
      </c>
      <c r="C15" s="24">
        <f ca="1">ROUND(C14*F15,0)</f>
        <v>80</v>
      </c>
      <c r="D15" s="364" t="s">
        <v>1413</v>
      </c>
      <c r="E15" s="364" t="s">
        <v>1414</v>
      </c>
      <c r="F15" s="365">
        <f>'数据-取费表'!B33</f>
        <v>0.05</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ROUND(INDIRECT("'数据-取费表'!m"&amp;$G$1)*F16,0)</f>
        <v>0</v>
      </c>
      <c r="D16" s="346" t="s">
        <v>1413</v>
      </c>
      <c r="E16" s="346" t="s">
        <v>1414</v>
      </c>
      <c r="F16" s="366">
        <f ca="1">IF(INDIRECT("'数据-取费表'!c"&amp;$G$1)="住宅",'数据-取费表'!B34,0)</f>
        <v>0</v>
      </c>
      <c r="G16" s="1849"/>
      <c r="H16" s="1328" t="s">
        <v>1026</v>
      </c>
      <c r="I16" s="1329" t="s">
        <v>1416</v>
      </c>
      <c r="J16" s="354">
        <f ca="1">ROUND(J17+J22+J23+J24,0)</f>
        <v>54</v>
      </c>
      <c r="K16" s="1336" t="s">
        <v>1417</v>
      </c>
      <c r="L16" s="2947"/>
      <c r="M16" s="1293"/>
    </row>
    <row r="17" spans="1:37" s="1856" customFormat="1" ht="18" customHeight="1">
      <c r="A17" s="1200" t="s">
        <v>1382</v>
      </c>
      <c r="B17" s="346" t="s">
        <v>1418</v>
      </c>
      <c r="C17" s="24">
        <f ca="1">ROUND(F17*(F43+INDIRECT("'数据-取费表'!S"&amp;$G$1))/10000,0)</f>
        <v>107</v>
      </c>
      <c r="D17" s="346" t="s">
        <v>1419</v>
      </c>
      <c r="E17" s="346" t="s">
        <v>1420</v>
      </c>
      <c r="F17" s="26">
        <f>'数据-取费表'!B35</f>
        <v>200</v>
      </c>
      <c r="G17" s="1852"/>
      <c r="H17" s="1200" t="s">
        <v>1031</v>
      </c>
      <c r="I17" s="346" t="s">
        <v>1421</v>
      </c>
      <c r="J17" s="24">
        <f ca="1">ROUND(IF(项目基本情况!B11="自然人",J5*M17,J18+J19+J20),1)</f>
        <v>19.5</v>
      </c>
      <c r="K17" s="2944" t="s">
        <v>1422</v>
      </c>
      <c r="L17" s="294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24</v>
      </c>
      <c r="D18" s="346" t="s">
        <v>1413</v>
      </c>
      <c r="E18" s="346" t="s">
        <v>1414</v>
      </c>
      <c r="F18" s="366">
        <f>'数据-取费表'!B36</f>
        <v>1.4999999999999999E-2</v>
      </c>
      <c r="G18" s="1852"/>
      <c r="H18" s="1200" t="s">
        <v>1030</v>
      </c>
      <c r="I18" s="346" t="s">
        <v>1425</v>
      </c>
      <c r="J18" s="24">
        <f ca="1">ROUND(J5*M18/(1+'数据-取费表'!C42),2)</f>
        <v>0</v>
      </c>
      <c r="K18" s="294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1811</v>
      </c>
      <c r="D19" s="139" t="s">
        <v>1428</v>
      </c>
      <c r="E19" s="2939"/>
      <c r="F19" s="26"/>
      <c r="G19" s="1849"/>
      <c r="H19" s="1200" t="s">
        <v>1032</v>
      </c>
      <c r="I19" s="346" t="s">
        <v>1429</v>
      </c>
      <c r="J19" s="24">
        <f ca="1">IF(K19="按租金收入计税",ROUND(J5*M19,2),ROUND(C29*M19*0.7,2))</f>
        <v>19.28</v>
      </c>
      <c r="K19" s="1826" t="s">
        <v>1430</v>
      </c>
      <c r="L19" s="346" t="s">
        <v>1414</v>
      </c>
      <c r="M19" s="366">
        <f>IF(K19="按租金收入计税",'数据-取费表'!B51,'数据-取费表'!B50)</f>
        <v>1.2E-2</v>
      </c>
    </row>
    <row r="20" spans="1:37" s="1856" customFormat="1" ht="18" customHeight="1">
      <c r="A20" s="1200" t="s">
        <v>1035</v>
      </c>
      <c r="B20" s="346" t="s">
        <v>1431</v>
      </c>
      <c r="C20" s="24">
        <f ca="1">ROUND(C19*F20,0)</f>
        <v>36</v>
      </c>
      <c r="D20" s="368" t="s">
        <v>1432</v>
      </c>
      <c r="E20" s="346" t="s">
        <v>1414</v>
      </c>
      <c r="F20" s="366">
        <f>'数据-取费表'!B37</f>
        <v>0.02</v>
      </c>
      <c r="G20" s="1852"/>
      <c r="H20" s="1200" t="s">
        <v>1381</v>
      </c>
      <c r="I20" s="163" t="s">
        <v>1433</v>
      </c>
      <c r="J20" s="25">
        <f ca="1">ROUND(M20*M21/10000,2)</f>
        <v>0.22</v>
      </c>
      <c r="K20" s="369" t="s">
        <v>1434</v>
      </c>
      <c r="L20" s="346" t="s">
        <v>1435</v>
      </c>
      <c r="M20" s="370">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18</v>
      </c>
      <c r="D21" s="368" t="s">
        <v>1437</v>
      </c>
      <c r="E21" s="346" t="s">
        <v>1438</v>
      </c>
      <c r="F21" s="366">
        <f>'数据-取费表'!B38</f>
        <v>0.02</v>
      </c>
      <c r="G21" s="1852"/>
      <c r="H21" s="371"/>
      <c r="I21" s="355"/>
      <c r="J21" s="29"/>
      <c r="K21" s="372"/>
      <c r="L21" s="346" t="s">
        <v>1439</v>
      </c>
      <c r="M21" s="347">
        <f ca="1">INDIRECT("'数据-取费表'!r"&amp;$G$1)</f>
        <v>1490.28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2939"/>
      <c r="F22" s="26"/>
      <c r="G22" s="1849"/>
      <c r="H22" s="1200" t="s">
        <v>1035</v>
      </c>
      <c r="I22" s="346" t="s">
        <v>1441</v>
      </c>
      <c r="J22" s="24">
        <f ca="1">ROUND(J14*M22,1)</f>
        <v>34.4</v>
      </c>
      <c r="K22" s="2946" t="s">
        <v>1442</v>
      </c>
      <c r="L22" s="346" t="s">
        <v>1414</v>
      </c>
      <c r="M22" s="373">
        <f ca="1">INDIRECT("'数据-取费表'!Ak"&amp;$G$1)</f>
        <v>1.4999999999999999E-2</v>
      </c>
    </row>
    <row r="23" spans="1:37" s="1856" customFormat="1" ht="18" customHeight="1">
      <c r="A23" s="1200" t="s">
        <v>1030</v>
      </c>
      <c r="B23" s="346" t="s">
        <v>1443</v>
      </c>
      <c r="C23" s="24">
        <f ca="1">IF('数据-取费表'!B22&lt;=1,ROUND(C19*F24*F23/2,0)+ROUND(C20*F24*F23/2,0),ROUND(C19*(POWER((1+F24),F23/2)-1),0)+ROUND(C20*(POWER((1+F24),F23/2)-1),0))</f>
        <v>88</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ROUND(J13*M23,1)</f>
        <v>0</v>
      </c>
      <c r="K23" s="2946" t="s">
        <v>1446</v>
      </c>
      <c r="L23" s="346" t="s">
        <v>1447</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6" t="s">
        <v>1449</v>
      </c>
      <c r="C24" s="24">
        <f ca="1">ROUND(IF('数据-取费表'!B22&lt;=1,F21*F24*F23/2,F21*(POWER((1+F24),F23/2)-1)),4)</f>
        <v>1E-3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ROUND(J5*M24,1)</f>
        <v>0</v>
      </c>
      <c r="K24" s="1341" t="s">
        <v>1451</v>
      </c>
      <c r="L24" s="1339" t="s">
        <v>1447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6" t="s">
        <v>1453</v>
      </c>
      <c r="C25" s="24"/>
      <c r="D25" s="139" t="s">
        <v>1454</v>
      </c>
      <c r="E25" s="2939"/>
      <c r="F25" s="26"/>
      <c r="G25" s="1849"/>
      <c r="H25" s="1328" t="s">
        <v>1027</v>
      </c>
      <c r="I25" s="1343" t="s">
        <v>1455</v>
      </c>
      <c r="J25" s="354">
        <f ca="1">J5-J16</f>
        <v>-54</v>
      </c>
      <c r="K25" s="1344" t="s">
        <v>1456</v>
      </c>
      <c r="L25" s="1345"/>
      <c r="M25" s="1346"/>
    </row>
    <row r="26" spans="1:37">
      <c r="A26" s="1200" t="s">
        <v>1030</v>
      </c>
      <c r="B26" s="346" t="s">
        <v>1457</v>
      </c>
      <c r="C26" s="24">
        <f ca="1">ROUND((C19+C20)*F26,0)</f>
        <v>185</v>
      </c>
      <c r="D26" s="368" t="s">
        <v>1458</v>
      </c>
      <c r="E26" s="357" t="s">
        <v>1459</v>
      </c>
      <c r="F26" s="356">
        <f ca="1">INDIRECT("'数据-取费表'!q"&amp;$G$1)</f>
        <v>0.1</v>
      </c>
      <c r="G26" s="1849"/>
      <c r="H26" s="343" t="s">
        <v>1028</v>
      </c>
      <c r="I26" s="344" t="s">
        <v>1460</v>
      </c>
      <c r="J26" s="345">
        <f ca="1">IF(J5&lt;&gt;0,ROUND(J25*(1-((1+M28)/(1+M26))^M27)/(M26-M28),0),0)</f>
        <v>0</v>
      </c>
      <c r="K26" s="369" t="s">
        <v>1461</v>
      </c>
      <c r="L26" s="346" t="s">
        <v>1462</v>
      </c>
      <c r="M26" s="356">
        <f ca="1">INDIRECT("'数据-取费表'!I"&amp;$G$1)</f>
        <v>0.05</v>
      </c>
    </row>
    <row r="27" spans="1:37" ht="18" customHeight="1">
      <c r="A27" s="1200" t="s">
        <v>1032</v>
      </c>
      <c r="B27" s="346" t="s">
        <v>1463</v>
      </c>
      <c r="C27" s="24">
        <f ca="1">ROUND(F21*F26,4)</f>
        <v>2E-3</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2295</v>
      </c>
      <c r="D29" s="1341"/>
      <c r="E29" s="1339"/>
      <c r="F29" s="1342"/>
      <c r="G29" s="1852"/>
      <c r="H29" s="379" t="s">
        <v>1029</v>
      </c>
      <c r="I29" s="380" t="s">
        <v>1471</v>
      </c>
      <c r="J29" s="381">
        <f ca="1">ROUND(J26/(1+F40)^F41,0)</f>
        <v>0</v>
      </c>
      <c r="K29" s="382" t="s">
        <v>1472</v>
      </c>
      <c r="L29" s="383"/>
      <c r="M29" s="384">
        <f ca="1">INDIRECT("'数据-取费表'!k"&amp;$G$1)</f>
        <v>5238.1899999999996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149</v>
      </c>
      <c r="D30" s="1336" t="s">
        <v>1417</v>
      </c>
      <c r="E30" s="2947"/>
      <c r="F30" s="1293"/>
      <c r="G30" s="1849"/>
      <c r="H30" s="744"/>
      <c r="I30" s="745"/>
      <c r="J30" s="746"/>
      <c r="K30" s="747"/>
      <c r="L30" s="748"/>
      <c r="M30" s="749"/>
    </row>
    <row r="31" spans="1:37" ht="18" customHeight="1">
      <c r="A31" s="1200" t="s">
        <v>1031</v>
      </c>
      <c r="B31" s="346" t="s">
        <v>1421</v>
      </c>
      <c r="C31" s="24">
        <f ca="1">ROUND(IF(项目基本情况!B11="自然人",C5*F31,C32+C33+C34),1)</f>
        <v>104.7</v>
      </c>
      <c r="D31" s="2944" t="s">
        <v>1422</v>
      </c>
      <c r="E31" s="294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IF(项目基本情况!B11="自然人","——",ROUND(C5*F32/(1+'数据-取费表'!C42),2))</f>
        <v>32.159999999999997</v>
      </c>
      <c r="D32" s="294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IF(项目基本情况!B11="自然人","——",IF(D33="按租金收入计税",ROUND(C5*F33,2),IF(D33="按房产原值计税",ROUND(C29*F33*0.7,2),INDIRECT("'数据-取费表'!Aj"&amp;$G$1))))</f>
        <v>72.36</v>
      </c>
      <c r="D33" s="1826" t="s">
        <v>3266</v>
      </c>
      <c r="E33" s="346" t="s">
        <v>1414</v>
      </c>
      <c r="F33" s="366">
        <f>IF(D33="按票据","——",IF(D33="按租金收入计税",'数据-取费表'!B51,'数据-取费表'!B50))</f>
        <v>0.12</v>
      </c>
      <c r="G33" s="1849"/>
      <c r="H33" s="1857"/>
      <c r="I33" s="1858"/>
      <c r="J33" s="1859"/>
      <c r="K33" s="1860"/>
      <c r="L33" s="1857"/>
      <c r="M33" s="1857"/>
    </row>
    <row r="34" spans="1:18" ht="18" customHeight="1">
      <c r="A34" s="1290" t="s">
        <v>1381</v>
      </c>
      <c r="B34" s="163" t="s">
        <v>1433</v>
      </c>
      <c r="C34" s="25">
        <f ca="1">IF(项目基本情况!B11="自然人","——",ROUND(F34*F35/10000,2))</f>
        <v>0.22</v>
      </c>
      <c r="D34" s="369" t="s">
        <v>1434</v>
      </c>
      <c r="E34" s="346" t="s">
        <v>1435</v>
      </c>
      <c r="F34" s="370">
        <f>'数据-取费表'!B52</f>
        <v>1.5</v>
      </c>
      <c r="G34" s="1849"/>
      <c r="H34" s="744"/>
      <c r="I34" s="1858"/>
      <c r="J34" s="1859"/>
      <c r="K34" s="1861"/>
      <c r="L34" s="1862"/>
      <c r="M34" s="1862"/>
    </row>
    <row r="35" spans="1:18" ht="18" customHeight="1">
      <c r="A35" s="1352"/>
      <c r="B35" s="1350"/>
      <c r="C35" s="29"/>
      <c r="D35" s="372"/>
      <c r="E35" s="346" t="s">
        <v>1439</v>
      </c>
      <c r="F35" s="347">
        <f ca="1">INDIRECT("'数据-取费表'!r"&amp;$G$1)</f>
        <v>1490.28</v>
      </c>
      <c r="G35" s="1849"/>
      <c r="H35" s="744"/>
      <c r="I35" s="1858"/>
      <c r="J35" s="1859"/>
      <c r="K35" s="1860"/>
      <c r="L35" s="1857"/>
      <c r="M35" s="1857"/>
    </row>
    <row r="36" spans="1:18" ht="18" customHeight="1">
      <c r="A36" s="1351" t="s">
        <v>1035</v>
      </c>
      <c r="B36" s="346" t="s">
        <v>1441</v>
      </c>
      <c r="C36" s="24">
        <f ca="1">ROUND(C29*F36,1)</f>
        <v>34.4</v>
      </c>
      <c r="D36" s="2946" t="s">
        <v>1474</v>
      </c>
      <c r="E36" s="346" t="s">
        <v>1414</v>
      </c>
      <c r="F36" s="373">
        <f ca="1">INDIRECT("'数据-取费表'!Ak"&amp;$G$1)</f>
        <v>1.4999999999999999E-2</v>
      </c>
      <c r="G36" s="1849"/>
      <c r="H36" s="1857"/>
      <c r="I36" s="1858"/>
      <c r="J36" s="1859"/>
      <c r="K36" s="750"/>
      <c r="L36" s="1857"/>
      <c r="M36" s="1857"/>
    </row>
    <row r="37" spans="1:18" ht="18" customHeight="1">
      <c r="A37" s="1200" t="s">
        <v>1071</v>
      </c>
      <c r="B37" s="346" t="s">
        <v>1445</v>
      </c>
      <c r="C37" s="24">
        <f ca="1">ROUND(C13*F37,1)</f>
        <v>3.4</v>
      </c>
      <c r="D37" s="2946" t="s">
        <v>1446</v>
      </c>
      <c r="E37" s="346" t="s">
        <v>1447</v>
      </c>
      <c r="F37" s="375">
        <f ca="1">INDIRECT("'数据-取费表'!Al"&amp;$G$1)</f>
        <v>1.5E-3</v>
      </c>
      <c r="G37" s="1849"/>
      <c r="H37" s="1857"/>
      <c r="I37" s="1858"/>
      <c r="J37" s="1859"/>
      <c r="K37" s="750"/>
      <c r="L37" s="1857"/>
      <c r="M37" s="1857"/>
    </row>
    <row r="38" spans="1:18" ht="18" customHeight="1" thickBot="1">
      <c r="A38" s="1338" t="s">
        <v>1385</v>
      </c>
      <c r="B38" s="1339" t="s">
        <v>1431</v>
      </c>
      <c r="C38" s="1340">
        <f ca="1">ROUND(C5*F38,1)</f>
        <v>6</v>
      </c>
      <c r="D38" s="1341" t="s">
        <v>1451</v>
      </c>
      <c r="E38" s="1339" t="s">
        <v>1447</v>
      </c>
      <c r="F38" s="1335">
        <f ca="1">INDIRECT("'数据-取费表'!Am"&amp;$G$1)</f>
        <v>0.01</v>
      </c>
      <c r="G38" s="1849"/>
      <c r="H38" s="1857"/>
      <c r="I38" s="1858"/>
      <c r="J38" s="1859"/>
      <c r="K38" s="1863"/>
      <c r="L38" s="1857"/>
      <c r="M38" s="1857"/>
    </row>
    <row r="39" spans="1:18" ht="24.6" customHeight="1" thickTop="1">
      <c r="A39" s="1328" t="s">
        <v>1027</v>
      </c>
      <c r="B39" s="1343" t="s">
        <v>1455</v>
      </c>
      <c r="C39" s="354">
        <f ca="1">C5-C30</f>
        <v>454</v>
      </c>
      <c r="D39" s="1344" t="s">
        <v>1456</v>
      </c>
      <c r="E39" s="1345"/>
      <c r="F39" s="1346"/>
      <c r="G39" s="1849"/>
      <c r="H39" s="1857"/>
      <c r="I39" s="1858"/>
      <c r="J39" s="1859"/>
      <c r="K39" s="1863"/>
      <c r="L39" s="1857"/>
      <c r="M39" s="1857"/>
    </row>
    <row r="40" spans="1:18" ht="18" customHeight="1">
      <c r="A40" s="343" t="s">
        <v>1028</v>
      </c>
      <c r="B40" s="344" t="s">
        <v>1477</v>
      </c>
      <c r="C40" s="345">
        <f ca="1">ROUND(C39*(1-((1+F42)/(1+F40))^F41)/(F40-F42),0)</f>
        <v>11111</v>
      </c>
      <c r="D40" s="369" t="s">
        <v>1461</v>
      </c>
      <c r="E40" s="346" t="s">
        <v>1462</v>
      </c>
      <c r="F40" s="356">
        <f ca="1">INDIRECT("'数据-取费表'!I"&amp;$G$1)</f>
        <v>0.05</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45.71</v>
      </c>
      <c r="G41" s="1849"/>
      <c r="H41" s="731"/>
      <c r="I41" s="1858"/>
      <c r="J41" s="1859"/>
      <c r="K41" s="750"/>
      <c r="L41" s="731"/>
      <c r="M41" s="731"/>
    </row>
    <row r="42" spans="1:18" ht="18" customHeight="1">
      <c r="A42" s="352"/>
      <c r="B42" s="353"/>
      <c r="C42" s="354"/>
      <c r="D42" s="372"/>
      <c r="E42" s="346" t="s">
        <v>1469</v>
      </c>
      <c r="F42" s="356">
        <f ca="1">INDIRECT("'数据-取费表'!v"&amp;$G$1)</f>
        <v>0.02</v>
      </c>
      <c r="G42" s="1849"/>
      <c r="H42" s="731"/>
      <c r="I42" s="1858"/>
      <c r="J42" s="1859"/>
      <c r="K42" s="750"/>
      <c r="L42" s="731"/>
      <c r="M42" s="731"/>
    </row>
    <row r="43" spans="1:18" ht="18" customHeight="1" thickBot="1">
      <c r="A43" s="379" t="s">
        <v>1029</v>
      </c>
      <c r="B43" s="380" t="s">
        <v>1479</v>
      </c>
      <c r="C43" s="381">
        <f ca="1">ROUND(C40*10000/F43,0)</f>
        <v>21212</v>
      </c>
      <c r="D43" s="382" t="s">
        <v>1480</v>
      </c>
      <c r="E43" s="383" t="s">
        <v>1481</v>
      </c>
      <c r="F43" s="384">
        <f ca="1">INDIRECT("'数据-取费表'!k"&amp;$G$1)</f>
        <v>5238.1899999999996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1511</v>
      </c>
      <c r="P45" s="1837"/>
      <c r="Q45" s="1837"/>
      <c r="R45" s="1837"/>
    </row>
    <row r="46" spans="1:18" s="1840" customFormat="1" ht="13.5" thickBot="1">
      <c r="A46" s="1868" t="s">
        <v>1512</v>
      </c>
      <c r="C46" s="1869">
        <f ca="1">C68-C40</f>
        <v>-15234</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1388</v>
      </c>
      <c r="B47" s="1196" t="s">
        <v>1389</v>
      </c>
      <c r="C47" s="1366" t="s">
        <v>1390</v>
      </c>
      <c r="D47" s="1196" t="s">
        <v>1391</v>
      </c>
      <c r="E47" s="1278" t="s">
        <v>1392</v>
      </c>
      <c r="F47" s="1279"/>
      <c r="G47" s="791"/>
      <c r="I47" s="1878" t="s">
        <v>1518</v>
      </c>
      <c r="J47" s="1879" t="s">
        <v>3069</v>
      </c>
      <c r="K47" s="1880" t="s">
        <v>1519</v>
      </c>
      <c r="L47" s="1881">
        <f ca="1">INDIRECT("'数据-取费表'!d"&amp;$G$1)</f>
        <v>50</v>
      </c>
      <c r="M47" s="1836" t="str">
        <f>IF(ISNUMBER(FIND("住宅",C1)),"住宅","非住宅")</f>
        <v>非住宅</v>
      </c>
      <c r="O47" s="1882" t="s">
        <v>1036</v>
      </c>
      <c r="P47" s="1883" t="s">
        <v>1520</v>
      </c>
      <c r="Q47" s="1884">
        <f ca="1">C40+J29</f>
        <v>11111</v>
      </c>
      <c r="R47" s="1884" t="s">
        <v>1521</v>
      </c>
    </row>
    <row r="48" spans="1:18" s="1840" customFormat="1" ht="28.5" thickBot="1">
      <c r="A48" s="1359" t="s">
        <v>1131</v>
      </c>
      <c r="B48" s="344" t="s">
        <v>1393</v>
      </c>
      <c r="C48" s="2938">
        <f ca="1">C49+C53+C55</f>
        <v>0</v>
      </c>
      <c r="D48" s="1361"/>
      <c r="E48" s="1362"/>
      <c r="F48" s="1180"/>
      <c r="G48" s="791"/>
      <c r="H48" s="792"/>
      <c r="I48" s="1885" t="s">
        <v>1522</v>
      </c>
      <c r="J48" s="1886" t="s">
        <v>3102</v>
      </c>
      <c r="K48" s="1887" t="s">
        <v>1523</v>
      </c>
      <c r="L48" s="1888">
        <f ca="1">INDIRECT("'数据-取费表'!f"&amp;$G$1)</f>
        <v>45.81</v>
      </c>
      <c r="O48" s="1882" t="s">
        <v>1037</v>
      </c>
      <c r="P48" s="1883" t="s">
        <v>1524</v>
      </c>
      <c r="Q48" s="1884" t="str">
        <f ca="1">J60</f>
        <v>0</v>
      </c>
      <c r="R48" s="1884" t="s">
        <v>1525</v>
      </c>
    </row>
    <row r="49" spans="1:18" s="1840" customFormat="1" ht="13.5" thickBot="1">
      <c r="A49" s="1193" t="s">
        <v>1132</v>
      </c>
      <c r="B49" s="1827" t="s">
        <v>1482</v>
      </c>
      <c r="C49" s="1363">
        <f ca="1">ROUND(F49*F51*F50*(1-F52)/10000,0)</f>
        <v>0</v>
      </c>
      <c r="D49" s="1275" t="s">
        <v>2980</v>
      </c>
      <c r="E49" s="1828" t="s">
        <v>1483</v>
      </c>
      <c r="F49" s="1280"/>
      <c r="G49" s="1889"/>
      <c r="H49" s="792"/>
      <c r="I49" s="1885" t="s">
        <v>1526</v>
      </c>
      <c r="J49" s="1890">
        <v>2020</v>
      </c>
      <c r="K49" s="1887" t="s">
        <v>1527</v>
      </c>
      <c r="L49" s="1891"/>
      <c r="O49" s="1892" t="s">
        <v>1038</v>
      </c>
      <c r="P49" s="1883" t="s">
        <v>1528</v>
      </c>
      <c r="Q49" s="1884">
        <f ca="1">C29</f>
        <v>2295</v>
      </c>
      <c r="R49" s="1884" t="s">
        <v>1521</v>
      </c>
    </row>
    <row r="50" spans="1:18" s="1840" customFormat="1" ht="13.5" thickBot="1">
      <c r="A50" s="1194"/>
      <c r="B50" s="1197"/>
      <c r="C50" s="1367"/>
      <c r="D50" s="1171"/>
      <c r="E50" s="1276" t="s">
        <v>1398</v>
      </c>
      <c r="F50" s="1277">
        <f ca="1">F7</f>
        <v>5238.1899999999996</v>
      </c>
      <c r="H50" s="792"/>
      <c r="I50" s="1885" t="s">
        <v>1529</v>
      </c>
      <c r="J50" s="1893">
        <f>SUMPRODUCT((I63:I65=J47)*(J62:L62=J48)*(J63:L65))</f>
        <v>60</v>
      </c>
      <c r="K50" s="1887" t="s">
        <v>1530</v>
      </c>
      <c r="L50" s="1891"/>
      <c r="M50" s="1894"/>
      <c r="O50" s="1892" t="s">
        <v>1039</v>
      </c>
      <c r="P50" s="1883" t="s">
        <v>1531</v>
      </c>
      <c r="Q50" s="1895" t="e">
        <f ca="1">J58</f>
        <v>#VALUE!</v>
      </c>
      <c r="R50" s="1884"/>
    </row>
    <row r="51" spans="1:18" s="1840" customFormat="1" ht="13.5" thickBot="1">
      <c r="A51" s="1195"/>
      <c r="B51" s="1197"/>
      <c r="C51" s="1198"/>
      <c r="D51" s="1171"/>
      <c r="E51" s="1199" t="s">
        <v>1399</v>
      </c>
      <c r="F51" s="347">
        <f ca="1">F8</f>
        <v>365</v>
      </c>
      <c r="I51" s="1896" t="s">
        <v>1532</v>
      </c>
      <c r="J51" s="1897">
        <f>IF(J49="",J50,J49+J50-YEAR('数据-取费表'!B2))</f>
        <v>60</v>
      </c>
      <c r="K51" s="1898" t="s">
        <v>1533</v>
      </c>
      <c r="L51" s="1899">
        <f ca="1">ROUND(-PV(INDIRECT("'数据-取费表'!h"&amp;$G$1),L48,(C39-C13*C76),0),0)</f>
        <v>4988</v>
      </c>
      <c r="M51" s="1900"/>
      <c r="O51" s="1892" t="s">
        <v>1040</v>
      </c>
      <c r="P51" s="1883" t="s">
        <v>1534</v>
      </c>
      <c r="Q51" s="1895">
        <f>J52</f>
        <v>0.09</v>
      </c>
      <c r="R51" s="1884"/>
    </row>
    <row r="52" spans="1:18" s="1840" customFormat="1" ht="13.5" thickBot="1">
      <c r="A52" s="1195"/>
      <c r="B52" s="1197"/>
      <c r="C52" s="1198"/>
      <c r="D52" s="1171"/>
      <c r="E52" s="1199" t="s">
        <v>1400</v>
      </c>
      <c r="F52" s="1274"/>
      <c r="I52" s="1901" t="s">
        <v>1535</v>
      </c>
      <c r="J52" s="1902">
        <v>0.09</v>
      </c>
      <c r="K52" s="1901" t="s">
        <v>1536</v>
      </c>
      <c r="L52" s="1902"/>
      <c r="O52" s="1892" t="s">
        <v>1041</v>
      </c>
      <c r="P52" s="1883" t="s">
        <v>1537</v>
      </c>
      <c r="Q52" s="1884">
        <f ca="1">J53</f>
        <v>45.71</v>
      </c>
      <c r="R52" s="1884" t="s">
        <v>1538</v>
      </c>
    </row>
    <row r="53" spans="1:18" s="1840" customFormat="1" ht="24.75" thickBot="1">
      <c r="A53" s="1404" t="s">
        <v>1133</v>
      </c>
      <c r="B53" s="1829" t="s">
        <v>1401</v>
      </c>
      <c r="C53" s="360">
        <f ca="1">ROUND(IF(F53="押一",C49/12*F11,IF(F53="押二",C49/12*2*F11,IF(F53="押三",C49/12*3*F11,C54*F11))),0)</f>
        <v>0</v>
      </c>
      <c r="D53" s="1822" t="s">
        <v>2989</v>
      </c>
      <c r="E53" s="357" t="s">
        <v>1402</v>
      </c>
      <c r="F53" s="1365"/>
      <c r="I53" s="1903" t="s">
        <v>1539</v>
      </c>
      <c r="J53" s="1904">
        <f ca="1">IF(M47="住宅",IF(D1="——",MAX(J51,L48),IF(D1="在建（套用方法）",MAX(J51,L48-'数据-取费表'!B24),MAX(J51,L48-'数据-取费表'!B20))),IF(D1="——",MIN(J51,L48),IF(D1="在建（套用方法）",MIN(J51,L48-'数据-取费表'!B24),IF(D1="土地（套用方法）",MIN(J51,L48-'数据-取费表'!B20)))))</f>
        <v>45.71</v>
      </c>
      <c r="K53" s="3263" t="s">
        <v>1540</v>
      </c>
      <c r="L53" s="3264"/>
      <c r="O53" s="1882" t="s">
        <v>1042</v>
      </c>
      <c r="P53" s="1883" t="s">
        <v>1541</v>
      </c>
      <c r="Q53" s="1884">
        <f ca="1">Q47+Q48</f>
        <v>11111</v>
      </c>
      <c r="R53" s="1884" t="s">
        <v>1043</v>
      </c>
    </row>
    <row r="54" spans="1:18" s="1840" customFormat="1" ht="13.5" thickBot="1">
      <c r="A54" s="1405"/>
      <c r="B54" s="1823" t="s">
        <v>1380</v>
      </c>
      <c r="C54" s="1177"/>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1542</v>
      </c>
      <c r="P54" s="1837"/>
      <c r="Q54" s="1837"/>
      <c r="R54" s="1837"/>
    </row>
    <row r="55" spans="1:18" s="1840" customFormat="1" ht="13.5" thickBot="1">
      <c r="A55" s="1332" t="s">
        <v>1071</v>
      </c>
      <c r="B55" s="1825" t="s">
        <v>1405</v>
      </c>
      <c r="C55" s="1333"/>
      <c r="D55" s="1822"/>
      <c r="E55" s="2942"/>
      <c r="F55" s="1905"/>
      <c r="I55" s="1908" t="s">
        <v>1543</v>
      </c>
      <c r="J55" s="1909" t="e">
        <f ca="1">ROUND(IF(J47="钢混",J57/J50,1-(1-2%)*(J50-J57)/J50),3)</f>
        <v>#VALUE!</v>
      </c>
      <c r="K55" s="1910" t="s">
        <v>1544</v>
      </c>
      <c r="L55" s="1911" t="s">
        <v>1545</v>
      </c>
      <c r="O55" s="1875" t="s">
        <v>1514</v>
      </c>
      <c r="P55" s="1876" t="s">
        <v>1515</v>
      </c>
      <c r="Q55" s="1877" t="s">
        <v>1516</v>
      </c>
      <c r="R55" s="1877" t="s">
        <v>1517</v>
      </c>
    </row>
    <row r="56" spans="1:18" s="1840" customFormat="1" ht="25.5" thickTop="1" thickBot="1">
      <c r="A56" s="1175">
        <v>2</v>
      </c>
      <c r="B56" s="1176" t="s">
        <v>1406</v>
      </c>
      <c r="C56" s="275">
        <f ca="1">C13</f>
        <v>2295</v>
      </c>
      <c r="D56" s="1912"/>
      <c r="E56" s="1913"/>
      <c r="F56" s="1905"/>
      <c r="I56" s="1914" t="s">
        <v>1546</v>
      </c>
      <c r="J56" s="1915" t="s">
        <v>3013</v>
      </c>
      <c r="K56" s="1885" t="s">
        <v>1547</v>
      </c>
      <c r="L56" s="1888" t="str">
        <f ca="1">IF(L48&lt;J51,"——",L48-J53)</f>
        <v>——</v>
      </c>
      <c r="O56" s="1882" t="s">
        <v>1036</v>
      </c>
      <c r="P56" s="1883" t="s">
        <v>1520</v>
      </c>
      <c r="Q56" s="1884">
        <f ca="1">C40+J29</f>
        <v>11111</v>
      </c>
      <c r="R56" s="1884" t="s">
        <v>1521</v>
      </c>
    </row>
    <row r="57" spans="1:18" s="1840" customFormat="1" ht="24.75" thickBot="1">
      <c r="A57" s="1916"/>
      <c r="B57" s="1168" t="s">
        <v>1470</v>
      </c>
      <c r="C57" s="281">
        <f ca="1">C29</f>
        <v>2295</v>
      </c>
      <c r="D57" s="1917"/>
      <c r="E57" s="1918"/>
      <c r="F57" s="1919"/>
      <c r="I57" s="1920" t="s">
        <v>1548</v>
      </c>
      <c r="J57" s="1921" t="str">
        <f ca="1">IF(OR(M47="住宅",J51&lt;L48,J56="是"),"——",J51-L48)</f>
        <v>——</v>
      </c>
      <c r="K57" s="1885" t="s">
        <v>1549</v>
      </c>
      <c r="L57" s="1888" t="str">
        <f ca="1">IF(L48&lt;J51,"——",IF(L55="比较法",L49,IF(L55="基准地价",L50,L51)))</f>
        <v>——</v>
      </c>
      <c r="O57" s="1882" t="s">
        <v>1037</v>
      </c>
      <c r="P57" s="1883" t="s">
        <v>1550</v>
      </c>
      <c r="Q57" s="1884">
        <f ca="1">L60</f>
        <v>0</v>
      </c>
      <c r="R57" s="1884" t="s">
        <v>1551</v>
      </c>
    </row>
    <row r="58" spans="1:18" s="1840" customFormat="1" ht="24.75" thickBot="1">
      <c r="A58" s="359" t="s">
        <v>1026</v>
      </c>
      <c r="B58" s="1176" t="s">
        <v>1416</v>
      </c>
      <c r="C58" s="360">
        <f ca="1">ROUND(C59+C64+C65+C66,0)</f>
        <v>231</v>
      </c>
      <c r="D58" s="1178" t="s">
        <v>1417</v>
      </c>
      <c r="E58" s="1179"/>
      <c r="F58" s="1180"/>
      <c r="I58" s="1920" t="s">
        <v>1552</v>
      </c>
      <c r="J58" s="1922" t="e">
        <f ca="1">IF(J55&lt;0.4,0.4,J55)</f>
        <v>#VALUE!</v>
      </c>
      <c r="K58" s="1898" t="s">
        <v>1553</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ROUND(IF(项目基本情况!B11="自然人",C48*F59,C60+C61+C62),1)</f>
        <v>193</v>
      </c>
      <c r="D59" s="1181" t="s">
        <v>1422</v>
      </c>
      <c r="E59" s="1182" t="s">
        <v>1423</v>
      </c>
      <c r="F59" s="367" t="str">
        <f ca="1">IF(项目基本情况!B11="企业","",IF(INDIRECT("'数据-取费表'!c"&amp;$G$1)="住宅",5%,IF(F49*F50*F51/12/(1+'数据-取费表'!C42)&gt;20000,12%,7%)))</f>
        <v/>
      </c>
      <c r="I59" s="1920" t="s">
        <v>1555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IF(项目基本情况!B11="自然人","——",ROUND(C48*F60/(1+'数据-取费表'!C42),2))</f>
        <v>0</v>
      </c>
      <c r="D60" s="1182" t="s">
        <v>1426</v>
      </c>
      <c r="E60" s="1168" t="s">
        <v>1414</v>
      </c>
      <c r="F60" s="376">
        <f t="shared" ref="F60:F66" si="0">F32</f>
        <v>5.6000000000000001E-2</v>
      </c>
      <c r="I60" s="1923" t="s">
        <v>1557</v>
      </c>
      <c r="J60" s="1924" t="str">
        <f ca="1">IF(OR(M47="住宅",J51&lt;L48,J56="是"),"0",ROUND(J59/(1+J52)^J53,0))</f>
        <v>0</v>
      </c>
      <c r="K60" s="1925" t="s">
        <v>1558</v>
      </c>
      <c r="L60" s="1924">
        <f ca="1">IF(OR(M47="住宅",L48&lt;J51),0,ROUND(L57*(L58/L59-1),0))</f>
        <v>0</v>
      </c>
      <c r="O60" s="1892" t="s">
        <v>1040</v>
      </c>
      <c r="P60" s="1883" t="s">
        <v>1559</v>
      </c>
      <c r="Q60" s="1884" t="e">
        <f ca="1">L58</f>
        <v>#DIV/0!</v>
      </c>
      <c r="R60" s="1884" t="s">
        <v>1560</v>
      </c>
    </row>
    <row r="61" spans="1:18" s="1840" customFormat="1" ht="13.5" thickBot="1">
      <c r="A61" s="1200" t="s">
        <v>1484</v>
      </c>
      <c r="B61" s="1168" t="s">
        <v>1429</v>
      </c>
      <c r="C61" s="24">
        <f ca="1">IF(项目基本情况!B11="自然人","——",IF(D61="按租金收入计税",ROUND(C48*F61,2),IF(D61="按房产原值计税",ROUND(C57*F61*0.7,2),INDIRECT("'数据-取费表'!Aj"&amp;$G$1))))</f>
        <v>192.78</v>
      </c>
      <c r="D61" s="1826" t="s">
        <v>1430</v>
      </c>
      <c r="E61" s="1168" t="s">
        <v>1447</v>
      </c>
      <c r="F61" s="366">
        <f t="shared" si="0"/>
        <v>0.12</v>
      </c>
      <c r="I61" s="1926"/>
      <c r="J61" s="1926"/>
      <c r="K61" s="1926"/>
      <c r="L61" s="1926"/>
      <c r="O61" s="1892" t="s">
        <v>1041</v>
      </c>
      <c r="P61" s="1883" t="str">
        <f>K59</f>
        <v>续建工期及建筑物耐用年限下的土地年期修正系数Kn</v>
      </c>
      <c r="Q61" s="1884" t="e">
        <f ca="1">L59</f>
        <v>#DIV/0!</v>
      </c>
      <c r="R61" s="1884" t="s">
        <v>1561</v>
      </c>
    </row>
    <row r="62" spans="1:18" s="1840" customFormat="1" ht="13.5" thickBot="1">
      <c r="A62" s="1200" t="s">
        <v>1487</v>
      </c>
      <c r="B62" s="1167" t="s">
        <v>1433</v>
      </c>
      <c r="C62" s="25">
        <f ca="1">IF(项目基本情况!B11="自然人","——",ROUND(F62*F63/10000,2))</f>
        <v>0.22</v>
      </c>
      <c r="D62" s="1183" t="s">
        <v>1434</v>
      </c>
      <c r="E62" s="1168" t="s">
        <v>1435</v>
      </c>
      <c r="F62" s="370">
        <f t="shared" si="0"/>
        <v>1.5</v>
      </c>
      <c r="I62" s="1927" t="s">
        <v>1562</v>
      </c>
      <c r="J62" s="1928" t="s">
        <v>1563</v>
      </c>
      <c r="K62" s="1928" t="s">
        <v>1564</v>
      </c>
      <c r="L62" s="1928" t="s">
        <v>1565</v>
      </c>
      <c r="M62" s="1929" t="s">
        <v>1566</v>
      </c>
      <c r="O62" s="1882" t="s">
        <v>1042</v>
      </c>
      <c r="P62" s="1883" t="s">
        <v>1541</v>
      </c>
      <c r="Q62" s="1884">
        <f ca="1">Q56+Q57</f>
        <v>11111</v>
      </c>
      <c r="R62" s="1884" t="s">
        <v>1043</v>
      </c>
    </row>
    <row r="63" spans="1:18" s="1840" customFormat="1" ht="13.5" thickBot="1">
      <c r="A63" s="371"/>
      <c r="B63" s="1174"/>
      <c r="C63" s="29"/>
      <c r="D63" s="1184"/>
      <c r="E63" s="1168" t="s">
        <v>1439</v>
      </c>
      <c r="F63" s="347">
        <f t="shared" ca="1" si="0"/>
        <v>1490.28</v>
      </c>
      <c r="I63" s="1927" t="s">
        <v>1568</v>
      </c>
      <c r="J63" s="1928">
        <v>70</v>
      </c>
      <c r="K63" s="1928">
        <v>50</v>
      </c>
      <c r="L63" s="1928">
        <v>80</v>
      </c>
      <c r="M63" s="1930">
        <v>0.02</v>
      </c>
      <c r="O63" s="1867" t="s">
        <v>1569</v>
      </c>
      <c r="P63" s="1837"/>
      <c r="Q63" s="1837"/>
      <c r="R63" s="1837"/>
    </row>
    <row r="64" spans="1:18" s="1840" customFormat="1" ht="13.5" thickBot="1">
      <c r="A64" s="1200" t="s">
        <v>1492</v>
      </c>
      <c r="B64" s="1168" t="s">
        <v>1441</v>
      </c>
      <c r="C64" s="24">
        <f ca="1">ROUND(C57*F64,1)</f>
        <v>34.4</v>
      </c>
      <c r="D64" s="1182" t="s">
        <v>1474</v>
      </c>
      <c r="E64" s="1168" t="s">
        <v>1447</v>
      </c>
      <c r="F64" s="373">
        <f t="shared" ca="1" si="0"/>
        <v>1.4999999999999999E-2</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ROUND(C56*F65,1)</f>
        <v>3.4</v>
      </c>
      <c r="D65" s="1182" t="s">
        <v>1446</v>
      </c>
      <c r="E65" s="1168" t="s">
        <v>1447</v>
      </c>
      <c r="F65" s="375">
        <f t="shared" ca="1" si="0"/>
        <v>1.5E-3</v>
      </c>
      <c r="I65" s="1927" t="s">
        <v>1571</v>
      </c>
      <c r="J65" s="1928">
        <v>40</v>
      </c>
      <c r="K65" s="1928">
        <v>30</v>
      </c>
      <c r="L65" s="1928">
        <v>50</v>
      </c>
      <c r="M65" s="1930">
        <v>0.02</v>
      </c>
      <c r="O65" s="1882" t="s">
        <v>1036</v>
      </c>
      <c r="P65" s="1883" t="s">
        <v>1520</v>
      </c>
      <c r="Q65" s="1884">
        <f ca="1">C40+J29</f>
        <v>11111</v>
      </c>
      <c r="R65" s="1884" t="s">
        <v>1521</v>
      </c>
    </row>
    <row r="66" spans="1:18" s="1840" customFormat="1" ht="16.5" thickBot="1">
      <c r="A66" s="1200" t="s">
        <v>1496</v>
      </c>
      <c r="B66" s="1168" t="s">
        <v>1431</v>
      </c>
      <c r="C66" s="24">
        <f ca="1">ROUND(C48*F66,1)</f>
        <v>0</v>
      </c>
      <c r="D66" s="1182" t="s">
        <v>1451</v>
      </c>
      <c r="E66" s="1168" t="s">
        <v>1414</v>
      </c>
      <c r="F66" s="356">
        <f t="shared" ca="1" si="0"/>
        <v>0.01</v>
      </c>
      <c r="O66" s="1882" t="s">
        <v>1037</v>
      </c>
      <c r="P66" s="1883" t="s">
        <v>1550</v>
      </c>
      <c r="Q66" s="1884">
        <f ca="1">L60</f>
        <v>0</v>
      </c>
      <c r="R66" s="1884" t="s">
        <v>1573</v>
      </c>
    </row>
    <row r="67" spans="1:18" s="1840" customFormat="1" ht="16.5" thickBot="1">
      <c r="A67" s="1175" t="s">
        <v>1027</v>
      </c>
      <c r="B67" s="1185" t="s">
        <v>1455</v>
      </c>
      <c r="C67" s="360">
        <f ca="1">C48-C58</f>
        <v>-231</v>
      </c>
      <c r="D67" s="1181" t="s">
        <v>1456</v>
      </c>
      <c r="E67" s="1186"/>
      <c r="F67" s="1187"/>
      <c r="O67" s="1892" t="s">
        <v>1038</v>
      </c>
      <c r="P67" s="1883" t="s">
        <v>1554</v>
      </c>
      <c r="Q67" s="1931">
        <f ca="1">L51</f>
        <v>4988</v>
      </c>
      <c r="R67" s="1884" t="s">
        <v>1574</v>
      </c>
    </row>
    <row r="68" spans="1:18" s="1840" customFormat="1" ht="16.5" thickBot="1">
      <c r="A68" s="1165" t="s">
        <v>1028</v>
      </c>
      <c r="B68" s="1166" t="s">
        <v>1477</v>
      </c>
      <c r="C68" s="345">
        <f ca="1">ROUND(C67*(1-((1+F70)/(1+F68))^F69)/(F68-F70),0)</f>
        <v>-4123</v>
      </c>
      <c r="D68" s="1183" t="s">
        <v>1461</v>
      </c>
      <c r="E68" s="1168" t="s">
        <v>1462</v>
      </c>
      <c r="F68" s="356">
        <f ca="1">F40</f>
        <v>0.05</v>
      </c>
      <c r="O68" s="1892" t="s">
        <v>1039</v>
      </c>
      <c r="P68" s="1932" t="s">
        <v>1575</v>
      </c>
      <c r="Q68" s="1884">
        <f ca="1">ROUND(Q69-Q70*Q71,0)</f>
        <v>259</v>
      </c>
      <c r="R68" s="1884" t="s">
        <v>1047</v>
      </c>
    </row>
    <row r="69" spans="1:18" s="1840" customFormat="1" ht="13.5" thickBot="1">
      <c r="A69" s="1169"/>
      <c r="B69" s="1170"/>
      <c r="C69" s="350"/>
      <c r="D69" s="1188" t="s">
        <v>1465</v>
      </c>
      <c r="E69" s="1168" t="s">
        <v>1466</v>
      </c>
      <c r="F69" s="378">
        <f ca="1">F41</f>
        <v>45.71</v>
      </c>
      <c r="O69" s="1892" t="s">
        <v>1044</v>
      </c>
      <c r="P69" s="1932" t="s">
        <v>1576</v>
      </c>
      <c r="Q69" s="1884">
        <f ca="1">C39</f>
        <v>454</v>
      </c>
      <c r="R69" s="1884" t="s">
        <v>1521</v>
      </c>
    </row>
    <row r="70" spans="1:18" s="1840" customFormat="1" ht="13.5" thickBot="1">
      <c r="A70" s="1172"/>
      <c r="B70" s="1173"/>
      <c r="C70" s="354"/>
      <c r="D70" s="1184"/>
      <c r="E70" s="1168" t="s">
        <v>1469</v>
      </c>
      <c r="F70" s="1274"/>
      <c r="O70" s="1892" t="s">
        <v>1045</v>
      </c>
      <c r="P70" s="1932" t="s">
        <v>1577</v>
      </c>
      <c r="Q70" s="1884">
        <f ca="1">C13</f>
        <v>2295</v>
      </c>
      <c r="R70" s="1884" t="s">
        <v>1521</v>
      </c>
    </row>
    <row r="71" spans="1:18" s="1840" customFormat="1" ht="13.5" thickBot="1">
      <c r="A71" s="1189" t="s">
        <v>1029</v>
      </c>
      <c r="B71" s="1190" t="s">
        <v>1479</v>
      </c>
      <c r="C71" s="381">
        <f ca="1">ROUND(C68*10000/F71,0)</f>
        <v>-7871</v>
      </c>
      <c r="D71" s="1191" t="s">
        <v>1480</v>
      </c>
      <c r="E71" s="1192" t="s">
        <v>1481</v>
      </c>
      <c r="F71" s="384">
        <f ca="1">F43</f>
        <v>5238.1899999999996</v>
      </c>
      <c r="O71" s="1892" t="s">
        <v>1046</v>
      </c>
      <c r="P71" s="1932" t="s">
        <v>1578</v>
      </c>
      <c r="Q71" s="1895">
        <f ca="1">C76</f>
        <v>8.5000000000000006E-2</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续建工期及建筑物耐用年限下的土地年期修正系数Kn</v>
      </c>
      <c r="Q74" s="1884" t="e">
        <f ca="1">L59</f>
        <v>#DIV/0!</v>
      </c>
      <c r="R74" s="1884" t="s">
        <v>1561</v>
      </c>
    </row>
    <row r="75" spans="1:18" ht="13.5" thickBot="1">
      <c r="A75" s="1840"/>
      <c r="B75" s="385" t="s">
        <v>1498</v>
      </c>
      <c r="C75" s="386">
        <f ca="1">ROUND(C13*C76,0)</f>
        <v>195</v>
      </c>
      <c r="D75" s="1840"/>
      <c r="E75" s="1840"/>
      <c r="F75" s="1840"/>
      <c r="K75" s="1866"/>
      <c r="L75" s="1840"/>
      <c r="O75" s="1882" t="s">
        <v>1042</v>
      </c>
      <c r="P75" s="1883" t="s">
        <v>1541</v>
      </c>
      <c r="Q75" s="1884">
        <f ca="1">Q65+Q66</f>
        <v>11111</v>
      </c>
      <c r="R75" s="1884" t="s">
        <v>1043</v>
      </c>
    </row>
    <row r="76" spans="1:18">
      <c r="B76" s="387" t="s">
        <v>1499</v>
      </c>
      <c r="C76" s="388">
        <f ca="1">INDIRECT("'数据-取费表'!j"&amp;$G$1)</f>
        <v>8.5000000000000006E-2</v>
      </c>
      <c r="I76" s="1840"/>
      <c r="J76" s="1840"/>
      <c r="K76" s="1866"/>
      <c r="L76" s="1840"/>
    </row>
    <row r="77" spans="1:18">
      <c r="B77" s="389" t="s">
        <v>1500</v>
      </c>
      <c r="C77" s="390"/>
      <c r="I77" s="1840"/>
      <c r="J77" s="1840"/>
      <c r="K77" s="1866"/>
      <c r="L77" s="1840"/>
    </row>
    <row r="78" spans="1:18">
      <c r="B78" s="313" t="s">
        <v>1501</v>
      </c>
      <c r="C78" s="391"/>
    </row>
    <row r="79" spans="1:18">
      <c r="B79" s="385" t="s">
        <v>1502</v>
      </c>
      <c r="C79" s="317">
        <f ca="1">1-C80</f>
        <v>0.57000000000000006</v>
      </c>
    </row>
    <row r="80" spans="1:18">
      <c r="B80" s="385" t="s">
        <v>1503</v>
      </c>
      <c r="C80" s="317">
        <f ca="1">ROUND(C75/C39,3)</f>
        <v>0.43</v>
      </c>
    </row>
    <row r="81" spans="2:3">
      <c r="B81" s="313" t="s">
        <v>1504</v>
      </c>
      <c r="C81" s="281"/>
    </row>
    <row r="82" spans="2:3">
      <c r="B82" s="316" t="s">
        <v>1505</v>
      </c>
      <c r="C82" s="318">
        <f ca="1">1-C83</f>
        <v>0.79300000000000004</v>
      </c>
    </row>
    <row r="83" spans="2:3">
      <c r="B83" s="316" t="s">
        <v>1506</v>
      </c>
      <c r="C83" s="317">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A4" sqref="A4: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1581</v>
      </c>
      <c r="B1" s="781"/>
      <c r="C1" s="1835" t="s">
        <v>3041</v>
      </c>
      <c r="D1" s="1818" t="s">
        <v>3101</v>
      </c>
      <c r="E1" s="1819" t="s">
        <v>1379</v>
      </c>
      <c r="F1" s="1282">
        <f ca="1">J53</f>
        <v>45.71</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1507</v>
      </c>
      <c r="B2" s="1842">
        <f ca="1">C40+J29+L46</f>
        <v>31620</v>
      </c>
      <c r="C2" s="1843" t="s">
        <v>1508</v>
      </c>
      <c r="D2" s="1843"/>
      <c r="E2" s="1844"/>
      <c r="F2" s="1845"/>
      <c r="G2" s="1846"/>
      <c r="H2" s="1838"/>
      <c r="I2" s="1838"/>
      <c r="J2" s="1838"/>
      <c r="K2" s="1839"/>
      <c r="L2" s="1838"/>
      <c r="M2" s="1838"/>
    </row>
    <row r="3" spans="1:37" ht="18" customHeight="1" thickBot="1">
      <c r="A3" s="1847" t="s">
        <v>1509</v>
      </c>
      <c r="B3" s="1848">
        <f ca="1">IF(ISERROR(B2*10000/F43),0,ROUND(B2*10000/F43,0))</f>
        <v>24518</v>
      </c>
      <c r="C3" s="1843" t="s">
        <v>1510</v>
      </c>
      <c r="D3" s="1843"/>
      <c r="E3" s="1844"/>
      <c r="F3" s="1845"/>
      <c r="G3" s="1846"/>
      <c r="H3" s="743" t="s">
        <v>1580</v>
      </c>
      <c r="I3" s="1838"/>
      <c r="J3" s="1838"/>
      <c r="K3" s="1839"/>
      <c r="L3" s="1838"/>
      <c r="M3" s="1838"/>
    </row>
    <row r="4" spans="1:37" ht="18" customHeight="1">
      <c r="A4" s="339" t="s">
        <v>1388</v>
      </c>
      <c r="B4" s="340" t="s">
        <v>1389</v>
      </c>
      <c r="C4" s="340" t="s">
        <v>1390</v>
      </c>
      <c r="D4" s="340" t="s">
        <v>1391</v>
      </c>
      <c r="E4" s="341" t="s">
        <v>1392</v>
      </c>
      <c r="F4" s="342"/>
      <c r="G4" s="1849"/>
      <c r="H4" s="339" t="s">
        <v>1388</v>
      </c>
      <c r="I4" s="340" t="s">
        <v>1389</v>
      </c>
      <c r="J4" s="340" t="s">
        <v>1390</v>
      </c>
      <c r="K4" s="340" t="s">
        <v>1391</v>
      </c>
      <c r="L4" s="341" t="s">
        <v>1392</v>
      </c>
      <c r="M4" s="342"/>
    </row>
    <row r="5" spans="1:37" ht="18" customHeight="1">
      <c r="A5" s="343">
        <v>1</v>
      </c>
      <c r="B5" s="344" t="s">
        <v>1393</v>
      </c>
      <c r="C5" s="1291">
        <f ca="1">C6+C10+C12</f>
        <v>1697</v>
      </c>
      <c r="D5" s="1820" t="s">
        <v>1394</v>
      </c>
      <c r="E5" s="1292"/>
      <c r="F5" s="1293"/>
      <c r="G5" s="1849"/>
      <c r="H5" s="343">
        <v>1</v>
      </c>
      <c r="I5" s="344" t="s">
        <v>1393</v>
      </c>
      <c r="J5" s="1291">
        <f ca="1">J6+J10+J12</f>
        <v>0</v>
      </c>
      <c r="K5" s="1820" t="s">
        <v>1394</v>
      </c>
      <c r="L5" s="1292"/>
      <c r="M5" s="1293"/>
    </row>
    <row r="6" spans="1:37" ht="18" customHeight="1">
      <c r="A6" s="1290" t="s">
        <v>1031</v>
      </c>
      <c r="B6" s="3265" t="s">
        <v>1395</v>
      </c>
      <c r="C6" s="1295">
        <f ca="1">ROUND(F6*F8*F7*(1-F9)/10000,0)</f>
        <v>1695</v>
      </c>
      <c r="D6" s="163" t="s">
        <v>2981</v>
      </c>
      <c r="E6" s="346" t="s">
        <v>1397</v>
      </c>
      <c r="F6" s="347">
        <f ca="1">INDIRECT("'数据-取费表'!u"&amp;$G$1)</f>
        <v>4</v>
      </c>
      <c r="G6" s="1849"/>
      <c r="H6" s="1290" t="s">
        <v>1031</v>
      </c>
      <c r="I6" s="3265" t="s">
        <v>1395</v>
      </c>
      <c r="J6" s="345">
        <f ca="1">ROUND(M6*M8*M7*(1-M9)/10000,0)</f>
        <v>0</v>
      </c>
      <c r="K6" s="163" t="s">
        <v>2980</v>
      </c>
      <c r="L6" s="346" t="s">
        <v>1397</v>
      </c>
      <c r="M6" s="347">
        <f ca="1">INDIRECT("'数据-取费表'!z"&amp;$G$1)</f>
        <v>0</v>
      </c>
    </row>
    <row r="7" spans="1:37" ht="18" customHeight="1">
      <c r="A7" s="1294"/>
      <c r="B7" s="3266"/>
      <c r="C7" s="1296"/>
      <c r="D7" s="351"/>
      <c r="E7" s="2941" t="s">
        <v>1398</v>
      </c>
      <c r="F7" s="347">
        <f ca="1">IF(INDIRECT("'数据-取费表'!ah"&amp;$G$1)="",INDIRECT("'数据-取费表'!k"&amp;$G$1),INDIRECT("'数据-取费表'!ah"&amp;$G$1))</f>
        <v>12896.4</v>
      </c>
      <c r="G7" s="1849"/>
      <c r="H7" s="348"/>
      <c r="I7" s="3266"/>
      <c r="J7" s="350"/>
      <c r="K7" s="351"/>
      <c r="L7" s="346" t="s">
        <v>1398</v>
      </c>
      <c r="M7" s="347">
        <f ca="1">F7</f>
        <v>12896.4</v>
      </c>
    </row>
    <row r="8" spans="1:37" ht="18" customHeight="1">
      <c r="A8" s="348"/>
      <c r="B8" s="3266"/>
      <c r="C8" s="350"/>
      <c r="D8" s="351"/>
      <c r="E8" s="346" t="s">
        <v>1399</v>
      </c>
      <c r="F8" s="347">
        <f ca="1">INDIRECT("'数据-取费表'!ai"&amp;$G$1)</f>
        <v>365</v>
      </c>
      <c r="G8" s="1849"/>
      <c r="H8" s="348"/>
      <c r="I8" s="3266"/>
      <c r="J8" s="350"/>
      <c r="K8" s="351"/>
      <c r="L8" s="346" t="s">
        <v>1399</v>
      </c>
      <c r="M8" s="347">
        <f ca="1">INDIRECT("'数据-取费表'!ai"&amp;$G$1)</f>
        <v>365</v>
      </c>
    </row>
    <row r="9" spans="1:37" ht="18" customHeight="1">
      <c r="A9" s="348"/>
      <c r="B9" s="3267"/>
      <c r="C9" s="350"/>
      <c r="D9" s="351"/>
      <c r="E9" s="346" t="s">
        <v>1400</v>
      </c>
      <c r="F9" s="356">
        <f ca="1">INDIRECT("'数据-取费表'!w"&amp;$G$1)</f>
        <v>0.1</v>
      </c>
      <c r="G9" s="1849"/>
      <c r="H9" s="348"/>
      <c r="I9" s="3267"/>
      <c r="J9" s="350"/>
      <c r="K9" s="351"/>
      <c r="L9" s="357" t="s">
        <v>1400</v>
      </c>
      <c r="M9" s="358">
        <f ca="1">INDIRECT("'数据-取费表'!ab"&amp;$G$1)</f>
        <v>0</v>
      </c>
    </row>
    <row r="10" spans="1:37" ht="18" customHeight="1">
      <c r="A10" s="1290" t="s">
        <v>1035</v>
      </c>
      <c r="B10" s="1821" t="s">
        <v>1401</v>
      </c>
      <c r="C10" s="360">
        <f ca="1">ROUND(IF(F10="押一",C6/12*F11,IF(F10="押二",C6/12*2*F11,IF(F10="押三",C6/12*3*F11,C11*F11))),0)</f>
        <v>2</v>
      </c>
      <c r="D10" s="1822" t="s">
        <v>2989</v>
      </c>
      <c r="E10" s="357" t="s">
        <v>1402</v>
      </c>
      <c r="F10" s="1365" t="s">
        <v>3100</v>
      </c>
      <c r="G10" s="1849"/>
      <c r="H10" s="1290" t="s">
        <v>1035</v>
      </c>
      <c r="I10" s="1821" t="s">
        <v>1401</v>
      </c>
      <c r="J10" s="345">
        <f ca="1">ROUND(IF(M10="押一",J6/12*M11,IF(M10="押二",J6/12*2*M11,IF(M10="押三",J6/12*3*M11,J11*M11))),0)</f>
        <v>0</v>
      </c>
      <c r="K10" s="1822" t="s">
        <v>2989</v>
      </c>
      <c r="L10" s="357" t="s">
        <v>1402</v>
      </c>
      <c r="M10" s="1365" t="s">
        <v>1403</v>
      </c>
    </row>
    <row r="11" spans="1:37" ht="18" customHeight="1">
      <c r="A11" s="352"/>
      <c r="B11" s="1823" t="s">
        <v>1380</v>
      </c>
      <c r="C11" s="1177"/>
      <c r="D11" s="1824"/>
      <c r="E11" s="357" t="s">
        <v>1404</v>
      </c>
      <c r="F11" s="358">
        <f ca="1">'数据-取费表'!B39</f>
        <v>1.4999999999999999E-2</v>
      </c>
      <c r="G11" s="1849"/>
      <c r="H11" s="1298"/>
      <c r="I11" s="1823" t="s">
        <v>1380</v>
      </c>
      <c r="J11" s="1177"/>
      <c r="K11" s="747"/>
      <c r="L11" s="357" t="s">
        <v>1404</v>
      </c>
      <c r="M11" s="1055">
        <f ca="1">'数据-取费表'!B39</f>
        <v>1.4999999999999999E-2</v>
      </c>
    </row>
    <row r="12" spans="1:37" ht="18" customHeight="1" thickBot="1">
      <c r="A12" s="1332" t="s">
        <v>1071</v>
      </c>
      <c r="B12" s="1825" t="s">
        <v>1405</v>
      </c>
      <c r="C12" s="1333"/>
      <c r="D12" s="1334"/>
      <c r="E12" s="1339"/>
      <c r="F12" s="1335"/>
      <c r="G12" s="1849"/>
      <c r="H12" s="1332" t="s">
        <v>1071</v>
      </c>
      <c r="I12" s="1825" t="s">
        <v>1405</v>
      </c>
      <c r="J12" s="1333"/>
      <c r="K12" s="1347"/>
      <c r="L12" s="1339"/>
      <c r="M12" s="1348"/>
    </row>
    <row r="13" spans="1:37" ht="18" customHeight="1" thickTop="1">
      <c r="A13" s="1328">
        <v>2</v>
      </c>
      <c r="B13" s="1329" t="s">
        <v>1406</v>
      </c>
      <c r="C13" s="354">
        <f ca="1">ROUND(C29*F13,0)</f>
        <v>5650</v>
      </c>
      <c r="D13" s="1330" t="s">
        <v>1407</v>
      </c>
      <c r="E13" s="1330" t="s">
        <v>1408</v>
      </c>
      <c r="F13" s="1331">
        <f ca="1">INDIRECT("'数据-取费表'!y"&amp;$G$1)</f>
        <v>1</v>
      </c>
      <c r="G13" s="1849"/>
      <c r="H13" s="1328">
        <v>2</v>
      </c>
      <c r="I13" s="1329" t="s">
        <v>1406</v>
      </c>
      <c r="J13" s="1289">
        <f ca="1">ROUND(J14*J15,0)</f>
        <v>0</v>
      </c>
      <c r="K13" s="1336" t="s">
        <v>1407</v>
      </c>
      <c r="L13" s="1850"/>
      <c r="M13" s="1851"/>
    </row>
    <row r="14" spans="1:37" ht="18" customHeight="1">
      <c r="A14" s="1200" t="s">
        <v>1030</v>
      </c>
      <c r="B14" s="346" t="s">
        <v>1409</v>
      </c>
      <c r="C14" s="362">
        <f ca="1">INDIRECT("'数据-取费表'!m"&amp;$G$1)+INDIRECT("'数据-取费表'!t"&amp;$G$1)</f>
        <v>3940</v>
      </c>
      <c r="D14" s="2944" t="s">
        <v>1410</v>
      </c>
      <c r="E14" s="2943"/>
      <c r="F14" s="363"/>
      <c r="G14" s="1849"/>
      <c r="H14" s="1200" t="s">
        <v>1031</v>
      </c>
      <c r="I14" s="346" t="s">
        <v>1411</v>
      </c>
      <c r="J14" s="24">
        <f ca="1">C29</f>
        <v>5650</v>
      </c>
      <c r="K14" s="2940"/>
      <c r="L14" s="978"/>
      <c r="M14" s="979"/>
    </row>
    <row r="15" spans="1:37" s="1856" customFormat="1" ht="18" customHeight="1" thickBot="1">
      <c r="A15" s="1200" t="s">
        <v>1032</v>
      </c>
      <c r="B15" s="346" t="s">
        <v>1412</v>
      </c>
      <c r="C15" s="24">
        <f ca="1">ROUND(C14*F15,0)</f>
        <v>197</v>
      </c>
      <c r="D15" s="364" t="s">
        <v>1413</v>
      </c>
      <c r="E15" s="364" t="s">
        <v>1414</v>
      </c>
      <c r="F15" s="365">
        <f>'数据-取费表'!B33</f>
        <v>0.05</v>
      </c>
      <c r="G15" s="1852"/>
      <c r="H15" s="1338" t="s">
        <v>1035</v>
      </c>
      <c r="I15" s="1339" t="s">
        <v>1408</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1381</v>
      </c>
      <c r="B16" s="346" t="s">
        <v>1415</v>
      </c>
      <c r="C16" s="24">
        <f ca="1">ROUND(INDIRECT("'数据-取费表'!m"&amp;$G$1)*F16,0)</f>
        <v>0</v>
      </c>
      <c r="D16" s="346" t="s">
        <v>1413</v>
      </c>
      <c r="E16" s="346" t="s">
        <v>1414</v>
      </c>
      <c r="F16" s="366">
        <f ca="1">IF(INDIRECT("'数据-取费表'!c"&amp;$G$1)="住宅",'数据-取费表'!B34,0)</f>
        <v>0</v>
      </c>
      <c r="G16" s="1849"/>
      <c r="H16" s="1328" t="s">
        <v>1026</v>
      </c>
      <c r="I16" s="1329" t="s">
        <v>1416</v>
      </c>
      <c r="J16" s="354">
        <f ca="1">ROUND(J17+J22+J23+J24,0)</f>
        <v>133</v>
      </c>
      <c r="K16" s="1336" t="s">
        <v>1417</v>
      </c>
      <c r="L16" s="2947"/>
      <c r="M16" s="1293"/>
    </row>
    <row r="17" spans="1:37" s="1856" customFormat="1" ht="18" customHeight="1">
      <c r="A17" s="1200" t="s">
        <v>1382</v>
      </c>
      <c r="B17" s="346" t="s">
        <v>1418</v>
      </c>
      <c r="C17" s="24">
        <f ca="1">ROUND(F17*(F43+INDIRECT("'数据-取费表'!S"&amp;$G$1))/10000,0)</f>
        <v>263</v>
      </c>
      <c r="D17" s="346" t="s">
        <v>1419</v>
      </c>
      <c r="E17" s="346" t="s">
        <v>1420</v>
      </c>
      <c r="F17" s="26">
        <f>'数据-取费表'!B35</f>
        <v>200</v>
      </c>
      <c r="G17" s="1852"/>
      <c r="H17" s="1200" t="s">
        <v>1031</v>
      </c>
      <c r="I17" s="346" t="s">
        <v>1421</v>
      </c>
      <c r="J17" s="24">
        <f ca="1">ROUND(IF(项目基本情况!B11="自然人",J5*M17,J18+J19+J20),1)</f>
        <v>48</v>
      </c>
      <c r="K17" s="2944" t="s">
        <v>1422</v>
      </c>
      <c r="L17" s="2946" t="s">
        <v>1423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1383</v>
      </c>
      <c r="B18" s="346" t="s">
        <v>1424</v>
      </c>
      <c r="C18" s="24">
        <f ca="1">ROUND(C14*F18,0)</f>
        <v>59</v>
      </c>
      <c r="D18" s="346" t="s">
        <v>1413</v>
      </c>
      <c r="E18" s="346" t="s">
        <v>1414</v>
      </c>
      <c r="F18" s="366">
        <f>'数据-取费表'!B36</f>
        <v>1.4999999999999999E-2</v>
      </c>
      <c r="G18" s="1852"/>
      <c r="H18" s="1200" t="s">
        <v>1030</v>
      </c>
      <c r="I18" s="346" t="s">
        <v>1425</v>
      </c>
      <c r="J18" s="24">
        <f ca="1">ROUND(J5*M18/(1+'数据-取费表'!C42),2)</f>
        <v>0</v>
      </c>
      <c r="K18" s="2946" t="s">
        <v>1426</v>
      </c>
      <c r="L18" s="346" t="s">
        <v>1414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6" t="s">
        <v>1427</v>
      </c>
      <c r="C19" s="24">
        <f ca="1">SUM(C14:C18)</f>
        <v>4459</v>
      </c>
      <c r="D19" s="139" t="s">
        <v>1428</v>
      </c>
      <c r="E19" s="2939"/>
      <c r="F19" s="26"/>
      <c r="G19" s="1849"/>
      <c r="H19" s="1200" t="s">
        <v>1032</v>
      </c>
      <c r="I19" s="346" t="s">
        <v>1429</v>
      </c>
      <c r="J19" s="24">
        <f ca="1">IF(K19="按租金收入计税",ROUND(J5*M19,2),ROUND(C29*M19*0.7,2))</f>
        <v>47.46</v>
      </c>
      <c r="K19" s="1826" t="s">
        <v>1430</v>
      </c>
      <c r="L19" s="346" t="s">
        <v>1414</v>
      </c>
      <c r="M19" s="366">
        <f>IF(K19="按租金收入计税",'数据-取费表'!B51,'数据-取费表'!B50)</f>
        <v>1.2E-2</v>
      </c>
    </row>
    <row r="20" spans="1:37" s="1856" customFormat="1" ht="18" customHeight="1">
      <c r="A20" s="1200" t="s">
        <v>1035</v>
      </c>
      <c r="B20" s="346" t="s">
        <v>1431</v>
      </c>
      <c r="C20" s="24">
        <f ca="1">ROUND(C19*F20,0)</f>
        <v>89</v>
      </c>
      <c r="D20" s="368" t="s">
        <v>1432</v>
      </c>
      <c r="E20" s="346" t="s">
        <v>1414</v>
      </c>
      <c r="F20" s="366">
        <f>'数据-取费表'!B37</f>
        <v>0.02</v>
      </c>
      <c r="G20" s="1852"/>
      <c r="H20" s="1200" t="s">
        <v>1381</v>
      </c>
      <c r="I20" s="163" t="s">
        <v>1433</v>
      </c>
      <c r="J20" s="25">
        <f ca="1">ROUND(M20*M21/10000,2)</f>
        <v>0.55000000000000004</v>
      </c>
      <c r="K20" s="369" t="s">
        <v>1434</v>
      </c>
      <c r="L20" s="346" t="s">
        <v>1435</v>
      </c>
      <c r="M20" s="370">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6" t="s">
        <v>1436</v>
      </c>
      <c r="C21" s="24" t="s">
        <v>18</v>
      </c>
      <c r="D21" s="368" t="s">
        <v>1437</v>
      </c>
      <c r="E21" s="346" t="s">
        <v>1438</v>
      </c>
      <c r="F21" s="366">
        <f>'数据-取费表'!B38</f>
        <v>0.02</v>
      </c>
      <c r="G21" s="1852"/>
      <c r="H21" s="371"/>
      <c r="I21" s="355"/>
      <c r="J21" s="29"/>
      <c r="K21" s="372"/>
      <c r="L21" s="346" t="s">
        <v>1439</v>
      </c>
      <c r="M21" s="347">
        <f ca="1">INDIRECT("'数据-取费表'!r"&amp;$G$1)</f>
        <v>3669.07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1384</v>
      </c>
      <c r="B22" s="346" t="s">
        <v>1440</v>
      </c>
      <c r="C22" s="24"/>
      <c r="D22" s="139" t="str">
        <f>IF(F23&lt;=1,"单利计息。","复利计息。")&amp;"建造成本、管理费用、销售费用产生的利息。"</f>
        <v>复利计息。建造成本、管理费用、销售费用产生的利息。</v>
      </c>
      <c r="E22" s="2939"/>
      <c r="F22" s="26"/>
      <c r="G22" s="1849"/>
      <c r="H22" s="1200" t="s">
        <v>1035</v>
      </c>
      <c r="I22" s="346" t="s">
        <v>1441</v>
      </c>
      <c r="J22" s="24">
        <f ca="1">ROUND(J14*M22,1)</f>
        <v>84.8</v>
      </c>
      <c r="K22" s="2946" t="s">
        <v>1442</v>
      </c>
      <c r="L22" s="346" t="s">
        <v>1414</v>
      </c>
      <c r="M22" s="373">
        <f ca="1">INDIRECT("'数据-取费表'!Ak"&amp;$G$1)</f>
        <v>1.4999999999999999E-2</v>
      </c>
    </row>
    <row r="23" spans="1:37" s="1856" customFormat="1" ht="18" customHeight="1">
      <c r="A23" s="1200" t="s">
        <v>1030</v>
      </c>
      <c r="B23" s="346" t="s">
        <v>1443</v>
      </c>
      <c r="C23" s="24">
        <f ca="1">IF('数据-取费表'!B22&lt;=1,ROUND(C19*F24*F23/2,0)+ROUND(C20*F24*F23/2,0),ROUND(C19*(POWER((1+F24),F23/2)-1),0)+ROUND(C20*(POWER((1+F24),F23/2)-1),0))</f>
        <v>216</v>
      </c>
      <c r="D23" s="374" t="str">
        <f>IF(F23&lt;=1,"(建造成本+管理费用)×利率×(建设周期÷2)","(建造成本+管理费用)×((1+利率)^(建设周期÷2)-1)")</f>
        <v>(建造成本+管理费用)×((1+利率)^(建设周期÷2)-1)</v>
      </c>
      <c r="E23" s="346" t="s">
        <v>1444</v>
      </c>
      <c r="F23" s="370">
        <f>'数据-取费表'!B20</f>
        <v>2</v>
      </c>
      <c r="G23" s="1852"/>
      <c r="H23" s="1200" t="s">
        <v>1071</v>
      </c>
      <c r="I23" s="346" t="s">
        <v>1445</v>
      </c>
      <c r="J23" s="24">
        <f ca="1">ROUND(J13*M23,1)</f>
        <v>0</v>
      </c>
      <c r="K23" s="2946" t="s">
        <v>1446</v>
      </c>
      <c r="L23" s="346" t="s">
        <v>1447</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6" t="s">
        <v>1449</v>
      </c>
      <c r="C24" s="24">
        <f ca="1">ROUND(IF('数据-取费表'!B22&lt;=1,F21*F24*F23/2,F21*(POWER((1+F24),F23/2)-1)),4)</f>
        <v>1E-3</v>
      </c>
      <c r="D24" s="374" t="str">
        <f>IF(F23&lt;=1,"销售费用×利率×(建设周期÷2)","销售费用×((1+利率)^(建设周期÷2)-1)")</f>
        <v>销售费用×((1+利率)^(建设周期÷2)-1)</v>
      </c>
      <c r="E24" s="346" t="s">
        <v>1450</v>
      </c>
      <c r="F24" s="376">
        <f ca="1">'数据-取费表'!B40</f>
        <v>4.7500000000000001E-2</v>
      </c>
      <c r="G24" s="1852"/>
      <c r="H24" s="1338" t="s">
        <v>1385</v>
      </c>
      <c r="I24" s="1339" t="s">
        <v>1431</v>
      </c>
      <c r="J24" s="1340">
        <f ca="1">ROUND(J5*M24,1)</f>
        <v>0</v>
      </c>
      <c r="K24" s="1341" t="s">
        <v>1451</v>
      </c>
      <c r="L24" s="1339" t="s">
        <v>1447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1452</v>
      </c>
      <c r="B25" s="346" t="s">
        <v>1453</v>
      </c>
      <c r="C25" s="24"/>
      <c r="D25" s="139" t="s">
        <v>1454</v>
      </c>
      <c r="E25" s="2939"/>
      <c r="F25" s="26"/>
      <c r="G25" s="1849"/>
      <c r="H25" s="1328" t="s">
        <v>1027</v>
      </c>
      <c r="I25" s="1343" t="s">
        <v>1455</v>
      </c>
      <c r="J25" s="354">
        <f ca="1">J5-J16</f>
        <v>-133</v>
      </c>
      <c r="K25" s="1344" t="s">
        <v>1456</v>
      </c>
      <c r="L25" s="1345"/>
      <c r="M25" s="1346"/>
    </row>
    <row r="26" spans="1:37">
      <c r="A26" s="1200" t="s">
        <v>1030</v>
      </c>
      <c r="B26" s="346" t="s">
        <v>1457</v>
      </c>
      <c r="C26" s="24">
        <f ca="1">ROUND((C19+C20)*F26,0)</f>
        <v>455</v>
      </c>
      <c r="D26" s="368" t="s">
        <v>1458</v>
      </c>
      <c r="E26" s="357" t="s">
        <v>1459</v>
      </c>
      <c r="F26" s="356">
        <f ca="1">INDIRECT("'数据-取费表'!q"&amp;$G$1)</f>
        <v>0.1</v>
      </c>
      <c r="G26" s="1849"/>
      <c r="H26" s="343" t="s">
        <v>1028</v>
      </c>
      <c r="I26" s="344" t="s">
        <v>1460</v>
      </c>
      <c r="J26" s="345">
        <f ca="1">IF(J5&lt;&gt;0,ROUND(J25*(1-((1+M28)/(1+M26))^M27)/(M26-M28),0),0)</f>
        <v>0</v>
      </c>
      <c r="K26" s="369" t="s">
        <v>1461</v>
      </c>
      <c r="L26" s="346" t="s">
        <v>1462</v>
      </c>
      <c r="M26" s="356">
        <f ca="1">INDIRECT("'数据-取费表'!I"&amp;$G$1)</f>
        <v>0.05</v>
      </c>
    </row>
    <row r="27" spans="1:37" ht="18" customHeight="1">
      <c r="A27" s="1200" t="s">
        <v>1032</v>
      </c>
      <c r="B27" s="346" t="s">
        <v>1463</v>
      </c>
      <c r="C27" s="24">
        <f ca="1">ROUND(F21*F26,4)</f>
        <v>2E-3</v>
      </c>
      <c r="D27" s="368" t="s">
        <v>1464</v>
      </c>
      <c r="E27" s="364"/>
      <c r="F27" s="365"/>
      <c r="G27" s="1849"/>
      <c r="H27" s="348"/>
      <c r="I27" s="349"/>
      <c r="J27" s="350"/>
      <c r="K27" s="377" t="s">
        <v>1465</v>
      </c>
      <c r="L27" s="346" t="s">
        <v>1466</v>
      </c>
      <c r="M27" s="378">
        <f ca="1">INDIRECT("'数据-取费表'!ag"&amp;$G$1)</f>
        <v>0</v>
      </c>
    </row>
    <row r="28" spans="1:37" s="1856" customFormat="1" ht="18" customHeight="1">
      <c r="A28" s="1200" t="s">
        <v>1033</v>
      </c>
      <c r="B28" s="346" t="s">
        <v>1467</v>
      </c>
      <c r="C28" s="24">
        <f>ROUND(F28/(1+'数据-取费表'!C42),4)</f>
        <v>5.33E-2</v>
      </c>
      <c r="D28" s="368" t="s">
        <v>1468</v>
      </c>
      <c r="E28" s="346" t="s">
        <v>1414</v>
      </c>
      <c r="F28" s="366">
        <f>'数据-取费表'!B41</f>
        <v>5.6000000000000001E-2</v>
      </c>
      <c r="G28" s="1852"/>
      <c r="H28" s="352"/>
      <c r="I28" s="353"/>
      <c r="J28" s="354"/>
      <c r="K28" s="372"/>
      <c r="L28" s="346" t="s">
        <v>1469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1470</v>
      </c>
      <c r="C29" s="1340">
        <f ca="1">ROUND((C19+C20+C23+C26)/(1-F21-C24-C27-C28),0)</f>
        <v>5650</v>
      </c>
      <c r="D29" s="1341"/>
      <c r="E29" s="1339"/>
      <c r="F29" s="1342"/>
      <c r="G29" s="1852"/>
      <c r="H29" s="379" t="s">
        <v>1029</v>
      </c>
      <c r="I29" s="380" t="s">
        <v>1471</v>
      </c>
      <c r="J29" s="381">
        <f ca="1">ROUND(J26/(1+F40)^F41,0)</f>
        <v>0</v>
      </c>
      <c r="K29" s="382" t="s">
        <v>1472</v>
      </c>
      <c r="L29" s="383"/>
      <c r="M29" s="384">
        <f ca="1">INDIRECT("'数据-取费表'!k"&amp;$G$1)</f>
        <v>12896.4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1416</v>
      </c>
      <c r="C30" s="354">
        <f ca="1">ROUND(C31+C36+C37+C38,0)</f>
        <v>405</v>
      </c>
      <c r="D30" s="1336" t="s">
        <v>1417</v>
      </c>
      <c r="E30" s="2947"/>
      <c r="F30" s="1293"/>
      <c r="G30" s="1849"/>
      <c r="H30" s="744"/>
      <c r="I30" s="745"/>
      <c r="J30" s="746"/>
      <c r="K30" s="747"/>
      <c r="L30" s="748"/>
      <c r="M30" s="749"/>
    </row>
    <row r="31" spans="1:37" ht="18" customHeight="1">
      <c r="A31" s="1200" t="s">
        <v>1031</v>
      </c>
      <c r="B31" s="346" t="s">
        <v>1421</v>
      </c>
      <c r="C31" s="24">
        <f ca="1">ROUND(IF(项目基本情况!B11="自然人",C5*F31,C32+C33+C34),1)</f>
        <v>294.7</v>
      </c>
      <c r="D31" s="2944" t="s">
        <v>1422</v>
      </c>
      <c r="E31" s="2946" t="s">
        <v>1473</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1030</v>
      </c>
      <c r="B32" s="346" t="s">
        <v>1425</v>
      </c>
      <c r="C32" s="24">
        <f ca="1">IF(项目基本情况!B11="自然人","——",ROUND(C5*F32/(1+'数据-取费表'!C42),2))</f>
        <v>90.51</v>
      </c>
      <c r="D32" s="2946" t="s">
        <v>1426</v>
      </c>
      <c r="E32" s="346" t="s">
        <v>1414</v>
      </c>
      <c r="F32" s="376">
        <f>'数据-取费表'!B41</f>
        <v>5.6000000000000001E-2</v>
      </c>
      <c r="G32" s="1849"/>
      <c r="H32" s="744"/>
      <c r="I32" s="745"/>
      <c r="J32" s="746"/>
      <c r="K32" s="747"/>
      <c r="L32" s="748"/>
      <c r="M32" s="749"/>
    </row>
    <row r="33" spans="1:18" ht="18" customHeight="1">
      <c r="A33" s="1200" t="s">
        <v>1032</v>
      </c>
      <c r="B33" s="346" t="s">
        <v>1429</v>
      </c>
      <c r="C33" s="24">
        <f ca="1">IF(项目基本情况!B11="自然人","——",IF(D33="按租金收入计税",ROUND(C5*F33,2),IF(D33="按房产原值计税",ROUND(C29*F33*0.7,2),INDIRECT("'数据-取费表'!Aj"&amp;$G$1))))</f>
        <v>203.64</v>
      </c>
      <c r="D33" s="1826" t="s">
        <v>3266</v>
      </c>
      <c r="E33" s="346" t="s">
        <v>1414</v>
      </c>
      <c r="F33" s="366">
        <f>IF(D33="按票据","——",IF(D33="按租金收入计税",'数据-取费表'!B51,'数据-取费表'!B50))</f>
        <v>0.12</v>
      </c>
      <c r="G33" s="1849"/>
      <c r="H33" s="1857"/>
      <c r="I33" s="1858"/>
      <c r="J33" s="1859"/>
      <c r="K33" s="1860"/>
      <c r="L33" s="1857"/>
      <c r="M33" s="1857"/>
    </row>
    <row r="34" spans="1:18" ht="18" customHeight="1">
      <c r="A34" s="1290" t="s">
        <v>1381</v>
      </c>
      <c r="B34" s="163" t="s">
        <v>1433</v>
      </c>
      <c r="C34" s="25">
        <f ca="1">IF(项目基本情况!B11="自然人","——",ROUND(F34*F35/10000,2))</f>
        <v>0.55000000000000004</v>
      </c>
      <c r="D34" s="369" t="s">
        <v>1434</v>
      </c>
      <c r="E34" s="346" t="s">
        <v>1435</v>
      </c>
      <c r="F34" s="370">
        <f>'数据-取费表'!B52</f>
        <v>1.5</v>
      </c>
      <c r="G34" s="1849"/>
      <c r="H34" s="744"/>
      <c r="I34" s="1858"/>
      <c r="J34" s="1859"/>
      <c r="K34" s="1861"/>
      <c r="L34" s="1862"/>
      <c r="M34" s="1862"/>
    </row>
    <row r="35" spans="1:18" ht="18" customHeight="1">
      <c r="A35" s="1352"/>
      <c r="B35" s="1350"/>
      <c r="C35" s="29"/>
      <c r="D35" s="372"/>
      <c r="E35" s="346" t="s">
        <v>1439</v>
      </c>
      <c r="F35" s="347">
        <f ca="1">INDIRECT("'数据-取费表'!r"&amp;$G$1)</f>
        <v>3669.07</v>
      </c>
      <c r="G35" s="1849"/>
      <c r="H35" s="744"/>
      <c r="I35" s="1858"/>
      <c r="J35" s="1859"/>
      <c r="K35" s="1860"/>
      <c r="L35" s="1857"/>
      <c r="M35" s="1857"/>
    </row>
    <row r="36" spans="1:18" ht="18" customHeight="1">
      <c r="A36" s="1351" t="s">
        <v>1035</v>
      </c>
      <c r="B36" s="346" t="s">
        <v>1441</v>
      </c>
      <c r="C36" s="24">
        <f ca="1">ROUND(C29*F36,1)</f>
        <v>84.8</v>
      </c>
      <c r="D36" s="2946" t="s">
        <v>1474</v>
      </c>
      <c r="E36" s="346" t="s">
        <v>1414</v>
      </c>
      <c r="F36" s="373">
        <f ca="1">INDIRECT("'数据-取费表'!Ak"&amp;$G$1)</f>
        <v>1.4999999999999999E-2</v>
      </c>
      <c r="G36" s="1849"/>
      <c r="H36" s="1857"/>
      <c r="I36" s="1858"/>
      <c r="J36" s="1859"/>
      <c r="K36" s="750"/>
      <c r="L36" s="1857"/>
      <c r="M36" s="1857"/>
    </row>
    <row r="37" spans="1:18" ht="18" customHeight="1">
      <c r="A37" s="1200" t="s">
        <v>1071</v>
      </c>
      <c r="B37" s="346" t="s">
        <v>1445</v>
      </c>
      <c r="C37" s="24">
        <f ca="1">ROUND(C13*F37,1)</f>
        <v>8.5</v>
      </c>
      <c r="D37" s="2946" t="s">
        <v>1446</v>
      </c>
      <c r="E37" s="346" t="s">
        <v>1447</v>
      </c>
      <c r="F37" s="375">
        <f ca="1">INDIRECT("'数据-取费表'!Al"&amp;$G$1)</f>
        <v>1.5E-3</v>
      </c>
      <c r="G37" s="1849"/>
      <c r="H37" s="1857"/>
      <c r="I37" s="1858"/>
      <c r="J37" s="1859"/>
      <c r="K37" s="750"/>
      <c r="L37" s="1857"/>
      <c r="M37" s="1857"/>
    </row>
    <row r="38" spans="1:18" ht="18" customHeight="1" thickBot="1">
      <c r="A38" s="1338" t="s">
        <v>1385</v>
      </c>
      <c r="B38" s="1339" t="s">
        <v>1431</v>
      </c>
      <c r="C38" s="1340">
        <f ca="1">ROUND(C5*F38,1)</f>
        <v>17</v>
      </c>
      <c r="D38" s="1341" t="s">
        <v>1451</v>
      </c>
      <c r="E38" s="1339" t="s">
        <v>1447</v>
      </c>
      <c r="F38" s="1335">
        <f ca="1">INDIRECT("'数据-取费表'!Am"&amp;$G$1)</f>
        <v>0.01</v>
      </c>
      <c r="G38" s="1849"/>
      <c r="H38" s="1857"/>
      <c r="I38" s="1858"/>
      <c r="J38" s="1859"/>
      <c r="K38" s="1863"/>
      <c r="L38" s="1857"/>
      <c r="M38" s="1857"/>
    </row>
    <row r="39" spans="1:18" ht="24.6" customHeight="1" thickTop="1">
      <c r="A39" s="1328" t="s">
        <v>1027</v>
      </c>
      <c r="B39" s="1343" t="s">
        <v>1455</v>
      </c>
      <c r="C39" s="354">
        <f ca="1">C5-C30</f>
        <v>1292</v>
      </c>
      <c r="D39" s="1344" t="s">
        <v>1456</v>
      </c>
      <c r="E39" s="1345"/>
      <c r="F39" s="1346"/>
      <c r="G39" s="1849"/>
      <c r="H39" s="1857"/>
      <c r="I39" s="1858"/>
      <c r="J39" s="1859"/>
      <c r="K39" s="1863"/>
      <c r="L39" s="1857"/>
      <c r="M39" s="1857"/>
    </row>
    <row r="40" spans="1:18" ht="18" customHeight="1">
      <c r="A40" s="343" t="s">
        <v>1028</v>
      </c>
      <c r="B40" s="344" t="s">
        <v>1477</v>
      </c>
      <c r="C40" s="345">
        <f ca="1">ROUND(C39*(1-((1+F42)/(1+F40))^F41)/(F40-F42),0)</f>
        <v>31620</v>
      </c>
      <c r="D40" s="369" t="s">
        <v>1461</v>
      </c>
      <c r="E40" s="346" t="s">
        <v>1462</v>
      </c>
      <c r="F40" s="356">
        <f ca="1">INDIRECT("'数据-取费表'!I"&amp;$G$1)</f>
        <v>0.05</v>
      </c>
      <c r="G40" s="1849"/>
      <c r="H40" s="1837"/>
      <c r="I40" s="1858"/>
      <c r="J40" s="1859"/>
      <c r="K40" s="1863"/>
      <c r="L40" s="1837"/>
      <c r="M40" s="1837"/>
    </row>
    <row r="41" spans="1:18" ht="18" customHeight="1">
      <c r="A41" s="348"/>
      <c r="B41" s="349"/>
      <c r="C41" s="350"/>
      <c r="D41" s="377" t="s">
        <v>1478</v>
      </c>
      <c r="E41" s="346" t="s">
        <v>1466</v>
      </c>
      <c r="F41" s="378">
        <f ca="1">IF(INDIRECT("'数据-取费表'!af"&amp;$G$1)=0,INDIRECT("'数据-取费表'!ae"&amp;$G$1),INDIRECT("'数据-取费表'!af"&amp;$G$1))</f>
        <v>45.71</v>
      </c>
      <c r="G41" s="1849"/>
      <c r="H41" s="731"/>
      <c r="I41" s="1858"/>
      <c r="J41" s="1859"/>
      <c r="K41" s="750"/>
      <c r="L41" s="731"/>
      <c r="M41" s="731"/>
    </row>
    <row r="42" spans="1:18" ht="18" customHeight="1">
      <c r="A42" s="352"/>
      <c r="B42" s="353"/>
      <c r="C42" s="354"/>
      <c r="D42" s="372"/>
      <c r="E42" s="346" t="s">
        <v>1469</v>
      </c>
      <c r="F42" s="356">
        <f ca="1">INDIRECT("'数据-取费表'!v"&amp;$G$1)</f>
        <v>0.02</v>
      </c>
      <c r="G42" s="1849"/>
      <c r="H42" s="731"/>
      <c r="I42" s="1858"/>
      <c r="J42" s="1859"/>
      <c r="K42" s="750"/>
      <c r="L42" s="731"/>
      <c r="M42" s="731"/>
    </row>
    <row r="43" spans="1:18" ht="18" customHeight="1" thickBot="1">
      <c r="A43" s="379" t="s">
        <v>1029</v>
      </c>
      <c r="B43" s="380" t="s">
        <v>1479</v>
      </c>
      <c r="C43" s="381">
        <f ca="1">ROUND(C40*10000/F43,0)</f>
        <v>24518</v>
      </c>
      <c r="D43" s="382" t="s">
        <v>1480</v>
      </c>
      <c r="E43" s="383" t="s">
        <v>1481</v>
      </c>
      <c r="F43" s="384">
        <f ca="1">INDIRECT("'数据-取费表'!k"&amp;$G$1)</f>
        <v>12896.4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1511</v>
      </c>
      <c r="P45" s="1837"/>
      <c r="Q45" s="1837"/>
      <c r="R45" s="1837"/>
    </row>
    <row r="46" spans="1:18" s="1840" customFormat="1" ht="13.5" thickBot="1">
      <c r="A46" s="1868" t="s">
        <v>1512</v>
      </c>
      <c r="C46" s="1869">
        <f ca="1">C68-C40</f>
        <v>-41777</v>
      </c>
      <c r="D46" s="1870" t="str">
        <f>C2</f>
        <v>万元</v>
      </c>
      <c r="E46" s="1864"/>
      <c r="F46" s="1864"/>
      <c r="I46" s="1871" t="s">
        <v>1513</v>
      </c>
      <c r="J46" s="1872"/>
      <c r="K46" s="1873"/>
      <c r="L46" s="1874" t="str">
        <f ca="1">IF(M47="住宅",0,IF(L48&gt;J51,L60,J60))</f>
        <v>0</v>
      </c>
      <c r="O46" s="1875" t="s">
        <v>1514</v>
      </c>
      <c r="P46" s="1876" t="s">
        <v>1515</v>
      </c>
      <c r="Q46" s="1877" t="s">
        <v>1516</v>
      </c>
      <c r="R46" s="1877" t="s">
        <v>1517</v>
      </c>
    </row>
    <row r="47" spans="1:18" s="1840" customFormat="1" ht="13.5" thickBot="1">
      <c r="A47" s="1164" t="s">
        <v>1388</v>
      </c>
      <c r="B47" s="1196" t="s">
        <v>1389</v>
      </c>
      <c r="C47" s="1366" t="s">
        <v>1390</v>
      </c>
      <c r="D47" s="1196" t="s">
        <v>1391</v>
      </c>
      <c r="E47" s="1278" t="s">
        <v>1392</v>
      </c>
      <c r="F47" s="1279"/>
      <c r="G47" s="791"/>
      <c r="I47" s="1878" t="s">
        <v>1518</v>
      </c>
      <c r="J47" s="1879" t="s">
        <v>3069</v>
      </c>
      <c r="K47" s="1880" t="s">
        <v>1519</v>
      </c>
      <c r="L47" s="1881">
        <f ca="1">INDIRECT("'数据-取费表'!d"&amp;$G$1)</f>
        <v>50</v>
      </c>
      <c r="M47" s="1836" t="str">
        <f>IF(ISNUMBER(FIND("住宅",C1)),"住宅","非住宅")</f>
        <v>非住宅</v>
      </c>
      <c r="O47" s="1882" t="s">
        <v>1036</v>
      </c>
      <c r="P47" s="1883" t="s">
        <v>1520</v>
      </c>
      <c r="Q47" s="1884">
        <f ca="1">C40+J29</f>
        <v>31620</v>
      </c>
      <c r="R47" s="1884" t="s">
        <v>1521</v>
      </c>
    </row>
    <row r="48" spans="1:18" s="1840" customFormat="1" ht="28.5" thickBot="1">
      <c r="A48" s="1359" t="s">
        <v>1131</v>
      </c>
      <c r="B48" s="344" t="s">
        <v>1393</v>
      </c>
      <c r="C48" s="2938">
        <f ca="1">C49+C53+C55</f>
        <v>0</v>
      </c>
      <c r="D48" s="1361"/>
      <c r="E48" s="1362"/>
      <c r="F48" s="1180"/>
      <c r="G48" s="791"/>
      <c r="H48" s="792"/>
      <c r="I48" s="1885" t="s">
        <v>1522</v>
      </c>
      <c r="J48" s="1886" t="s">
        <v>3102</v>
      </c>
      <c r="K48" s="1887" t="s">
        <v>1523</v>
      </c>
      <c r="L48" s="1888">
        <f ca="1">INDIRECT("'数据-取费表'!f"&amp;$G$1)</f>
        <v>45.81</v>
      </c>
      <c r="O48" s="1882" t="s">
        <v>1037</v>
      </c>
      <c r="P48" s="1883" t="s">
        <v>1524</v>
      </c>
      <c r="Q48" s="1884" t="str">
        <f ca="1">J60</f>
        <v>0</v>
      </c>
      <c r="R48" s="1884" t="s">
        <v>1525</v>
      </c>
    </row>
    <row r="49" spans="1:18" s="1840" customFormat="1" ht="13.5" thickBot="1">
      <c r="A49" s="1193" t="s">
        <v>1132</v>
      </c>
      <c r="B49" s="1827" t="s">
        <v>1482</v>
      </c>
      <c r="C49" s="1363">
        <f ca="1">ROUND(F49*F51*F50*(1-F52)/10000,0)</f>
        <v>0</v>
      </c>
      <c r="D49" s="1275" t="s">
        <v>2980</v>
      </c>
      <c r="E49" s="1828" t="s">
        <v>1483</v>
      </c>
      <c r="F49" s="1280"/>
      <c r="G49" s="1889"/>
      <c r="H49" s="792"/>
      <c r="I49" s="1885" t="s">
        <v>1526</v>
      </c>
      <c r="J49" s="1890">
        <v>2020</v>
      </c>
      <c r="K49" s="1887" t="s">
        <v>1527</v>
      </c>
      <c r="L49" s="1891"/>
      <c r="O49" s="1892" t="s">
        <v>1038</v>
      </c>
      <c r="P49" s="1883" t="s">
        <v>1528</v>
      </c>
      <c r="Q49" s="1884">
        <f ca="1">C29</f>
        <v>5650</v>
      </c>
      <c r="R49" s="1884" t="s">
        <v>1521</v>
      </c>
    </row>
    <row r="50" spans="1:18" s="1840" customFormat="1" ht="13.5" thickBot="1">
      <c r="A50" s="1194"/>
      <c r="B50" s="1197"/>
      <c r="C50" s="1367"/>
      <c r="D50" s="1171"/>
      <c r="E50" s="1276" t="s">
        <v>1398</v>
      </c>
      <c r="F50" s="1277">
        <f ca="1">F7</f>
        <v>12896.4</v>
      </c>
      <c r="H50" s="792"/>
      <c r="I50" s="1885" t="s">
        <v>1529</v>
      </c>
      <c r="J50" s="1893">
        <f>SUMPRODUCT((I63:I65=J47)*(J62:L62=J48)*(J63:L65))</f>
        <v>60</v>
      </c>
      <c r="K50" s="1887" t="s">
        <v>1530</v>
      </c>
      <c r="L50" s="1891"/>
      <c r="M50" s="1894"/>
      <c r="O50" s="1892" t="s">
        <v>1039</v>
      </c>
      <c r="P50" s="1883" t="s">
        <v>1531</v>
      </c>
      <c r="Q50" s="1895" t="e">
        <f ca="1">J58</f>
        <v>#VALUE!</v>
      </c>
      <c r="R50" s="1884"/>
    </row>
    <row r="51" spans="1:18" s="1840" customFormat="1" ht="13.5" thickBot="1">
      <c r="A51" s="1195"/>
      <c r="B51" s="1197"/>
      <c r="C51" s="1198"/>
      <c r="D51" s="1171"/>
      <c r="E51" s="1199" t="s">
        <v>1399</v>
      </c>
      <c r="F51" s="347">
        <f ca="1">F8</f>
        <v>365</v>
      </c>
      <c r="I51" s="1896" t="s">
        <v>1532</v>
      </c>
      <c r="J51" s="1897">
        <f>IF(J49="",J50,J49+J50-YEAR('数据-取费表'!B2))</f>
        <v>60</v>
      </c>
      <c r="K51" s="1898" t="s">
        <v>1533</v>
      </c>
      <c r="L51" s="1899">
        <f ca="1">ROUND(-PV(INDIRECT("'数据-取费表'!h"&amp;$G$1),L48,(C39-C13*C76),0),0)</f>
        <v>15637</v>
      </c>
      <c r="M51" s="1900"/>
      <c r="O51" s="1892" t="s">
        <v>1040</v>
      </c>
      <c r="P51" s="1883" t="s">
        <v>1534</v>
      </c>
      <c r="Q51" s="1895">
        <f>J52</f>
        <v>0.09</v>
      </c>
      <c r="R51" s="1884"/>
    </row>
    <row r="52" spans="1:18" s="1840" customFormat="1" ht="13.5" thickBot="1">
      <c r="A52" s="1195"/>
      <c r="B52" s="1197"/>
      <c r="C52" s="1198"/>
      <c r="D52" s="1171"/>
      <c r="E52" s="1199" t="s">
        <v>1400</v>
      </c>
      <c r="F52" s="1274"/>
      <c r="I52" s="1901" t="s">
        <v>1535</v>
      </c>
      <c r="J52" s="1902">
        <v>0.09</v>
      </c>
      <c r="K52" s="1901" t="s">
        <v>1536</v>
      </c>
      <c r="L52" s="1902"/>
      <c r="O52" s="1892" t="s">
        <v>1041</v>
      </c>
      <c r="P52" s="1883" t="s">
        <v>1537</v>
      </c>
      <c r="Q52" s="1884">
        <f ca="1">J53</f>
        <v>45.71</v>
      </c>
      <c r="R52" s="1884" t="s">
        <v>1538</v>
      </c>
    </row>
    <row r="53" spans="1:18" s="1840" customFormat="1" ht="24.75" thickBot="1">
      <c r="A53" s="1404" t="s">
        <v>1133</v>
      </c>
      <c r="B53" s="1829" t="s">
        <v>1401</v>
      </c>
      <c r="C53" s="360">
        <f ca="1">ROUND(IF(F53="押一",C49/12*F11,IF(F53="押二",C49/12*2*F11,IF(F53="押三",C49/12*3*F11,C54*F11))),0)</f>
        <v>0</v>
      </c>
      <c r="D53" s="1822" t="s">
        <v>2989</v>
      </c>
      <c r="E53" s="357" t="s">
        <v>1402</v>
      </c>
      <c r="F53" s="1365"/>
      <c r="I53" s="1903" t="s">
        <v>1539</v>
      </c>
      <c r="J53" s="1904">
        <f ca="1">IF(M47="住宅",IF(D1="——",MAX(J51,L48),IF(D1="在建（套用方法）",MAX(J51,L48-'数据-取费表'!B24),MAX(J51,L48-'数据-取费表'!B20))),IF(D1="——",MIN(J51,L48),IF(D1="在建（套用方法）",MIN(J51,L48-'数据-取费表'!B24),IF(D1="土地（套用方法）",MIN(J51,L48-'数据-取费表'!B20)))))</f>
        <v>45.71</v>
      </c>
      <c r="K53" s="3263" t="s">
        <v>1540</v>
      </c>
      <c r="L53" s="3264"/>
      <c r="O53" s="1882" t="s">
        <v>1042</v>
      </c>
      <c r="P53" s="1883" t="s">
        <v>1541</v>
      </c>
      <c r="Q53" s="1884">
        <f ca="1">Q47+Q48</f>
        <v>31620</v>
      </c>
      <c r="R53" s="1884" t="s">
        <v>1043</v>
      </c>
    </row>
    <row r="54" spans="1:18" s="1840" customFormat="1" ht="13.5" thickBot="1">
      <c r="A54" s="1405"/>
      <c r="B54" s="1823" t="s">
        <v>1380</v>
      </c>
      <c r="C54" s="1177"/>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1542</v>
      </c>
      <c r="P54" s="1837"/>
      <c r="Q54" s="1837"/>
      <c r="R54" s="1837"/>
    </row>
    <row r="55" spans="1:18" s="1840" customFormat="1" ht="13.5" thickBot="1">
      <c r="A55" s="1332" t="s">
        <v>1071</v>
      </c>
      <c r="B55" s="1825" t="s">
        <v>1405</v>
      </c>
      <c r="C55" s="1333"/>
      <c r="D55" s="1822"/>
      <c r="E55" s="2942"/>
      <c r="F55" s="1905"/>
      <c r="I55" s="1908" t="s">
        <v>1543</v>
      </c>
      <c r="J55" s="1909" t="e">
        <f ca="1">ROUND(IF(J47="钢混",J57/J50,1-(1-2%)*(J50-J57)/J50),3)</f>
        <v>#VALUE!</v>
      </c>
      <c r="K55" s="1910" t="s">
        <v>1544</v>
      </c>
      <c r="L55" s="1911" t="s">
        <v>1545</v>
      </c>
      <c r="O55" s="1875" t="s">
        <v>1514</v>
      </c>
      <c r="P55" s="1876" t="s">
        <v>1515</v>
      </c>
      <c r="Q55" s="1877" t="s">
        <v>1516</v>
      </c>
      <c r="R55" s="1877" t="s">
        <v>1517</v>
      </c>
    </row>
    <row r="56" spans="1:18" s="1840" customFormat="1" ht="25.5" thickTop="1" thickBot="1">
      <c r="A56" s="1175">
        <v>2</v>
      </c>
      <c r="B56" s="1176" t="s">
        <v>1406</v>
      </c>
      <c r="C56" s="275">
        <f ca="1">C13</f>
        <v>5650</v>
      </c>
      <c r="D56" s="1912"/>
      <c r="E56" s="1913"/>
      <c r="F56" s="1905"/>
      <c r="I56" s="1914" t="s">
        <v>1546</v>
      </c>
      <c r="J56" s="1915" t="s">
        <v>3013</v>
      </c>
      <c r="K56" s="1885" t="s">
        <v>1547</v>
      </c>
      <c r="L56" s="1888" t="str">
        <f ca="1">IF(L48&lt;J51,"——",L48-J53)</f>
        <v>——</v>
      </c>
      <c r="O56" s="1882" t="s">
        <v>1036</v>
      </c>
      <c r="P56" s="1883" t="s">
        <v>1520</v>
      </c>
      <c r="Q56" s="1884">
        <f ca="1">C40+J29</f>
        <v>31620</v>
      </c>
      <c r="R56" s="1884" t="s">
        <v>1521</v>
      </c>
    </row>
    <row r="57" spans="1:18" s="1840" customFormat="1" ht="24.75" thickBot="1">
      <c r="A57" s="1916"/>
      <c r="B57" s="1168" t="s">
        <v>1470</v>
      </c>
      <c r="C57" s="281">
        <f ca="1">C29</f>
        <v>5650</v>
      </c>
      <c r="D57" s="1917"/>
      <c r="E57" s="1918"/>
      <c r="F57" s="1919"/>
      <c r="I57" s="1920" t="s">
        <v>1548</v>
      </c>
      <c r="J57" s="1921" t="str">
        <f ca="1">IF(OR(M47="住宅",J51&lt;L48,J56="是"),"——",J51-L48)</f>
        <v>——</v>
      </c>
      <c r="K57" s="1885" t="s">
        <v>1549</v>
      </c>
      <c r="L57" s="1888" t="str">
        <f ca="1">IF(L48&lt;J51,"——",IF(L55="比较法",L49,IF(L55="基准地价",L50,L51)))</f>
        <v>——</v>
      </c>
      <c r="O57" s="1882" t="s">
        <v>1037</v>
      </c>
      <c r="P57" s="1883" t="s">
        <v>1550</v>
      </c>
      <c r="Q57" s="1884">
        <f ca="1">L60</f>
        <v>0</v>
      </c>
      <c r="R57" s="1884" t="s">
        <v>1551</v>
      </c>
    </row>
    <row r="58" spans="1:18" s="1840" customFormat="1" ht="24.75" thickBot="1">
      <c r="A58" s="359" t="s">
        <v>1026</v>
      </c>
      <c r="B58" s="1176" t="s">
        <v>1416</v>
      </c>
      <c r="C58" s="360">
        <f ca="1">ROUND(C59+C64+C65+C66,0)</f>
        <v>569</v>
      </c>
      <c r="D58" s="1178" t="s">
        <v>1417</v>
      </c>
      <c r="E58" s="1179"/>
      <c r="F58" s="1180"/>
      <c r="I58" s="1920" t="s">
        <v>1552</v>
      </c>
      <c r="J58" s="1922" t="e">
        <f ca="1">IF(J55&lt;0.4,0.4,J55)</f>
        <v>#VALUE!</v>
      </c>
      <c r="K58" s="1898" t="s">
        <v>1553</v>
      </c>
      <c r="L58" s="1888" t="e">
        <f ca="1">ROUND(POWER(1+L52,L47-L48)*(POWER(1+L52,L48)-1)/(POWER(1+L52,L47)-1),4)</f>
        <v>#DIV/0!</v>
      </c>
      <c r="O58" s="1892" t="s">
        <v>1038</v>
      </c>
      <c r="P58" s="1883" t="s">
        <v>1554</v>
      </c>
      <c r="Q58" s="1884">
        <f>IF(L55="比较法",L49,IF(L55="基准地价",L50,0))</f>
        <v>0</v>
      </c>
      <c r="R58" s="1884" t="s">
        <v>1521</v>
      </c>
    </row>
    <row r="59" spans="1:18" s="1840" customFormat="1" ht="24.75" thickBot="1">
      <c r="A59" s="1200" t="s">
        <v>1031</v>
      </c>
      <c r="B59" s="1168" t="s">
        <v>1421</v>
      </c>
      <c r="C59" s="24">
        <f ca="1">ROUND(IF(项目基本情况!B11="自然人",C48*F59,C60+C61+C62),1)</f>
        <v>475.2</v>
      </c>
      <c r="D59" s="1181" t="s">
        <v>1422</v>
      </c>
      <c r="E59" s="1182" t="s">
        <v>1423</v>
      </c>
      <c r="F59" s="367" t="str">
        <f ca="1">IF(项目基本情况!B11="企业","",IF(INDIRECT("'数据-取费表'!c"&amp;$G$1)="住宅",5%,IF(F49*F50*F51/12/(1+'数据-取费表'!C42)&gt;20000,12%,7%)))</f>
        <v/>
      </c>
      <c r="I59" s="1920" t="s">
        <v>1555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1556</v>
      </c>
      <c r="Q59" s="1895">
        <f>L52</f>
        <v>0</v>
      </c>
      <c r="R59" s="1884"/>
    </row>
    <row r="60" spans="1:18" s="1840" customFormat="1" ht="16.5" thickBot="1">
      <c r="A60" s="1200" t="s">
        <v>1030</v>
      </c>
      <c r="B60" s="1168" t="s">
        <v>1425</v>
      </c>
      <c r="C60" s="24">
        <f ca="1">IF(项目基本情况!B11="自然人","——",ROUND(C48*F60/(1+'数据-取费表'!C42),2))</f>
        <v>0</v>
      </c>
      <c r="D60" s="1182" t="s">
        <v>1426</v>
      </c>
      <c r="E60" s="1168" t="s">
        <v>1414</v>
      </c>
      <c r="F60" s="376">
        <f t="shared" ref="F60:F66" si="0">F32</f>
        <v>5.6000000000000001E-2</v>
      </c>
      <c r="I60" s="1923" t="s">
        <v>1557</v>
      </c>
      <c r="J60" s="1924" t="str">
        <f ca="1">IF(OR(M47="住宅",J51&lt;L48,J56="是"),"0",ROUND(J59/(1+J52)^J53,0))</f>
        <v>0</v>
      </c>
      <c r="K60" s="1925" t="s">
        <v>1558</v>
      </c>
      <c r="L60" s="1924">
        <f ca="1">IF(OR(M47="住宅",L48&lt;J51),0,ROUND(L57*(L58/L59-1),0))</f>
        <v>0</v>
      </c>
      <c r="O60" s="1892" t="s">
        <v>1040</v>
      </c>
      <c r="P60" s="1883" t="s">
        <v>1559</v>
      </c>
      <c r="Q60" s="1884" t="e">
        <f ca="1">L58</f>
        <v>#DIV/0!</v>
      </c>
      <c r="R60" s="1884" t="s">
        <v>1560</v>
      </c>
    </row>
    <row r="61" spans="1:18" s="1840" customFormat="1" ht="13.5" thickBot="1">
      <c r="A61" s="1200" t="s">
        <v>1484</v>
      </c>
      <c r="B61" s="1168" t="s">
        <v>1429</v>
      </c>
      <c r="C61" s="24">
        <f ca="1">IF(项目基本情况!B11="自然人","——",IF(D61="按租金收入计税",ROUND(C48*F61,2),IF(D61="按房产原值计税",ROUND(C57*F61*0.7,2),INDIRECT("'数据-取费表'!Aj"&amp;$G$1))))</f>
        <v>474.6</v>
      </c>
      <c r="D61" s="1826" t="s">
        <v>1430</v>
      </c>
      <c r="E61" s="1168" t="s">
        <v>1447</v>
      </c>
      <c r="F61" s="366">
        <f t="shared" si="0"/>
        <v>0.12</v>
      </c>
      <c r="I61" s="1926"/>
      <c r="J61" s="1926"/>
      <c r="K61" s="1926"/>
      <c r="L61" s="1926"/>
      <c r="O61" s="1892" t="s">
        <v>1041</v>
      </c>
      <c r="P61" s="1883" t="str">
        <f>K59</f>
        <v>续建工期及建筑物耐用年限下的土地年期修正系数Kn</v>
      </c>
      <c r="Q61" s="1884" t="e">
        <f ca="1">L59</f>
        <v>#DIV/0!</v>
      </c>
      <c r="R61" s="1884" t="s">
        <v>1561</v>
      </c>
    </row>
    <row r="62" spans="1:18" s="1840" customFormat="1" ht="13.5" thickBot="1">
      <c r="A62" s="1200" t="s">
        <v>1487</v>
      </c>
      <c r="B62" s="1167" t="s">
        <v>1433</v>
      </c>
      <c r="C62" s="25">
        <f ca="1">IF(项目基本情况!B11="自然人","——",ROUND(F62*F63/10000,2))</f>
        <v>0.55000000000000004</v>
      </c>
      <c r="D62" s="1183" t="s">
        <v>1434</v>
      </c>
      <c r="E62" s="1168" t="s">
        <v>1435</v>
      </c>
      <c r="F62" s="370">
        <f t="shared" si="0"/>
        <v>1.5</v>
      </c>
      <c r="I62" s="1927" t="s">
        <v>1562</v>
      </c>
      <c r="J62" s="1928" t="s">
        <v>1563</v>
      </c>
      <c r="K62" s="1928" t="s">
        <v>1564</v>
      </c>
      <c r="L62" s="1928" t="s">
        <v>1565</v>
      </c>
      <c r="M62" s="1929" t="s">
        <v>1566</v>
      </c>
      <c r="O62" s="1882" t="s">
        <v>1042</v>
      </c>
      <c r="P62" s="1883" t="s">
        <v>1541</v>
      </c>
      <c r="Q62" s="1884">
        <f ca="1">Q56+Q57</f>
        <v>31620</v>
      </c>
      <c r="R62" s="1884" t="s">
        <v>1043</v>
      </c>
    </row>
    <row r="63" spans="1:18" s="1840" customFormat="1" ht="13.5" thickBot="1">
      <c r="A63" s="371"/>
      <c r="B63" s="1174"/>
      <c r="C63" s="29"/>
      <c r="D63" s="1184"/>
      <c r="E63" s="1168" t="s">
        <v>1439</v>
      </c>
      <c r="F63" s="347">
        <f t="shared" ca="1" si="0"/>
        <v>3669.07</v>
      </c>
      <c r="I63" s="1927" t="s">
        <v>1568</v>
      </c>
      <c r="J63" s="1928">
        <v>70</v>
      </c>
      <c r="K63" s="1928">
        <v>50</v>
      </c>
      <c r="L63" s="1928">
        <v>80</v>
      </c>
      <c r="M63" s="1930">
        <v>0.02</v>
      </c>
      <c r="O63" s="1867" t="s">
        <v>1569</v>
      </c>
      <c r="P63" s="1837"/>
      <c r="Q63" s="1837"/>
      <c r="R63" s="1837"/>
    </row>
    <row r="64" spans="1:18" s="1840" customFormat="1" ht="13.5" thickBot="1">
      <c r="A64" s="1200" t="s">
        <v>1492</v>
      </c>
      <c r="B64" s="1168" t="s">
        <v>1441</v>
      </c>
      <c r="C64" s="24">
        <f ca="1">ROUND(C57*F64,1)</f>
        <v>84.8</v>
      </c>
      <c r="D64" s="1182" t="s">
        <v>1474</v>
      </c>
      <c r="E64" s="1168" t="s">
        <v>1447</v>
      </c>
      <c r="F64" s="373">
        <f t="shared" ca="1" si="0"/>
        <v>1.4999999999999999E-2</v>
      </c>
      <c r="I64" s="1927" t="s">
        <v>1570</v>
      </c>
      <c r="J64" s="1928">
        <v>50</v>
      </c>
      <c r="K64" s="1928">
        <v>35</v>
      </c>
      <c r="L64" s="1928">
        <v>60</v>
      </c>
      <c r="M64" s="1929">
        <v>0</v>
      </c>
      <c r="O64" s="1875" t="s">
        <v>1514</v>
      </c>
      <c r="P64" s="1876" t="s">
        <v>1515</v>
      </c>
      <c r="Q64" s="1877" t="s">
        <v>1516</v>
      </c>
      <c r="R64" s="1877" t="s">
        <v>1517</v>
      </c>
    </row>
    <row r="65" spans="1:18" s="1840" customFormat="1" ht="13.5" thickBot="1">
      <c r="A65" s="1200" t="s">
        <v>1495</v>
      </c>
      <c r="B65" s="1168" t="s">
        <v>1445</v>
      </c>
      <c r="C65" s="24">
        <f ca="1">ROUND(C56*F65,1)</f>
        <v>8.5</v>
      </c>
      <c r="D65" s="1182" t="s">
        <v>1446</v>
      </c>
      <c r="E65" s="1168" t="s">
        <v>1447</v>
      </c>
      <c r="F65" s="375">
        <f t="shared" ca="1" si="0"/>
        <v>1.5E-3</v>
      </c>
      <c r="I65" s="1927" t="s">
        <v>1571</v>
      </c>
      <c r="J65" s="1928">
        <v>40</v>
      </c>
      <c r="K65" s="1928">
        <v>30</v>
      </c>
      <c r="L65" s="1928">
        <v>50</v>
      </c>
      <c r="M65" s="1930">
        <v>0.02</v>
      </c>
      <c r="O65" s="1882" t="s">
        <v>1036</v>
      </c>
      <c r="P65" s="1883" t="s">
        <v>1520</v>
      </c>
      <c r="Q65" s="1884">
        <f ca="1">C40+J29</f>
        <v>31620</v>
      </c>
      <c r="R65" s="1884" t="s">
        <v>1521</v>
      </c>
    </row>
    <row r="66" spans="1:18" s="1840" customFormat="1" ht="16.5" thickBot="1">
      <c r="A66" s="1200" t="s">
        <v>1496</v>
      </c>
      <c r="B66" s="1168" t="s">
        <v>1431</v>
      </c>
      <c r="C66" s="24">
        <f ca="1">ROUND(C48*F66,1)</f>
        <v>0</v>
      </c>
      <c r="D66" s="1182" t="s">
        <v>1451</v>
      </c>
      <c r="E66" s="1168" t="s">
        <v>1414</v>
      </c>
      <c r="F66" s="356">
        <f t="shared" ca="1" si="0"/>
        <v>0.01</v>
      </c>
      <c r="O66" s="1882" t="s">
        <v>1037</v>
      </c>
      <c r="P66" s="1883" t="s">
        <v>1550</v>
      </c>
      <c r="Q66" s="1884">
        <f ca="1">L60</f>
        <v>0</v>
      </c>
      <c r="R66" s="1884" t="s">
        <v>1573</v>
      </c>
    </row>
    <row r="67" spans="1:18" s="1840" customFormat="1" ht="16.5" thickBot="1">
      <c r="A67" s="1175" t="s">
        <v>1027</v>
      </c>
      <c r="B67" s="1185" t="s">
        <v>1455</v>
      </c>
      <c r="C67" s="360">
        <f ca="1">C48-C58</f>
        <v>-569</v>
      </c>
      <c r="D67" s="1181" t="s">
        <v>1456</v>
      </c>
      <c r="E67" s="1186"/>
      <c r="F67" s="1187"/>
      <c r="O67" s="1892" t="s">
        <v>1038</v>
      </c>
      <c r="P67" s="1883" t="s">
        <v>1554</v>
      </c>
      <c r="Q67" s="1931">
        <f ca="1">L51</f>
        <v>15637</v>
      </c>
      <c r="R67" s="1884" t="s">
        <v>1574</v>
      </c>
    </row>
    <row r="68" spans="1:18" s="1840" customFormat="1" ht="16.5" thickBot="1">
      <c r="A68" s="1165" t="s">
        <v>1028</v>
      </c>
      <c r="B68" s="1166" t="s">
        <v>1477</v>
      </c>
      <c r="C68" s="345">
        <f ca="1">ROUND(C67*(1-((1+F70)/(1+F68))^F69)/(F68-F70),0)</f>
        <v>-10157</v>
      </c>
      <c r="D68" s="1183" t="s">
        <v>1461</v>
      </c>
      <c r="E68" s="1168" t="s">
        <v>1462</v>
      </c>
      <c r="F68" s="356">
        <f ca="1">F40</f>
        <v>0.05</v>
      </c>
      <c r="O68" s="1892" t="s">
        <v>1039</v>
      </c>
      <c r="P68" s="1932" t="s">
        <v>1575</v>
      </c>
      <c r="Q68" s="1884">
        <f ca="1">ROUND(Q69-Q70*Q71,0)</f>
        <v>812</v>
      </c>
      <c r="R68" s="1884" t="s">
        <v>1047</v>
      </c>
    </row>
    <row r="69" spans="1:18" s="1840" customFormat="1" ht="13.5" thickBot="1">
      <c r="A69" s="1169"/>
      <c r="B69" s="1170"/>
      <c r="C69" s="350"/>
      <c r="D69" s="1188" t="s">
        <v>1465</v>
      </c>
      <c r="E69" s="1168" t="s">
        <v>1466</v>
      </c>
      <c r="F69" s="378">
        <f ca="1">F41</f>
        <v>45.71</v>
      </c>
      <c r="O69" s="1892" t="s">
        <v>1044</v>
      </c>
      <c r="P69" s="1932" t="s">
        <v>1576</v>
      </c>
      <c r="Q69" s="1884">
        <f ca="1">C39</f>
        <v>1292</v>
      </c>
      <c r="R69" s="1884" t="s">
        <v>1521</v>
      </c>
    </row>
    <row r="70" spans="1:18" s="1840" customFormat="1" ht="13.5" thickBot="1">
      <c r="A70" s="1172"/>
      <c r="B70" s="1173"/>
      <c r="C70" s="354"/>
      <c r="D70" s="1184"/>
      <c r="E70" s="1168" t="s">
        <v>1469</v>
      </c>
      <c r="F70" s="1274"/>
      <c r="O70" s="1892" t="s">
        <v>1045</v>
      </c>
      <c r="P70" s="1932" t="s">
        <v>1577</v>
      </c>
      <c r="Q70" s="1884">
        <f ca="1">C13</f>
        <v>5650</v>
      </c>
      <c r="R70" s="1884" t="s">
        <v>1521</v>
      </c>
    </row>
    <row r="71" spans="1:18" s="1840" customFormat="1" ht="13.5" thickBot="1">
      <c r="A71" s="1189" t="s">
        <v>1029</v>
      </c>
      <c r="B71" s="1190" t="s">
        <v>1479</v>
      </c>
      <c r="C71" s="381">
        <f ca="1">ROUND(C68*10000/F71,0)</f>
        <v>-7876</v>
      </c>
      <c r="D71" s="1191" t="s">
        <v>1480</v>
      </c>
      <c r="E71" s="1192" t="s">
        <v>1481</v>
      </c>
      <c r="F71" s="384">
        <f ca="1">F43</f>
        <v>12896.4</v>
      </c>
      <c r="O71" s="1892" t="s">
        <v>1046</v>
      </c>
      <c r="P71" s="1932" t="s">
        <v>1578</v>
      </c>
      <c r="Q71" s="1895">
        <f ca="1">C76</f>
        <v>8.5000000000000006E-2</v>
      </c>
      <c r="R71" s="1884"/>
    </row>
    <row r="72" spans="1:18" s="1840" customFormat="1" ht="13.5" thickBot="1">
      <c r="B72" s="795"/>
      <c r="C72" s="795"/>
      <c r="O72" s="1892" t="s">
        <v>1040</v>
      </c>
      <c r="P72" s="1883" t="s">
        <v>1556</v>
      </c>
      <c r="Q72" s="1895">
        <f>L52</f>
        <v>0</v>
      </c>
      <c r="R72" s="1884"/>
    </row>
    <row r="73" spans="1:18" ht="16.5" thickBot="1">
      <c r="A73" s="1840"/>
      <c r="B73" s="795"/>
      <c r="C73" s="795"/>
      <c r="D73" s="1840"/>
      <c r="E73" s="1840"/>
      <c r="F73" s="1840"/>
      <c r="O73" s="1892" t="s">
        <v>1041</v>
      </c>
      <c r="P73" s="1883" t="s">
        <v>1559</v>
      </c>
      <c r="Q73" s="1884" t="e">
        <f ca="1">L58</f>
        <v>#DIV/0!</v>
      </c>
      <c r="R73" s="1884" t="s">
        <v>1560</v>
      </c>
    </row>
    <row r="74" spans="1:18" ht="13.5" thickBot="1">
      <c r="A74" s="1840"/>
      <c r="B74" s="316" t="s">
        <v>1579</v>
      </c>
      <c r="C74" s="1934"/>
      <c r="D74" s="1840"/>
      <c r="E74" s="1840"/>
      <c r="F74" s="1840"/>
      <c r="O74" s="1892" t="s">
        <v>1048</v>
      </c>
      <c r="P74" s="1883" t="str">
        <f>K59</f>
        <v>续建工期及建筑物耐用年限下的土地年期修正系数Kn</v>
      </c>
      <c r="Q74" s="1884" t="e">
        <f ca="1">L59</f>
        <v>#DIV/0!</v>
      </c>
      <c r="R74" s="1884" t="s">
        <v>1561</v>
      </c>
    </row>
    <row r="75" spans="1:18" ht="13.5" thickBot="1">
      <c r="A75" s="1840"/>
      <c r="B75" s="385" t="s">
        <v>1498</v>
      </c>
      <c r="C75" s="386">
        <f ca="1">ROUND(C13*C76,0)</f>
        <v>480</v>
      </c>
      <c r="D75" s="1840"/>
      <c r="E75" s="1840"/>
      <c r="F75" s="1840"/>
      <c r="K75" s="1866"/>
      <c r="L75" s="1840"/>
      <c r="O75" s="1882" t="s">
        <v>1042</v>
      </c>
      <c r="P75" s="1883" t="s">
        <v>1541</v>
      </c>
      <c r="Q75" s="1884">
        <f ca="1">Q65+Q66</f>
        <v>31620</v>
      </c>
      <c r="R75" s="1884" t="s">
        <v>1043</v>
      </c>
    </row>
    <row r="76" spans="1:18">
      <c r="B76" s="387" t="s">
        <v>1499</v>
      </c>
      <c r="C76" s="388">
        <f ca="1">INDIRECT("'数据-取费表'!j"&amp;$G$1)</f>
        <v>8.5000000000000006E-2</v>
      </c>
      <c r="I76" s="1840"/>
      <c r="J76" s="1840"/>
      <c r="K76" s="1866"/>
      <c r="L76" s="1840"/>
    </row>
    <row r="77" spans="1:18">
      <c r="B77" s="389" t="s">
        <v>1500</v>
      </c>
      <c r="C77" s="390"/>
      <c r="I77" s="1840"/>
      <c r="J77" s="1840"/>
      <c r="K77" s="1866"/>
      <c r="L77" s="1840"/>
    </row>
    <row r="78" spans="1:18">
      <c r="B78" s="313" t="s">
        <v>1501</v>
      </c>
      <c r="C78" s="391"/>
    </row>
    <row r="79" spans="1:18">
      <c r="B79" s="385" t="s">
        <v>1502</v>
      </c>
      <c r="C79" s="317">
        <f ca="1">1-C80</f>
        <v>0.628</v>
      </c>
    </row>
    <row r="80" spans="1:18">
      <c r="B80" s="385" t="s">
        <v>1503</v>
      </c>
      <c r="C80" s="317">
        <f ca="1">ROUND(C75/C39,3)</f>
        <v>0.372</v>
      </c>
    </row>
    <row r="81" spans="2:3">
      <c r="B81" s="313" t="s">
        <v>1504</v>
      </c>
      <c r="C81" s="281"/>
    </row>
    <row r="82" spans="2:3">
      <c r="B82" s="316" t="s">
        <v>1505</v>
      </c>
      <c r="C82" s="318">
        <f ca="1">1-C83</f>
        <v>0.82099999999999995</v>
      </c>
    </row>
    <row r="83" spans="2:3">
      <c r="B83" s="316" t="s">
        <v>1506</v>
      </c>
      <c r="C83" s="317">
        <f ca="1">ROUND(C13/C40,3)</f>
        <v>0.17899999999999999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B2" sqref="B2"/>
    </sheetView>
  </sheetViews>
  <sheetFormatPr defaultColWidth="9" defaultRowHeight="14.25"/>
  <cols>
    <col min="1" max="1" width="10.5" style="402" customWidth="1"/>
    <col min="2" max="2" width="15.75" style="402" customWidth="1"/>
    <col min="3" max="3" width="22.875" style="402" customWidth="1"/>
    <col min="4" max="4" width="12.25" style="402" customWidth="1"/>
    <col min="5" max="5" width="15.125" style="402" customWidth="1"/>
    <col min="6" max="6" width="12.25" style="402" customWidth="1"/>
    <col min="7" max="7" width="15.12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2657</v>
      </c>
      <c r="B1" s="1617" t="s">
        <v>3038</v>
      </c>
      <c r="C1" s="1618" t="s">
        <v>2481</v>
      </c>
      <c r="D1" s="1619" t="s">
        <v>3002</v>
      </c>
      <c r="E1" s="1620"/>
      <c r="F1" s="2580" t="s">
        <v>3114</v>
      </c>
      <c r="G1" s="1621" t="s">
        <v>2593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2281</v>
      </c>
      <c r="B2" s="1417">
        <f>IF(C2="——",IF(B37="元/平方米",ROUND(C39*D3/10000,0),ROUND(F3*C39/10000,0)),IF(B37="元/平方米",ROUND(C39*D3/10000,0),ROUND(F3*C39/10000,0))-D2)</f>
        <v>12224</v>
      </c>
      <c r="C2" s="2582" t="s">
        <v>70</v>
      </c>
      <c r="D2" s="1123" t="e">
        <f ca="1">SUMIF(INDIRECT("'"&amp;F2&amp;"'"&amp;"!A:A"),"承租人权益价值",INDIRECT("'"&amp;F2&amp;"'"&amp;"!c:c"))</f>
        <v>#REF!</v>
      </c>
      <c r="E2" s="2583" t="s">
        <v>2282</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2283</v>
      </c>
      <c r="B3" s="608">
        <f>IF(AND(C2="——",B37="元/平方米"),C39,ROUND(B2*10000/D3,0))</f>
        <v>4000</v>
      </c>
      <c r="C3" s="399" t="s">
        <v>2594</v>
      </c>
      <c r="D3" s="398">
        <f>SUMIF('数据-汇总表'!$C19:$C33,D1,'数据-汇总表'!$E19:$E33)</f>
        <v>30558.489999999998</v>
      </c>
      <c r="E3" s="399" t="s">
        <v>2658</v>
      </c>
      <c r="F3" s="398">
        <f>SUMIF('数据-取费表'!A5:A15,D1,'数据-取费表'!AH5:AH15)</f>
        <v>679</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21" t="s">
        <v>2598</v>
      </c>
      <c r="AC4" s="3220" t="s">
        <v>2599</v>
      </c>
    </row>
    <row r="5" spans="1:29" ht="15">
      <c r="A5" s="403"/>
      <c r="B5" s="404"/>
      <c r="C5" s="3240" t="str">
        <f>'比较法-叠拼住宅'!C5:D5</f>
        <v>中铁华侨城·和园</v>
      </c>
      <c r="D5" s="3241"/>
      <c r="E5" s="3262" t="s">
        <v>3117</v>
      </c>
      <c r="F5" s="3249"/>
      <c r="G5" s="3261" t="s">
        <v>3118</v>
      </c>
      <c r="H5" s="3241"/>
      <c r="I5" s="3261" t="s">
        <v>3119</v>
      </c>
      <c r="J5" s="3241"/>
      <c r="K5" s="609"/>
      <c r="L5" s="1129"/>
      <c r="M5" s="1130"/>
      <c r="N5" s="1130"/>
      <c r="O5" s="1130"/>
      <c r="P5" s="3228"/>
      <c r="Q5" s="3229"/>
      <c r="R5" s="3234"/>
      <c r="S5" s="3235"/>
      <c r="T5" s="3234"/>
      <c r="U5" s="3235"/>
      <c r="V5" s="3219"/>
      <c r="W5" s="3219"/>
      <c r="X5" s="1811"/>
      <c r="Y5" s="3234"/>
      <c r="Z5" s="3235"/>
      <c r="AA5" s="3221"/>
      <c r="AB5" s="3221"/>
      <c r="AC5" s="3221"/>
    </row>
    <row r="6" spans="1:29" ht="15.75" thickBot="1">
      <c r="A6" s="405"/>
      <c r="B6" s="406"/>
      <c r="C6" s="3238" t="s">
        <v>2497</v>
      </c>
      <c r="D6" s="3239"/>
      <c r="E6" s="3246" t="s">
        <v>2497</v>
      </c>
      <c r="F6" s="3247"/>
      <c r="G6" s="3238" t="s">
        <v>2497</v>
      </c>
      <c r="H6" s="3239"/>
      <c r="I6" s="3238" t="s">
        <v>2497</v>
      </c>
      <c r="J6" s="3239"/>
      <c r="K6" s="609" t="s">
        <v>2498</v>
      </c>
      <c r="L6" s="1129"/>
      <c r="M6" s="1130"/>
      <c r="N6" s="1130"/>
      <c r="O6" s="1130"/>
      <c r="P6" s="3230"/>
      <c r="Q6" s="3231"/>
      <c r="R6" s="3234"/>
      <c r="S6" s="3235"/>
      <c r="T6" s="3236"/>
      <c r="U6" s="3237"/>
      <c r="V6" s="3219"/>
      <c r="W6" s="3219"/>
      <c r="X6" s="1811"/>
      <c r="Y6" s="3236"/>
      <c r="Z6" s="3237"/>
      <c r="AA6" s="3222"/>
      <c r="AB6" s="3222"/>
      <c r="AC6" s="3222"/>
    </row>
    <row r="7" spans="1:29" s="117" customFormat="1" ht="15.75" thickBot="1">
      <c r="A7" s="407" t="s">
        <v>2499</v>
      </c>
      <c r="B7" s="408"/>
      <c r="C7" s="409">
        <f>'数据-取费表'!B2</f>
        <v>43926</v>
      </c>
      <c r="D7" s="410">
        <v>100</v>
      </c>
      <c r="E7" s="411">
        <f>C7</f>
        <v>43926</v>
      </c>
      <c r="F7" s="412">
        <f>SUMIF(48:48,YEAR(E7)&amp;"-"&amp;MONTH(E7),49:49)</f>
        <v>100</v>
      </c>
      <c r="G7" s="411">
        <f>C7</f>
        <v>43926</v>
      </c>
      <c r="H7" s="410">
        <f>SUMIF(48:48,YEAR(G7)&amp;"-"&amp;MONTH(G7),49:49)</f>
        <v>100</v>
      </c>
      <c r="I7" s="411">
        <f>C7</f>
        <v>43926</v>
      </c>
      <c r="J7" s="410">
        <f>SUMIF(48:48,YEAR(I7)&amp;"-"&amp;MONTH(I7),49:49)</f>
        <v>100</v>
      </c>
      <c r="K7" s="610"/>
      <c r="L7" s="1131"/>
      <c r="M7" s="1132"/>
      <c r="N7" s="1132"/>
      <c r="O7" s="1132"/>
      <c r="P7" s="3242" t="s">
        <v>2500</v>
      </c>
      <c r="Q7" s="3244"/>
      <c r="R7" s="769" t="s">
        <v>17</v>
      </c>
      <c r="S7" s="770">
        <f t="shared" ref="S7:S14" si="0">F7</f>
        <v>100</v>
      </c>
      <c r="T7" s="769" t="s">
        <v>17</v>
      </c>
      <c r="U7" s="770">
        <f t="shared" ref="U7:U14" si="1">H7</f>
        <v>100</v>
      </c>
      <c r="V7" s="769" t="s">
        <v>17</v>
      </c>
      <c r="W7" s="770">
        <f t="shared" ref="W7:W14" si="2">J7</f>
        <v>100</v>
      </c>
      <c r="X7" s="771"/>
      <c r="Y7" s="3242" t="s">
        <v>2500</v>
      </c>
      <c r="Z7" s="3243"/>
      <c r="AA7" s="772">
        <f>D7/F7</f>
        <v>1</v>
      </c>
      <c r="AB7" s="772">
        <f>D7/H7</f>
        <v>1</v>
      </c>
      <c r="AC7" s="772">
        <f>D7/J7</f>
        <v>1</v>
      </c>
    </row>
    <row r="8" spans="1:29" s="117" customFormat="1" ht="15.75" thickBot="1">
      <c r="A8" s="407" t="s">
        <v>2501</v>
      </c>
      <c r="B8" s="408"/>
      <c r="C8" s="413" t="s">
        <v>2602</v>
      </c>
      <c r="D8" s="410">
        <v>100</v>
      </c>
      <c r="E8" s="413" t="s">
        <v>3083</v>
      </c>
      <c r="F8" s="412">
        <f>SUMIF(51:51,E8,52:52)-SUMIF(51:51,C8,52:52)+100</f>
        <v>100</v>
      </c>
      <c r="G8" s="413" t="s">
        <v>3083</v>
      </c>
      <c r="H8" s="410">
        <f>SUMIF(51:51,G8,52:52)-SUMIF(51:51,C8,52:52)+100</f>
        <v>100</v>
      </c>
      <c r="I8" s="413" t="s">
        <v>3083</v>
      </c>
      <c r="J8" s="410">
        <f>SUMIF(51:51,I8,52:52)-SUMIF(51:51,C8,52:52)+100</f>
        <v>100</v>
      </c>
      <c r="K8" s="610"/>
      <c r="L8" s="1131"/>
      <c r="M8" s="1132"/>
      <c r="N8" s="1132"/>
      <c r="O8" s="1132"/>
      <c r="P8" s="3242" t="s">
        <v>2503</v>
      </c>
      <c r="Q8" s="3243"/>
      <c r="R8" s="769" t="s">
        <v>17</v>
      </c>
      <c r="S8" s="770">
        <f t="shared" si="0"/>
        <v>100</v>
      </c>
      <c r="T8" s="769" t="s">
        <v>17</v>
      </c>
      <c r="U8" s="770">
        <f t="shared" si="1"/>
        <v>100</v>
      </c>
      <c r="V8" s="769" t="s">
        <v>17</v>
      </c>
      <c r="W8" s="770">
        <f t="shared" si="2"/>
        <v>100</v>
      </c>
      <c r="X8" s="771"/>
      <c r="Y8" s="3242" t="s">
        <v>2503</v>
      </c>
      <c r="Z8" s="3243"/>
      <c r="AA8" s="772">
        <f t="shared" ref="AA8:AA36" si="3">D8/F8</f>
        <v>1</v>
      </c>
      <c r="AB8" s="772">
        <f t="shared" ref="AB8:AB36" si="4">D8/H8</f>
        <v>1</v>
      </c>
      <c r="AC8" s="772">
        <f t="shared" ref="AC8:AC36" si="5">D8/J8</f>
        <v>1</v>
      </c>
    </row>
    <row r="9" spans="1:29" s="117" customFormat="1">
      <c r="A9" s="68" t="s">
        <v>2504</v>
      </c>
      <c r="B9" s="639" t="s">
        <v>2505</v>
      </c>
      <c r="C9" s="2970" t="s">
        <v>3112</v>
      </c>
      <c r="D9" s="134">
        <v>100</v>
      </c>
      <c r="E9" s="418" t="s">
        <v>3035</v>
      </c>
      <c r="F9" s="134">
        <f>SUMIF(53:53,E9,54:54)-SUMIF(53:53,C9,54:54)+100</f>
        <v>100</v>
      </c>
      <c r="G9" s="416" t="s">
        <v>3035</v>
      </c>
      <c r="H9" s="134">
        <f>SUMIF(53:53,G9,54:54)-SUMIF(53:53,C9,54:54)+100</f>
        <v>100</v>
      </c>
      <c r="I9" s="416" t="s">
        <v>3035</v>
      </c>
      <c r="J9" s="134">
        <f>SUMIF(53:53,I9,54:54)-SUMIF(53:53,C9,54:54)+100</f>
        <v>100</v>
      </c>
      <c r="K9" s="610"/>
      <c r="L9" s="1131"/>
      <c r="M9" s="1132"/>
      <c r="N9" s="1132"/>
      <c r="O9" s="1132"/>
      <c r="P9" s="3213" t="s">
        <v>2506</v>
      </c>
      <c r="Q9" s="1793" t="str">
        <f t="shared" ref="Q9:Q14" si="6">B9</f>
        <v>用途</v>
      </c>
      <c r="R9" s="769" t="s">
        <v>17</v>
      </c>
      <c r="S9" s="770">
        <f t="shared" si="0"/>
        <v>100</v>
      </c>
      <c r="T9" s="769" t="s">
        <v>17</v>
      </c>
      <c r="U9" s="770">
        <f t="shared" si="1"/>
        <v>100</v>
      </c>
      <c r="V9" s="769" t="s">
        <v>17</v>
      </c>
      <c r="W9" s="770">
        <f t="shared" si="2"/>
        <v>100</v>
      </c>
      <c r="X9" s="771"/>
      <c r="Y9" s="3061" t="s">
        <v>2507</v>
      </c>
      <c r="Z9" s="55" t="str">
        <f t="shared" ref="Z9:Z14" si="7">Q9</f>
        <v>用途</v>
      </c>
      <c r="AA9" s="772">
        <f t="shared" si="3"/>
        <v>1</v>
      </c>
      <c r="AB9" s="772">
        <f t="shared" si="4"/>
        <v>1</v>
      </c>
      <c r="AC9" s="772">
        <f t="shared" si="5"/>
        <v>1</v>
      </c>
    </row>
    <row r="10" spans="1:29" s="426" customFormat="1" ht="27">
      <c r="A10" s="640"/>
      <c r="B10" s="641" t="s">
        <v>2508</v>
      </c>
      <c r="C10" s="422" t="s">
        <v>3113</v>
      </c>
      <c r="D10" s="135">
        <v>100</v>
      </c>
      <c r="E10" s="422" t="s">
        <v>3113</v>
      </c>
      <c r="F10" s="135">
        <f>SUMIF(55:55,E10,56:56)-SUMIF(55:55,C10,56:56)+100</f>
        <v>100</v>
      </c>
      <c r="G10" s="423" t="s">
        <v>3113</v>
      </c>
      <c r="H10" s="135">
        <f>SUMIF(55:55,G10,56:56)-SUMIF(55:55,C10,56:56)+100</f>
        <v>100</v>
      </c>
      <c r="I10" s="422" t="s">
        <v>3113</v>
      </c>
      <c r="J10" s="135">
        <f>SUMIF(55:55,I10,56:56)-SUMIF(55:55,C10,56:56)+100</f>
        <v>100</v>
      </c>
      <c r="K10" s="611">
        <v>1</v>
      </c>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642"/>
      <c r="B11" s="643"/>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3"/>
      <c r="Q11" s="1793">
        <f t="shared" si="6"/>
        <v>0</v>
      </c>
      <c r="R11" s="769" t="s">
        <v>17</v>
      </c>
      <c r="S11" s="770">
        <f t="shared" si="0"/>
        <v>100</v>
      </c>
      <c r="T11" s="769" t="s">
        <v>17</v>
      </c>
      <c r="U11" s="770">
        <f t="shared" si="1"/>
        <v>100</v>
      </c>
      <c r="V11" s="769" t="s">
        <v>17</v>
      </c>
      <c r="W11" s="770">
        <f t="shared" si="2"/>
        <v>100</v>
      </c>
      <c r="X11" s="771"/>
      <c r="Y11" s="3061"/>
      <c r="Z11" s="55">
        <f t="shared" si="7"/>
        <v>0</v>
      </c>
      <c r="AA11" s="772">
        <f t="shared" si="3"/>
        <v>1</v>
      </c>
      <c r="AB11" s="772">
        <f t="shared" si="4"/>
        <v>1</v>
      </c>
      <c r="AC11" s="772">
        <f t="shared" si="5"/>
        <v>1</v>
      </c>
    </row>
    <row r="12" spans="1:29" s="117" customFormat="1" ht="15">
      <c r="A12" s="644"/>
      <c r="B12" s="643"/>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3"/>
      <c r="Q12" s="1793">
        <f t="shared" si="6"/>
        <v>0</v>
      </c>
      <c r="R12" s="769" t="s">
        <v>17</v>
      </c>
      <c r="S12" s="770">
        <f t="shared" si="0"/>
        <v>100</v>
      </c>
      <c r="T12" s="769" t="s">
        <v>17</v>
      </c>
      <c r="U12" s="770">
        <f t="shared" si="1"/>
        <v>100</v>
      </c>
      <c r="V12" s="769" t="s">
        <v>17</v>
      </c>
      <c r="W12" s="770">
        <f t="shared" si="2"/>
        <v>100</v>
      </c>
      <c r="X12" s="771"/>
      <c r="Y12" s="3061"/>
      <c r="Z12" s="55">
        <f t="shared" si="7"/>
        <v>0</v>
      </c>
      <c r="AA12" s="772">
        <f>D12/F12</f>
        <v>1</v>
      </c>
      <c r="AB12" s="772">
        <f>D12/H12</f>
        <v>1</v>
      </c>
      <c r="AC12" s="772">
        <f>D12/J12</f>
        <v>1</v>
      </c>
    </row>
    <row r="13" spans="1:29" ht="15.75" thickBot="1">
      <c r="A13" s="645"/>
      <c r="B13" s="643"/>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3"/>
      <c r="Q13" s="1793">
        <f t="shared" si="6"/>
        <v>0</v>
      </c>
      <c r="R13" s="769" t="s">
        <v>17</v>
      </c>
      <c r="S13" s="770">
        <f t="shared" si="0"/>
        <v>100</v>
      </c>
      <c r="T13" s="769" t="s">
        <v>17</v>
      </c>
      <c r="U13" s="770">
        <f t="shared" si="1"/>
        <v>100</v>
      </c>
      <c r="V13" s="769" t="s">
        <v>17</v>
      </c>
      <c r="W13" s="770">
        <f t="shared" si="2"/>
        <v>100</v>
      </c>
      <c r="X13" s="771"/>
      <c r="Y13" s="3061"/>
      <c r="Z13" s="55">
        <f t="shared" si="7"/>
        <v>0</v>
      </c>
      <c r="AA13" s="772">
        <f t="shared" si="3"/>
        <v>1</v>
      </c>
      <c r="AB13" s="772">
        <f t="shared" si="4"/>
        <v>1</v>
      </c>
      <c r="AC13" s="772">
        <f t="shared" si="5"/>
        <v>1</v>
      </c>
    </row>
    <row r="14" spans="1:29" ht="99.75">
      <c r="A14" s="400" t="s">
        <v>2510</v>
      </c>
      <c r="B14" s="628" t="s">
        <v>2659</v>
      </c>
      <c r="C14" s="2689" t="str">
        <f>IF(B1="工业",估价对象房地状况!G4,估价对象房地状况!C6)</f>
        <v>估价对象周边道路状况较好、公共交通通达情况较好、停车便捷程度较好，周边临近8号线德茂站、周边有341/453等公交线路，综合评价交通便捷度较好</v>
      </c>
      <c r="D14" s="440">
        <v>100</v>
      </c>
      <c r="E14" s="2976" t="s">
        <v>3115</v>
      </c>
      <c r="F14" s="442">
        <f>SUMIF(63:63,E15,64:64)-SUMIF(63:63,C15,64:64)+100</f>
        <v>100</v>
      </c>
      <c r="G14" s="443" t="s">
        <v>3050</v>
      </c>
      <c r="H14" s="440">
        <f>SUMIF(63:63,G15,64:64)-SUMIF(63:63,C15,64:64)+100</f>
        <v>100</v>
      </c>
      <c r="I14" s="441" t="s">
        <v>3050</v>
      </c>
      <c r="J14" s="440">
        <f>SUMIF(63:63,I15,64:64)-SUMIF(63:63,C15,64:64)+100</f>
        <v>100</v>
      </c>
      <c r="K14" s="613">
        <v>2</v>
      </c>
      <c r="L14" s="1139"/>
      <c r="M14" s="1130"/>
      <c r="N14" s="1130"/>
      <c r="O14" s="1130"/>
      <c r="P14" s="3215" t="s">
        <v>2511</v>
      </c>
      <c r="Q14" s="1808" t="str">
        <f t="shared" si="6"/>
        <v>交通便捷度</v>
      </c>
      <c r="R14" s="773" t="s">
        <v>17</v>
      </c>
      <c r="S14" s="774">
        <f t="shared" si="0"/>
        <v>100</v>
      </c>
      <c r="T14" s="773" t="s">
        <v>17</v>
      </c>
      <c r="U14" s="774">
        <f t="shared" si="1"/>
        <v>100</v>
      </c>
      <c r="V14" s="773" t="s">
        <v>17</v>
      </c>
      <c r="W14" s="774">
        <f t="shared" si="2"/>
        <v>100</v>
      </c>
      <c r="X14" s="1811"/>
      <c r="Y14" s="3215" t="s">
        <v>2511</v>
      </c>
      <c r="Z14" s="1812" t="str">
        <f t="shared" si="7"/>
        <v>交通便捷度</v>
      </c>
      <c r="AA14" s="1809">
        <f t="shared" si="3"/>
        <v>1</v>
      </c>
      <c r="AB14" s="1809">
        <f t="shared" si="4"/>
        <v>1</v>
      </c>
      <c r="AC14" s="1809">
        <f t="shared" si="5"/>
        <v>1</v>
      </c>
    </row>
    <row r="15" spans="1:29" ht="15">
      <c r="A15" s="403"/>
      <c r="B15" s="646"/>
      <c r="C15" s="446" t="s">
        <v>3081</v>
      </c>
      <c r="D15" s="447"/>
      <c r="E15" s="446" t="s">
        <v>3081</v>
      </c>
      <c r="F15" s="448"/>
      <c r="G15" s="446" t="s">
        <v>3081</v>
      </c>
      <c r="H15" s="449"/>
      <c r="I15" s="446" t="s">
        <v>3081</v>
      </c>
      <c r="J15" s="447"/>
      <c r="K15" s="614"/>
      <c r="L15" s="1139"/>
      <c r="M15" s="1130"/>
      <c r="N15" s="1130"/>
      <c r="O15" s="1130"/>
      <c r="P15" s="3216"/>
      <c r="Q15" s="1808"/>
      <c r="R15" s="773"/>
      <c r="S15" s="774"/>
      <c r="T15" s="773"/>
      <c r="U15" s="774"/>
      <c r="V15" s="773"/>
      <c r="W15" s="774"/>
      <c r="X15" s="1811"/>
      <c r="Y15" s="3216"/>
      <c r="Z15" s="1812"/>
      <c r="AA15" s="1809">
        <v>1</v>
      </c>
      <c r="AB15" s="1809">
        <v>1</v>
      </c>
      <c r="AC15" s="1809">
        <v>1</v>
      </c>
    </row>
    <row r="16" spans="1:29" ht="42.75">
      <c r="A16" s="403"/>
      <c r="B16" s="630" t="s">
        <v>2638</v>
      </c>
      <c r="C16" s="2603" t="str">
        <f>IF(B1="工业",估价对象房地状况!G5,估价对象房地状况!C7)</f>
        <v>估价对象所在区域公共配套设施齐备情况一般</v>
      </c>
      <c r="D16" s="454">
        <v>100</v>
      </c>
      <c r="E16" s="456" t="s">
        <v>3053</v>
      </c>
      <c r="F16" s="457">
        <f>SUMIF(65:65,E17,66:66)-SUMIF(65:65,C17,66:66)+100</f>
        <v>100</v>
      </c>
      <c r="G16" s="458" t="s">
        <v>3053</v>
      </c>
      <c r="H16" s="454">
        <f>SUMIF(65:65,G17,66:66)-SUMIF(65:65,C17,66:66)+100</f>
        <v>100</v>
      </c>
      <c r="I16" s="456" t="s">
        <v>3053</v>
      </c>
      <c r="J16" s="454">
        <f>SUMIF(65:65,I17,66:66)-SUMIF(65:65,C17,66:66)+100</f>
        <v>100</v>
      </c>
      <c r="K16" s="613">
        <v>1</v>
      </c>
      <c r="L16" s="1139"/>
      <c r="M16" s="1130"/>
      <c r="N16" s="1130"/>
      <c r="O16" s="1130"/>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03"/>
      <c r="B17" s="631"/>
      <c r="C17" s="2604" t="s">
        <v>3060</v>
      </c>
      <c r="D17" s="447"/>
      <c r="E17" s="446" t="s">
        <v>3060</v>
      </c>
      <c r="F17" s="448"/>
      <c r="G17" s="446" t="s">
        <v>3060</v>
      </c>
      <c r="H17" s="447"/>
      <c r="I17" s="446" t="s">
        <v>3060</v>
      </c>
      <c r="J17" s="447"/>
      <c r="K17" s="614"/>
      <c r="L17" s="1139"/>
      <c r="M17" s="1130"/>
      <c r="N17" s="1130"/>
      <c r="O17" s="1130"/>
      <c r="P17" s="3216"/>
      <c r="Q17" s="1808"/>
      <c r="R17" s="773"/>
      <c r="S17" s="774"/>
      <c r="T17" s="773"/>
      <c r="U17" s="774"/>
      <c r="V17" s="773"/>
      <c r="W17" s="774"/>
      <c r="X17" s="1811"/>
      <c r="Y17" s="3216"/>
      <c r="Z17" s="1812"/>
      <c r="AA17" s="1809">
        <v>1</v>
      </c>
      <c r="AB17" s="1809">
        <v>1</v>
      </c>
      <c r="AC17" s="1809">
        <v>1</v>
      </c>
    </row>
    <row r="18" spans="1:29" ht="42.75">
      <c r="A18" s="403"/>
      <c r="B18" s="632" t="s">
        <v>2639</v>
      </c>
      <c r="C18" s="2603" t="str">
        <f>IF(B1="工业",估价对象房地状况!G6,估价对象房地状况!C8)</f>
        <v>估价对象所在区域基础设施水平较好</v>
      </c>
      <c r="D18" s="449">
        <v>100</v>
      </c>
      <c r="E18" s="451" t="s">
        <v>3055</v>
      </c>
      <c r="F18" s="457">
        <f>SUMIF(67:67,E19,68:68)-SUMIF(67:67,C19,68:68)+100</f>
        <v>100</v>
      </c>
      <c r="G18" s="453" t="s">
        <v>3055</v>
      </c>
      <c r="H18" s="454">
        <f>SUMIF(67:67,G19,68:68)-SUMIF(67:67,C19,68:68)+100</f>
        <v>100</v>
      </c>
      <c r="I18" s="451" t="s">
        <v>3055</v>
      </c>
      <c r="J18" s="454">
        <f>SUMIF(67:67,I19,68:68)-SUMIF(67:67,C19,68:68)+100</f>
        <v>100</v>
      </c>
      <c r="K18" s="613">
        <v>1</v>
      </c>
      <c r="L18" s="1139"/>
      <c r="M18" s="1130"/>
      <c r="N18" s="1130"/>
      <c r="O18" s="1130"/>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03"/>
      <c r="B19" s="632"/>
      <c r="C19" s="2604" t="s">
        <v>3077</v>
      </c>
      <c r="D19" s="449"/>
      <c r="E19" s="2604" t="s">
        <v>3077</v>
      </c>
      <c r="F19" s="452"/>
      <c r="G19" s="2604" t="s">
        <v>3077</v>
      </c>
      <c r="H19" s="447"/>
      <c r="I19" s="446" t="s">
        <v>3077</v>
      </c>
      <c r="J19" s="447"/>
      <c r="K19" s="1382"/>
      <c r="L19" s="1139"/>
      <c r="M19" s="1130"/>
      <c r="N19" s="1130"/>
      <c r="O19" s="1130"/>
      <c r="P19" s="3216"/>
      <c r="Q19" s="1808"/>
      <c r="R19" s="773"/>
      <c r="S19" s="774"/>
      <c r="T19" s="773"/>
      <c r="U19" s="774"/>
      <c r="V19" s="773"/>
      <c r="W19" s="774"/>
      <c r="X19" s="1811"/>
      <c r="Y19" s="3216"/>
      <c r="Z19" s="1812"/>
      <c r="AA19" s="1809">
        <v>1</v>
      </c>
      <c r="AB19" s="1809">
        <v>1</v>
      </c>
      <c r="AC19" s="1809">
        <v>1</v>
      </c>
    </row>
    <row r="20" spans="1:29" ht="85.5">
      <c r="A20" s="403"/>
      <c r="B20" s="630" t="s">
        <v>2660</v>
      </c>
      <c r="C20" s="2603" t="str">
        <f>IF(B1="工业",估价对象房地状况!G7,估价对象房地状况!C9)</f>
        <v>区域自然环境好；人文环境较好；周边有南海子公园等，综合评价环境状况较好</v>
      </c>
      <c r="D20" s="454">
        <v>100</v>
      </c>
      <c r="E20" s="2977" t="s">
        <v>3116</v>
      </c>
      <c r="F20" s="457">
        <f>SUMIF(69:69,E21,70:70)-SUMIF(69:69,C21,70:70)+100</f>
        <v>100</v>
      </c>
      <c r="G20" s="458" t="s">
        <v>3057</v>
      </c>
      <c r="H20" s="449">
        <f>SUMIF(69:69,G21,70:70)-SUMIF(69:69,C21,70:70)+100</f>
        <v>100</v>
      </c>
      <c r="I20" s="451" t="s">
        <v>3057</v>
      </c>
      <c r="J20" s="449">
        <f>SUMIF(69:69,I21,70:70)-SUMIF(69:69,C21,70:70)+100</f>
        <v>100</v>
      </c>
      <c r="K20" s="613">
        <v>1</v>
      </c>
      <c r="L20" s="1139"/>
      <c r="M20" s="1130"/>
      <c r="N20" s="1130"/>
      <c r="O20" s="1130"/>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03"/>
      <c r="B21" s="631"/>
      <c r="C21" s="446" t="s">
        <v>3081</v>
      </c>
      <c r="D21" s="447"/>
      <c r="E21" s="446" t="s">
        <v>3081</v>
      </c>
      <c r="F21" s="448"/>
      <c r="G21" s="446" t="s">
        <v>3081</v>
      </c>
      <c r="H21" s="447"/>
      <c r="I21" s="446" t="s">
        <v>3081</v>
      </c>
      <c r="J21" s="447"/>
      <c r="K21" s="614"/>
      <c r="L21" s="1139"/>
      <c r="M21" s="1130"/>
      <c r="N21" s="1130"/>
      <c r="O21" s="1130"/>
      <c r="P21" s="3216"/>
      <c r="Q21" s="1808"/>
      <c r="R21" s="773"/>
      <c r="S21" s="774"/>
      <c r="T21" s="773"/>
      <c r="U21" s="774"/>
      <c r="V21" s="773"/>
      <c r="W21" s="774"/>
      <c r="X21" s="1811"/>
      <c r="Y21" s="3216"/>
      <c r="Z21" s="1812"/>
      <c r="AA21" s="1809">
        <v>1</v>
      </c>
      <c r="AB21" s="1809">
        <v>1</v>
      </c>
      <c r="AC21" s="1809">
        <v>1</v>
      </c>
    </row>
    <row r="22" spans="1:29" ht="15">
      <c r="A22" s="403"/>
      <c r="B22" s="630" t="s">
        <v>2661</v>
      </c>
      <c r="C22" s="615" t="s">
        <v>3104</v>
      </c>
      <c r="D22" s="449">
        <v>100</v>
      </c>
      <c r="E22" s="615" t="s">
        <v>3104</v>
      </c>
      <c r="F22" s="460">
        <f>SUMIF(71:71,E22,72:72)-SUMIF(71:71,C22,72:72)+100</f>
        <v>100</v>
      </c>
      <c r="G22" s="615" t="s">
        <v>3104</v>
      </c>
      <c r="H22" s="434">
        <f>SUMIF(71:71,G22,72:72)-SUMIF(71:71,C22,72:72)+100</f>
        <v>100</v>
      </c>
      <c r="I22" s="615" t="s">
        <v>3104</v>
      </c>
      <c r="J22" s="434">
        <f>SUMIF(71:71,I22,72:72)-SUMIF(71:71,C22,72:72)+100</f>
        <v>100</v>
      </c>
      <c r="K22" s="611">
        <v>1</v>
      </c>
      <c r="L22" s="1139"/>
      <c r="M22" s="1130"/>
      <c r="N22" s="1130"/>
      <c r="O22" s="1130"/>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3"/>
      <c r="B23" s="647"/>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6"/>
      <c r="Q23" s="1808">
        <f>B23</f>
        <v>0</v>
      </c>
      <c r="R23" s="773" t="s">
        <v>17</v>
      </c>
      <c r="S23" s="774">
        <f>F23</f>
        <v>100</v>
      </c>
      <c r="T23" s="773" t="s">
        <v>17</v>
      </c>
      <c r="U23" s="774">
        <f>H23</f>
        <v>100</v>
      </c>
      <c r="V23" s="773" t="s">
        <v>17</v>
      </c>
      <c r="W23" s="774">
        <f>J23</f>
        <v>100</v>
      </c>
      <c r="X23" s="1811"/>
      <c r="Y23" s="3216"/>
      <c r="Z23" s="1812">
        <f>Q23</f>
        <v>0</v>
      </c>
      <c r="AA23" s="1809">
        <f t="shared" si="3"/>
        <v>1</v>
      </c>
      <c r="AB23" s="1809">
        <f t="shared" si="4"/>
        <v>1</v>
      </c>
      <c r="AC23" s="1809">
        <f t="shared" si="5"/>
        <v>1</v>
      </c>
    </row>
    <row r="24" spans="1:29" ht="15">
      <c r="A24" s="403"/>
      <c r="B24" s="647"/>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6"/>
      <c r="Q24" s="1808">
        <f t="shared" ref="Q24:Q36" si="11">B24</f>
        <v>0</v>
      </c>
      <c r="R24" s="773" t="s">
        <v>17</v>
      </c>
      <c r="S24" s="774">
        <f>F24</f>
        <v>100</v>
      </c>
      <c r="T24" s="773" t="s">
        <v>17</v>
      </c>
      <c r="U24" s="774">
        <f>H24</f>
        <v>100</v>
      </c>
      <c r="V24" s="773" t="s">
        <v>17</v>
      </c>
      <c r="W24" s="774">
        <f>J24</f>
        <v>100</v>
      </c>
      <c r="X24" s="1811"/>
      <c r="Y24" s="3216"/>
      <c r="Z24" s="1812">
        <f>Q24</f>
        <v>0</v>
      </c>
      <c r="AA24" s="1809">
        <f t="shared" si="3"/>
        <v>1</v>
      </c>
      <c r="AB24" s="1809">
        <f t="shared" si="4"/>
        <v>1</v>
      </c>
      <c r="AC24" s="1809">
        <f t="shared" si="5"/>
        <v>1</v>
      </c>
    </row>
    <row r="25" spans="1:29" s="117" customFormat="1" ht="15.75" thickBot="1">
      <c r="A25" s="648"/>
      <c r="B25" s="634"/>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6"/>
      <c r="Q25" s="1793">
        <f t="shared" si="11"/>
        <v>0</v>
      </c>
      <c r="R25" s="769" t="s">
        <v>17</v>
      </c>
      <c r="S25" s="770">
        <f>F25</f>
        <v>100</v>
      </c>
      <c r="T25" s="769" t="s">
        <v>17</v>
      </c>
      <c r="U25" s="770">
        <f>H25</f>
        <v>100</v>
      </c>
      <c r="V25" s="769" t="s">
        <v>17</v>
      </c>
      <c r="W25" s="770">
        <f>J25</f>
        <v>100</v>
      </c>
      <c r="X25" s="771"/>
      <c r="Y25" s="3216"/>
      <c r="Z25" s="55">
        <f>Q25</f>
        <v>0</v>
      </c>
      <c r="AA25" s="1809">
        <f>D25/F25</f>
        <v>1</v>
      </c>
      <c r="AB25" s="1809">
        <f>D25/H25</f>
        <v>1</v>
      </c>
      <c r="AC25" s="1809">
        <f>D25/J25</f>
        <v>1</v>
      </c>
    </row>
    <row r="26" spans="1:29" ht="28.5">
      <c r="A26" s="651" t="s">
        <v>2514</v>
      </c>
      <c r="B26" s="70" t="s">
        <v>2662</v>
      </c>
      <c r="C26" s="2690" t="str">
        <f>B1</f>
        <v>车库</v>
      </c>
      <c r="D26" s="447">
        <v>100</v>
      </c>
      <c r="E26" s="446" t="s">
        <v>3038</v>
      </c>
      <c r="F26" s="448">
        <f>SUMIF(79:79,E26,80:80)-SUMIF(79:79,C26,80:80)+100</f>
        <v>100</v>
      </c>
      <c r="G26" s="446" t="s">
        <v>3038</v>
      </c>
      <c r="H26" s="447">
        <f>SUMIF(79:79,G26,80:80)-SUMIF(79:79,C26,80:80)+100</f>
        <v>100</v>
      </c>
      <c r="I26" s="446" t="s">
        <v>3038</v>
      </c>
      <c r="J26" s="447">
        <f>SUMIF(79:79,I26,80:80)-SUMIF(79:79,C26,80:80)+100</f>
        <v>100</v>
      </c>
      <c r="K26" s="611">
        <v>1</v>
      </c>
      <c r="L26" s="1139"/>
      <c r="M26" s="1130"/>
      <c r="N26" s="1130"/>
      <c r="O26" s="1130"/>
      <c r="P26" s="3217" t="s">
        <v>2516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8" t="s">
        <v>2516</v>
      </c>
      <c r="Z26" s="1812" t="str">
        <f t="shared" ref="Z26:Z36" si="15">Q26</f>
        <v>配套类型</v>
      </c>
      <c r="AA26" s="1809">
        <f t="shared" si="3"/>
        <v>1</v>
      </c>
      <c r="AB26" s="1809">
        <f t="shared" si="4"/>
        <v>1</v>
      </c>
      <c r="AC26" s="1809">
        <f t="shared" si="5"/>
        <v>1</v>
      </c>
    </row>
    <row r="27" spans="1:29" s="470" customFormat="1" ht="15">
      <c r="A27" s="652"/>
      <c r="B27" s="653" t="s">
        <v>2663</v>
      </c>
      <c r="C27" s="654" t="s">
        <v>3106</v>
      </c>
      <c r="D27" s="135">
        <v>100</v>
      </c>
      <c r="E27" s="654" t="s">
        <v>3106</v>
      </c>
      <c r="F27" s="460">
        <f>SUMIF(81:81,E27,82:82)-SUMIF(81:81,C27,82:82)+100</f>
        <v>100</v>
      </c>
      <c r="G27" s="654" t="s">
        <v>70</v>
      </c>
      <c r="H27" s="434">
        <f>SUMIF(81:81,G27,82:82)-SUMIF(81:81,C27,82:82)+100</f>
        <v>100</v>
      </c>
      <c r="I27" s="654" t="s">
        <v>70</v>
      </c>
      <c r="J27" s="434">
        <f>SUMIF(81:81,I27,82:82)-SUMIF(81:81,C27,82:82)+100</f>
        <v>100</v>
      </c>
      <c r="K27" s="612"/>
      <c r="L27" s="1137"/>
      <c r="M27" s="1140"/>
      <c r="N27" s="1140"/>
      <c r="O27" s="1140"/>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09">
        <f t="shared" si="3"/>
        <v>1</v>
      </c>
      <c r="AB27" s="1809">
        <f t="shared" si="4"/>
        <v>1</v>
      </c>
      <c r="AC27" s="1809">
        <f t="shared" si="5"/>
        <v>1</v>
      </c>
    </row>
    <row r="28" spans="1:29" ht="15">
      <c r="A28" s="655"/>
      <c r="B28" s="653" t="s">
        <v>2664</v>
      </c>
      <c r="C28" s="459" t="s">
        <v>3073</v>
      </c>
      <c r="D28" s="434">
        <v>100</v>
      </c>
      <c r="E28" s="459" t="s">
        <v>3073</v>
      </c>
      <c r="F28" s="460">
        <f>SUMIF(83:83,E28,84:84)-SUMIF(83:83,C28,84:84)+100</f>
        <v>100</v>
      </c>
      <c r="G28" s="459" t="s">
        <v>3073</v>
      </c>
      <c r="H28" s="434">
        <f>SUMIF(83:83,G28,84:84)-SUMIF(83:83,C28,84:84)+100</f>
        <v>100</v>
      </c>
      <c r="I28" s="459" t="s">
        <v>3073</v>
      </c>
      <c r="J28" s="434">
        <f>SUMIF(83:83,I28,84:84)-SUMIF(83:83,C28,84:84)+100</f>
        <v>100</v>
      </c>
      <c r="K28" s="611">
        <v>1</v>
      </c>
      <c r="L28" s="1139"/>
      <c r="M28" s="1130"/>
      <c r="N28" s="1130"/>
      <c r="O28" s="1130"/>
      <c r="P28" s="3218"/>
      <c r="Q28" s="1808" t="str">
        <f t="shared" si="11"/>
        <v>公共部分装修</v>
      </c>
      <c r="R28" s="773" t="s">
        <v>17</v>
      </c>
      <c r="S28" s="774">
        <f t="shared" si="12"/>
        <v>100</v>
      </c>
      <c r="T28" s="773" t="s">
        <v>17</v>
      </c>
      <c r="U28" s="774">
        <f t="shared" si="13"/>
        <v>100</v>
      </c>
      <c r="V28" s="773" t="s">
        <v>17</v>
      </c>
      <c r="W28" s="774">
        <f t="shared" si="14"/>
        <v>100</v>
      </c>
      <c r="X28" s="1811"/>
      <c r="Y28" s="3218"/>
      <c r="Z28" s="1812" t="str">
        <f t="shared" si="15"/>
        <v>公共部分装修</v>
      </c>
      <c r="AA28" s="1809">
        <f t="shared" si="3"/>
        <v>1</v>
      </c>
      <c r="AB28" s="1809">
        <f t="shared" si="4"/>
        <v>1</v>
      </c>
      <c r="AC28" s="1809">
        <f t="shared" si="5"/>
        <v>1</v>
      </c>
    </row>
    <row r="29" spans="1:29" ht="15">
      <c r="A29" s="655"/>
      <c r="B29" s="653" t="s">
        <v>2665</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9"/>
      <c r="M29" s="1130"/>
      <c r="N29" s="1130"/>
      <c r="O29" s="1130"/>
      <c r="P29" s="3218"/>
      <c r="Q29" s="1808" t="str">
        <f t="shared" si="11"/>
        <v>成新率</v>
      </c>
      <c r="R29" s="773" t="s">
        <v>17</v>
      </c>
      <c r="S29" s="774">
        <f t="shared" si="12"/>
        <v>100</v>
      </c>
      <c r="T29" s="773" t="s">
        <v>17</v>
      </c>
      <c r="U29" s="774">
        <f t="shared" si="13"/>
        <v>100</v>
      </c>
      <c r="V29" s="773" t="s">
        <v>17</v>
      </c>
      <c r="W29" s="774">
        <f t="shared" si="14"/>
        <v>100</v>
      </c>
      <c r="X29" s="1811"/>
      <c r="Y29" s="3218"/>
      <c r="Z29" s="1812" t="str">
        <f t="shared" si="15"/>
        <v>成新率</v>
      </c>
      <c r="AA29" s="1809">
        <f t="shared" si="3"/>
        <v>1</v>
      </c>
      <c r="AB29" s="1809">
        <f t="shared" si="4"/>
        <v>1</v>
      </c>
      <c r="AC29" s="1809">
        <f t="shared" si="5"/>
        <v>1</v>
      </c>
    </row>
    <row r="30" spans="1:29" ht="15">
      <c r="A30" s="655"/>
      <c r="B30" s="653" t="s">
        <v>2666</v>
      </c>
      <c r="C30" s="656" t="s">
        <v>3075</v>
      </c>
      <c r="D30" s="434">
        <v>100</v>
      </c>
      <c r="E30" s="656" t="s">
        <v>3075</v>
      </c>
      <c r="F30" s="460">
        <f>SUMIF(88:88,E30,89:89)-SUMIF(88:88,C30,89:89)+100</f>
        <v>100</v>
      </c>
      <c r="G30" s="656" t="s">
        <v>3075</v>
      </c>
      <c r="H30" s="434">
        <f>SUMIF(88:88,E30,89:89)-SUMIF(88:88,C30,89:89)+100</f>
        <v>100</v>
      </c>
      <c r="I30" s="656" t="s">
        <v>3075</v>
      </c>
      <c r="J30" s="434">
        <f>SUMIF(88:88,E30,89:89)-SUMIF(88:88,C30,89:89)+100</f>
        <v>100</v>
      </c>
      <c r="K30" s="611">
        <v>1</v>
      </c>
      <c r="L30" s="1139"/>
      <c r="M30" s="1130"/>
      <c r="N30" s="1130"/>
      <c r="O30" s="1130"/>
      <c r="P30" s="3218"/>
      <c r="Q30" s="1808" t="str">
        <f t="shared" si="11"/>
        <v>物业等级</v>
      </c>
      <c r="R30" s="773" t="s">
        <v>17</v>
      </c>
      <c r="S30" s="774">
        <f t="shared" si="12"/>
        <v>100</v>
      </c>
      <c r="T30" s="773" t="s">
        <v>17</v>
      </c>
      <c r="U30" s="774">
        <f t="shared" si="13"/>
        <v>100</v>
      </c>
      <c r="V30" s="773" t="s">
        <v>17</v>
      </c>
      <c r="W30" s="774">
        <f t="shared" si="14"/>
        <v>100</v>
      </c>
      <c r="X30" s="1811"/>
      <c r="Y30" s="3218"/>
      <c r="Z30" s="1812" t="str">
        <f t="shared" si="15"/>
        <v>物业等级</v>
      </c>
      <c r="AA30" s="1809">
        <f t="shared" si="3"/>
        <v>1</v>
      </c>
      <c r="AB30" s="1809">
        <f t="shared" si="4"/>
        <v>1</v>
      </c>
      <c r="AC30" s="1809">
        <f t="shared" si="5"/>
        <v>1</v>
      </c>
    </row>
    <row r="31" spans="1:29" s="117" customFormat="1" ht="15">
      <c r="A31" s="657"/>
      <c r="B31" s="653" t="s">
        <v>2667</v>
      </c>
      <c r="C31" s="468">
        <v>45</v>
      </c>
      <c r="D31" s="135">
        <v>100</v>
      </c>
      <c r="E31" s="468">
        <v>39</v>
      </c>
      <c r="F31" s="460">
        <f>LOOKUP(E31,91:91,92:92)-LOOKUP(C31,91:91,92:92)+100</f>
        <v>99</v>
      </c>
      <c r="G31" s="468">
        <v>36</v>
      </c>
      <c r="H31" s="434">
        <f>LOOKUP(G31,91:91,92:92)-LOOKUP(C31,91:91,92:92)+100</f>
        <v>99</v>
      </c>
      <c r="I31" s="468">
        <v>28</v>
      </c>
      <c r="J31" s="434">
        <f>LOOKUP(I31,91:91,92:92)-LOOKUP(C31,91:91,92:92)+100</f>
        <v>99</v>
      </c>
      <c r="K31" s="611">
        <v>1</v>
      </c>
      <c r="L31" s="1131"/>
      <c r="M31" s="1132"/>
      <c r="N31" s="1132"/>
      <c r="O31" s="1132"/>
      <c r="P31" s="3218"/>
      <c r="Q31" s="1793" t="str">
        <f t="shared" si="11"/>
        <v>停车位面积</v>
      </c>
      <c r="R31" s="769" t="s">
        <v>17</v>
      </c>
      <c r="S31" s="770">
        <f t="shared" si="12"/>
        <v>99</v>
      </c>
      <c r="T31" s="769" t="s">
        <v>17</v>
      </c>
      <c r="U31" s="770">
        <f t="shared" si="13"/>
        <v>99</v>
      </c>
      <c r="V31" s="769" t="s">
        <v>17</v>
      </c>
      <c r="W31" s="770">
        <f t="shared" si="14"/>
        <v>99</v>
      </c>
      <c r="X31" s="771"/>
      <c r="Y31" s="3218"/>
      <c r="Z31" s="55" t="str">
        <f t="shared" si="15"/>
        <v>停车位面积</v>
      </c>
      <c r="AA31" s="772">
        <f t="shared" si="3"/>
        <v>1.0101010101010102</v>
      </c>
      <c r="AB31" s="772">
        <f t="shared" si="4"/>
        <v>1.0101010101010102</v>
      </c>
      <c r="AC31" s="772">
        <f t="shared" si="5"/>
        <v>1.0101010101010102</v>
      </c>
    </row>
    <row r="32" spans="1:29" ht="15">
      <c r="A32" s="655"/>
      <c r="B32" s="653" t="s">
        <v>2668</v>
      </c>
      <c r="C32" s="459" t="s">
        <v>3109</v>
      </c>
      <c r="D32" s="434">
        <v>100</v>
      </c>
      <c r="E32" s="459" t="s">
        <v>3109</v>
      </c>
      <c r="F32" s="460">
        <f>SUMIF(93:93,E32,94:94)-SUMIF(93:93,C32,94:94)+100</f>
        <v>100</v>
      </c>
      <c r="G32" s="459" t="s">
        <v>3109</v>
      </c>
      <c r="H32" s="434">
        <f>SUMIF(93:93,G32,94:94)-SUMIF(93:93,C32,94:94)+100</f>
        <v>100</v>
      </c>
      <c r="I32" s="459" t="s">
        <v>3109</v>
      </c>
      <c r="J32" s="434">
        <f>SUMIF(93:93,I32,94:94)-SUMIF(93:93,C32,94:94)+100</f>
        <v>100</v>
      </c>
      <c r="K32" s="611">
        <v>1</v>
      </c>
      <c r="L32" s="1139"/>
      <c r="M32" s="1130"/>
      <c r="N32" s="1130"/>
      <c r="O32" s="1130"/>
      <c r="P32" s="3218" t="s">
        <v>2516</v>
      </c>
      <c r="Q32" s="1808" t="str">
        <f t="shared" si="11"/>
        <v>车位类型</v>
      </c>
      <c r="R32" s="773" t="s">
        <v>17</v>
      </c>
      <c r="S32" s="774">
        <f t="shared" si="12"/>
        <v>100</v>
      </c>
      <c r="T32" s="773" t="s">
        <v>17</v>
      </c>
      <c r="U32" s="774">
        <f t="shared" si="13"/>
        <v>100</v>
      </c>
      <c r="V32" s="773" t="s">
        <v>17</v>
      </c>
      <c r="W32" s="774">
        <f t="shared" si="14"/>
        <v>100</v>
      </c>
      <c r="X32" s="1811"/>
      <c r="Y32" s="3218" t="s">
        <v>2516</v>
      </c>
      <c r="Z32" s="1812" t="str">
        <f t="shared" si="15"/>
        <v>车位类型</v>
      </c>
      <c r="AA32" s="1809">
        <f t="shared" si="3"/>
        <v>1</v>
      </c>
      <c r="AB32" s="1809">
        <f t="shared" si="4"/>
        <v>1</v>
      </c>
      <c r="AC32" s="1809">
        <f t="shared" si="5"/>
        <v>1</v>
      </c>
    </row>
    <row r="33" spans="1:29" ht="15">
      <c r="A33" s="655"/>
      <c r="B33" s="653" t="s">
        <v>2669</v>
      </c>
      <c r="C33" s="459" t="s">
        <v>3014</v>
      </c>
      <c r="D33" s="434">
        <v>100</v>
      </c>
      <c r="E33" s="459" t="s">
        <v>3014</v>
      </c>
      <c r="F33" s="460">
        <f>SUMIF(95:95,E33,96:96)-SUMIF(95:95,C33,96:96)+100</f>
        <v>100</v>
      </c>
      <c r="G33" s="459" t="s">
        <v>3014</v>
      </c>
      <c r="H33" s="434">
        <f>SUMIF(95:95,G33,96:96)-SUMIF(95:95,C33,96:96)+100</f>
        <v>100</v>
      </c>
      <c r="I33" s="459" t="s">
        <v>3014</v>
      </c>
      <c r="J33" s="434">
        <f>SUMIF(95:95,I33,96:96)-SUMIF(95:95,C33,96:96)+100</f>
        <v>100</v>
      </c>
      <c r="K33" s="611">
        <v>1</v>
      </c>
      <c r="L33" s="1139"/>
      <c r="M33" s="1130"/>
      <c r="N33" s="1130"/>
      <c r="O33" s="1130"/>
      <c r="P33" s="3218"/>
      <c r="Q33" s="1808" t="str">
        <f t="shared" si="11"/>
        <v>是否直接入户</v>
      </c>
      <c r="R33" s="773" t="s">
        <v>17</v>
      </c>
      <c r="S33" s="774">
        <f t="shared" si="12"/>
        <v>100</v>
      </c>
      <c r="T33" s="773" t="s">
        <v>17</v>
      </c>
      <c r="U33" s="774">
        <f t="shared" si="13"/>
        <v>100</v>
      </c>
      <c r="V33" s="773" t="s">
        <v>17</v>
      </c>
      <c r="W33" s="774">
        <f t="shared" si="14"/>
        <v>100</v>
      </c>
      <c r="X33" s="1811"/>
      <c r="Y33" s="3218"/>
      <c r="Z33" s="1812" t="str">
        <f t="shared" si="15"/>
        <v>是否直接入户</v>
      </c>
      <c r="AA33" s="1809">
        <f t="shared" si="3"/>
        <v>1</v>
      </c>
      <c r="AB33" s="1809">
        <f t="shared" si="4"/>
        <v>1</v>
      </c>
      <c r="AC33" s="1809">
        <f t="shared" si="5"/>
        <v>1</v>
      </c>
    </row>
    <row r="34" spans="1:29" ht="15">
      <c r="A34" s="655"/>
      <c r="B34" s="647"/>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8"/>
      <c r="Q34" s="1808">
        <f t="shared" si="11"/>
        <v>0</v>
      </c>
      <c r="R34" s="773" t="s">
        <v>17</v>
      </c>
      <c r="S34" s="774">
        <f t="shared" si="12"/>
        <v>100</v>
      </c>
      <c r="T34" s="773" t="s">
        <v>17</v>
      </c>
      <c r="U34" s="774">
        <f t="shared" si="13"/>
        <v>100</v>
      </c>
      <c r="V34" s="773" t="s">
        <v>17</v>
      </c>
      <c r="W34" s="774">
        <f t="shared" si="14"/>
        <v>100</v>
      </c>
      <c r="X34" s="1811"/>
      <c r="Y34" s="3218"/>
      <c r="Z34" s="1812">
        <f t="shared" si="15"/>
        <v>0</v>
      </c>
      <c r="AA34" s="1809">
        <f t="shared" si="3"/>
        <v>1</v>
      </c>
      <c r="AB34" s="1809">
        <f t="shared" si="4"/>
        <v>1</v>
      </c>
      <c r="AC34" s="1809">
        <f t="shared" si="5"/>
        <v>1</v>
      </c>
    </row>
    <row r="35" spans="1:29" s="470" customFormat="1" ht="15">
      <c r="A35" s="652"/>
      <c r="B35" s="647"/>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8"/>
      <c r="Q35" s="775">
        <f t="shared" si="11"/>
        <v>0</v>
      </c>
      <c r="R35" s="776" t="s">
        <v>17</v>
      </c>
      <c r="S35" s="777">
        <f t="shared" si="12"/>
        <v>100</v>
      </c>
      <c r="T35" s="776" t="s">
        <v>17</v>
      </c>
      <c r="U35" s="777">
        <f t="shared" si="13"/>
        <v>100</v>
      </c>
      <c r="V35" s="776" t="s">
        <v>17</v>
      </c>
      <c r="W35" s="777">
        <f t="shared" si="14"/>
        <v>100</v>
      </c>
      <c r="X35" s="778"/>
      <c r="Y35" s="3218"/>
      <c r="Z35" s="779">
        <f t="shared" si="15"/>
        <v>0</v>
      </c>
      <c r="AA35" s="1809">
        <f t="shared" si="3"/>
        <v>1</v>
      </c>
      <c r="AB35" s="1809">
        <f t="shared" si="4"/>
        <v>1</v>
      </c>
      <c r="AC35" s="1809">
        <f t="shared" si="5"/>
        <v>1</v>
      </c>
    </row>
    <row r="36" spans="1:29" ht="15.75" thickBot="1">
      <c r="A36" s="658"/>
      <c r="B36" s="634"/>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8"/>
      <c r="Q36" s="1808">
        <f t="shared" si="11"/>
        <v>0</v>
      </c>
      <c r="R36" s="773" t="s">
        <v>17</v>
      </c>
      <c r="S36" s="774">
        <f t="shared" si="12"/>
        <v>100</v>
      </c>
      <c r="T36" s="773" t="s">
        <v>17</v>
      </c>
      <c r="U36" s="774">
        <f t="shared" si="13"/>
        <v>100</v>
      </c>
      <c r="V36" s="773" t="s">
        <v>17</v>
      </c>
      <c r="W36" s="774">
        <f t="shared" si="14"/>
        <v>100</v>
      </c>
      <c r="X36" s="1811"/>
      <c r="Y36" s="3218"/>
      <c r="Z36" s="1812">
        <f t="shared" si="15"/>
        <v>0</v>
      </c>
      <c r="AA36" s="1809">
        <f t="shared" si="3"/>
        <v>1</v>
      </c>
      <c r="AB36" s="1809">
        <f t="shared" si="4"/>
        <v>1</v>
      </c>
      <c r="AC36" s="1809">
        <f t="shared" si="5"/>
        <v>1</v>
      </c>
    </row>
    <row r="37" spans="1:29" ht="15">
      <c r="A37" s="478" t="s">
        <v>2670</v>
      </c>
      <c r="B37" s="2691" t="s">
        <v>2671</v>
      </c>
      <c r="C37" s="1406" t="s">
        <v>1</v>
      </c>
      <c r="D37" s="1407"/>
      <c r="E37" s="1408">
        <v>175200</v>
      </c>
      <c r="F37" s="1409"/>
      <c r="G37" s="1410">
        <v>176300</v>
      </c>
      <c r="H37" s="1411"/>
      <c r="I37" s="1408">
        <v>183200</v>
      </c>
      <c r="J37" s="1411"/>
      <c r="K37" s="618"/>
      <c r="L37" s="1142"/>
      <c r="M37" s="1143"/>
      <c r="N37" s="1130"/>
      <c r="O37" s="1143"/>
      <c r="P37" s="3213" t="str">
        <f>A37</f>
        <v>成交单价</v>
      </c>
      <c r="Q37" s="3213"/>
      <c r="R37" s="3254">
        <f>E37</f>
        <v>175200</v>
      </c>
      <c r="S37" s="3254"/>
      <c r="T37" s="3254">
        <f>G37</f>
        <v>176300</v>
      </c>
      <c r="U37" s="3254"/>
      <c r="V37" s="3254">
        <f>I37</f>
        <v>183200</v>
      </c>
      <c r="W37" s="3254"/>
      <c r="X37" s="758"/>
      <c r="Y37" s="780"/>
      <c r="Z37" s="758"/>
      <c r="AA37" s="758"/>
      <c r="AB37" s="758"/>
      <c r="AC37" s="758"/>
    </row>
    <row r="38" spans="1:29" ht="15.75" thickBot="1">
      <c r="A38" s="485" t="s">
        <v>2672</v>
      </c>
      <c r="B38" s="486" t="str">
        <f>B37</f>
        <v>元/车位</v>
      </c>
      <c r="C38" s="1412">
        <f>R39</f>
        <v>180034</v>
      </c>
      <c r="D38" s="1413"/>
      <c r="E38" s="1414">
        <f>R38</f>
        <v>176970</v>
      </c>
      <c r="F38" s="1414"/>
      <c r="G38" s="1412">
        <f>T38</f>
        <v>178081</v>
      </c>
      <c r="H38" s="1413"/>
      <c r="I38" s="1414">
        <f>V38</f>
        <v>185051</v>
      </c>
      <c r="J38" s="1413"/>
      <c r="K38" s="619"/>
      <c r="L38" s="1142"/>
      <c r="M38" s="1143"/>
      <c r="N38" s="1143"/>
      <c r="O38" s="1143"/>
      <c r="P38" s="3213" t="str">
        <f>A38</f>
        <v>比较价值（元/平方米）</v>
      </c>
      <c r="Q38" s="3213"/>
      <c r="R38" s="3254">
        <f>IF(F1="售价",ROUND(PRODUCT(R37,AA7:AA36),0),ROUND(PRODUCT(R37,AA7:AA36),1))</f>
        <v>176970</v>
      </c>
      <c r="S38" s="3254"/>
      <c r="T38" s="3254">
        <f>IF(F1="售价",ROUND(PRODUCT(T37,AB7:AB36),0),ROUND(PRODUCT(T37,AB7:AB36),1))</f>
        <v>178081</v>
      </c>
      <c r="U38" s="3254"/>
      <c r="V38" s="3254">
        <f>IF(F1="售价",ROUND(PRODUCT(V37,AC7:AC36),0),ROUND(PRODUCT(V37,AC7:AC36),1))</f>
        <v>185051</v>
      </c>
      <c r="W38" s="3254"/>
      <c r="X38" s="758"/>
      <c r="Y38" s="758"/>
      <c r="Z38" s="758"/>
      <c r="AA38" s="758"/>
      <c r="AB38" s="758"/>
      <c r="AC38" s="758"/>
    </row>
    <row r="39" spans="1:29" ht="15.75" thickBot="1">
      <c r="A39" s="491" t="s">
        <v>3103</v>
      </c>
      <c r="B39" s="492"/>
      <c r="C39" s="1416">
        <f>R39</f>
        <v>180034</v>
      </c>
      <c r="D39" s="1416"/>
      <c r="E39" s="1416"/>
      <c r="F39" s="1416"/>
      <c r="G39" s="1416"/>
      <c r="H39" s="1416"/>
      <c r="I39" s="1416"/>
      <c r="J39" s="1416"/>
      <c r="K39" s="620"/>
      <c r="L39" s="1142"/>
      <c r="M39" s="1143"/>
      <c r="N39" s="1143"/>
      <c r="O39" s="1143"/>
      <c r="P39" s="3207" t="str">
        <f>A39</f>
        <v>估价对象地下车位用房的比较价值（楼面单价，元/平方米）</v>
      </c>
      <c r="Q39" s="3208"/>
      <c r="R39" s="3253">
        <f>IF(F1="售价",ROUND(AVERAGE(R38:V38),0),ROUND(AVERAGE(R38:V38),1))</f>
        <v>180034</v>
      </c>
      <c r="S39" s="3253"/>
      <c r="T39" s="3253"/>
      <c r="U39" s="3253"/>
      <c r="V39" s="3253"/>
      <c r="W39" s="325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2673</v>
      </c>
      <c r="D42" s="497"/>
      <c r="E42" s="498">
        <f>IF(E37&lt;E38,E38/E37-1,E37/E38-1)</f>
        <v>1.0102739726027377E-2</v>
      </c>
      <c r="F42" s="499" t="str">
        <f>IF(OR(E42&gt;=0.3,E42&lt;=-0.3),"超过30%","")</f>
        <v/>
      </c>
      <c r="G42" s="498">
        <f>IF(G37&lt;G38,G38/G37-1,G37/G38-1)</f>
        <v>1.0102098695405459E-2</v>
      </c>
      <c r="H42" s="499" t="str">
        <f>IF(OR(G42&gt;=0.3,G42&lt;=-0.3),"超过30%","")</f>
        <v/>
      </c>
      <c r="I42" s="498">
        <f>IF(I37&lt;I38,I38/I37-1,I37/I38-1)</f>
        <v>1.0103711790393044E-2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2674</v>
      </c>
      <c r="D43" s="500"/>
      <c r="E43" s="498">
        <f>IF(E38&lt;G38,G38/E38-1,E38/G38-1)</f>
        <v>6.277900209074927E-3</v>
      </c>
      <c r="F43" s="499" t="str">
        <f>IF(OR(E43&gt;=0.2,E43&lt;=-0.2),"超过20%","")</f>
        <v/>
      </c>
      <c r="G43" s="498">
        <f>IF(G38&lt;I38,I38/G38-1,G38/I38-1)</f>
        <v>3.9139492702758849E-2</v>
      </c>
      <c r="H43" s="499" t="str">
        <f>IF(OR(G43&gt;=0.2,G43&lt;=-0.2),"超过20%","")</f>
        <v/>
      </c>
      <c r="I43" s="498">
        <f>IF(I38&lt;E38,E38/I38-1,I38/E38-1)</f>
        <v>4.5663106741255621E-2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2675</v>
      </c>
      <c r="D44" s="500"/>
      <c r="E44" s="498">
        <f>IF(E37&lt;G37,G37/E37-1,E37/G37-1)</f>
        <v>6.2785388127852837E-3</v>
      </c>
      <c r="F44" s="499" t="str">
        <f>IF(OR(E44&gt;=0.3,E44&lt;=-0.3),"超过30%","")</f>
        <v/>
      </c>
      <c r="G44" s="498">
        <f>IF(G37&lt;I37,I37/G37-1,G37/I37-1)</f>
        <v>3.9137833238797493E-2</v>
      </c>
      <c r="H44" s="499" t="str">
        <f>IF(OR(G44&gt;=0.3,G44&lt;=-0.3),"超过30%","")</f>
        <v/>
      </c>
      <c r="I44" s="498">
        <f>IF(I37&lt;E37,E37/I37-1,I37/E37-1)</f>
        <v>4.5662100456621113E-2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2676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2677</v>
      </c>
      <c r="B48" s="505"/>
      <c r="C48" s="1572" t="str">
        <f>YEAR(C7)&amp;"-"&amp;MONTH(C7)</f>
        <v>2020-4</v>
      </c>
      <c r="D48" s="1573">
        <f>EDATE(C48,-1)</f>
        <v>43891</v>
      </c>
      <c r="E48" s="1573">
        <f t="shared" ref="E48:O48" si="16">EDATE(D48,-1)</f>
        <v>43862</v>
      </c>
      <c r="F48" s="1573">
        <f t="shared" si="16"/>
        <v>43831</v>
      </c>
      <c r="G48" s="1573">
        <f t="shared" si="16"/>
        <v>43800</v>
      </c>
      <c r="H48" s="1573">
        <f t="shared" si="16"/>
        <v>43770</v>
      </c>
      <c r="I48" s="1573">
        <f t="shared" si="16"/>
        <v>43739</v>
      </c>
      <c r="J48" s="1573">
        <f t="shared" si="16"/>
        <v>43709</v>
      </c>
      <c r="K48" s="1573">
        <f t="shared" si="16"/>
        <v>43678</v>
      </c>
      <c r="L48" s="1573">
        <f t="shared" si="16"/>
        <v>43647</v>
      </c>
      <c r="M48" s="1573">
        <f t="shared" si="16"/>
        <v>43617</v>
      </c>
      <c r="N48" s="1573">
        <f t="shared" si="16"/>
        <v>43586</v>
      </c>
      <c r="O48" s="1573">
        <f t="shared" si="16"/>
        <v>43556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99</v>
      </c>
      <c r="E49" s="511">
        <v>98</v>
      </c>
      <c r="F49" s="511">
        <v>97</v>
      </c>
      <c r="G49" s="511">
        <v>96</v>
      </c>
      <c r="H49" s="511">
        <v>95</v>
      </c>
      <c r="I49" s="511">
        <v>94</v>
      </c>
      <c r="J49" s="511">
        <v>93</v>
      </c>
      <c r="K49" s="511">
        <v>92</v>
      </c>
      <c r="L49" s="511">
        <v>91</v>
      </c>
      <c r="M49" s="511">
        <v>90</v>
      </c>
      <c r="N49" s="511">
        <v>89</v>
      </c>
      <c r="O49" s="511">
        <v>88</v>
      </c>
      <c r="P49" s="1427"/>
      <c r="Q49" s="1426"/>
      <c r="R49" s="1426"/>
      <c r="S49" s="1426"/>
      <c r="T49" s="1426"/>
      <c r="U49" s="1426"/>
      <c r="V49" s="1426"/>
      <c r="W49" s="1426"/>
      <c r="X49" s="1426"/>
      <c r="Y49" s="1426"/>
      <c r="Z49" s="1426"/>
      <c r="AA49" s="1426"/>
      <c r="AB49" s="1426"/>
      <c r="AC49" s="1426"/>
    </row>
    <row r="50" spans="1:29" s="117" customFormat="1" ht="15.75" thickBot="1">
      <c r="A50" s="514" t="s">
        <v>2535</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2501</v>
      </c>
      <c r="B51" s="509"/>
      <c r="C51" s="521" t="s">
        <v>2602</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2538</v>
      </c>
      <c r="B53" s="527" t="s">
        <v>2505</v>
      </c>
      <c r="C53" s="528" t="str">
        <f>C9</f>
        <v>住宅</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2508</v>
      </c>
      <c r="C55" s="538" t="s">
        <v>2539</v>
      </c>
      <c r="D55" s="538" t="s">
        <v>2540</v>
      </c>
      <c r="E55" s="538" t="s">
        <v>2541</v>
      </c>
      <c r="F55" s="538" t="s">
        <v>2542</v>
      </c>
      <c r="G55" s="538" t="s">
        <v>2543</v>
      </c>
      <c r="H55" s="538" t="s">
        <v>2544</v>
      </c>
      <c r="I55" s="538" t="s">
        <v>2545</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0</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0</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0</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2510</v>
      </c>
      <c r="B63" s="527" t="s">
        <v>2552</v>
      </c>
      <c r="C63" s="572" t="s">
        <v>2547</v>
      </c>
      <c r="D63" s="572" t="s">
        <v>2548</v>
      </c>
      <c r="E63" s="572" t="s">
        <v>2549</v>
      </c>
      <c r="F63" s="572" t="s">
        <v>2550</v>
      </c>
      <c r="G63" s="572" t="s">
        <v>2551</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98</v>
      </c>
      <c r="E64" s="543">
        <f>D64-$K14</f>
        <v>96</v>
      </c>
      <c r="F64" s="543">
        <f>E64-$K14</f>
        <v>94</v>
      </c>
      <c r="G64" s="543">
        <f>F64-$K14</f>
        <v>92</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2553</v>
      </c>
      <c r="C65" s="577" t="s">
        <v>2547</v>
      </c>
      <c r="D65" s="577" t="s">
        <v>2548</v>
      </c>
      <c r="E65" s="577" t="s">
        <v>2549</v>
      </c>
      <c r="F65" s="577" t="s">
        <v>2550</v>
      </c>
      <c r="G65" s="577" t="s">
        <v>2551</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99</v>
      </c>
      <c r="E66" s="543">
        <f>D66-$K16</f>
        <v>98</v>
      </c>
      <c r="F66" s="543">
        <f>E66-$K16</f>
        <v>97</v>
      </c>
      <c r="G66" s="543">
        <f>F66-$K16</f>
        <v>96</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2639</v>
      </c>
      <c r="C67" s="659" t="s">
        <v>2625</v>
      </c>
      <c r="D67" s="659" t="s">
        <v>2626</v>
      </c>
      <c r="E67" s="659" t="s">
        <v>2627</v>
      </c>
      <c r="F67" s="659" t="s">
        <v>2628</v>
      </c>
      <c r="G67" s="659" t="s">
        <v>2629</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2559</v>
      </c>
      <c r="C69" s="577" t="s">
        <v>2547</v>
      </c>
      <c r="D69" s="577" t="s">
        <v>2548</v>
      </c>
      <c r="E69" s="577" t="s">
        <v>2549</v>
      </c>
      <c r="F69" s="577" t="s">
        <v>2550</v>
      </c>
      <c r="G69" s="577" t="s">
        <v>2551</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99</v>
      </c>
      <c r="E70" s="543">
        <f>D70-$K20</f>
        <v>98</v>
      </c>
      <c r="F70" s="543">
        <f>E70-$K20</f>
        <v>97</v>
      </c>
      <c r="G70" s="543">
        <f>F70-$K20</f>
        <v>96</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2678</v>
      </c>
      <c r="C71" s="2968" t="s">
        <v>3105</v>
      </c>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99</v>
      </c>
      <c r="E72" s="543">
        <f>D72-$K22</f>
        <v>98</v>
      </c>
      <c r="F72" s="543">
        <f>E72-$K22</f>
        <v>97</v>
      </c>
      <c r="G72" s="543">
        <f>F72-$K22</f>
        <v>96</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0</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0</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0</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2514</v>
      </c>
      <c r="B79" s="527" t="s">
        <v>2679</v>
      </c>
      <c r="C79" s="528" t="str">
        <f>C26</f>
        <v>车库</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99</v>
      </c>
      <c r="E80" s="543">
        <f t="shared" si="17"/>
        <v>98</v>
      </c>
      <c r="F80" s="543">
        <f t="shared" si="17"/>
        <v>97</v>
      </c>
      <c r="G80" s="543">
        <f t="shared" si="17"/>
        <v>96</v>
      </c>
      <c r="H80" s="543">
        <f t="shared" si="17"/>
        <v>95</v>
      </c>
      <c r="I80" s="543">
        <f t="shared" si="17"/>
        <v>94</v>
      </c>
      <c r="J80" s="543">
        <f t="shared" si="17"/>
        <v>93</v>
      </c>
      <c r="K80" s="543">
        <f t="shared" si="17"/>
        <v>92</v>
      </c>
      <c r="L80" s="543">
        <f t="shared" si="17"/>
        <v>91</v>
      </c>
      <c r="M80" s="544">
        <f t="shared" si="17"/>
        <v>90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2680</v>
      </c>
      <c r="C81" s="660" t="s">
        <v>3106</v>
      </c>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v>100</v>
      </c>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2566</v>
      </c>
      <c r="C83" s="2968" t="s">
        <v>3107</v>
      </c>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2681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2682</v>
      </c>
      <c r="C88" s="2967" t="s">
        <v>3108</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101</v>
      </c>
      <c r="E89" s="543">
        <f t="shared" si="20"/>
        <v>102</v>
      </c>
      <c r="F89" s="543">
        <f t="shared" si="20"/>
        <v>103</v>
      </c>
      <c r="G89" s="543">
        <f t="shared" si="20"/>
        <v>104</v>
      </c>
      <c r="H89" s="543">
        <f t="shared" si="20"/>
        <v>105</v>
      </c>
      <c r="I89" s="543">
        <f t="shared" si="20"/>
        <v>106</v>
      </c>
      <c r="J89" s="543">
        <f t="shared" si="20"/>
        <v>107</v>
      </c>
      <c r="K89" s="543">
        <f t="shared" si="20"/>
        <v>108</v>
      </c>
      <c r="L89" s="543">
        <f t="shared" si="20"/>
        <v>109</v>
      </c>
      <c r="M89" s="543">
        <f t="shared" si="20"/>
        <v>110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2683</v>
      </c>
      <c r="C90" s="577" t="str">
        <f>C91&amp;"(含)"&amp;"-"&amp;D91</f>
        <v>0(含)-20</v>
      </c>
      <c r="D90" s="577" t="str">
        <f t="shared" ref="D90:L90" si="21">D91&amp;"(含)"&amp;"-"&amp;E91</f>
        <v>20(含)-40</v>
      </c>
      <c r="E90" s="577" t="str">
        <f t="shared" si="21"/>
        <v>40(含)-60</v>
      </c>
      <c r="F90" s="577" t="str">
        <f t="shared" si="21"/>
        <v>60(含)-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20</v>
      </c>
      <c r="E91" s="594">
        <v>40</v>
      </c>
      <c r="F91" s="594">
        <v>60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v>101</v>
      </c>
      <c r="E92" s="559">
        <v>102</v>
      </c>
      <c r="F92" s="535">
        <v>103</v>
      </c>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2684</v>
      </c>
      <c r="C93" s="2968" t="s">
        <v>3110</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99</v>
      </c>
      <c r="E94" s="543">
        <f t="shared" si="22"/>
        <v>98</v>
      </c>
      <c r="F94" s="543">
        <f t="shared" si="22"/>
        <v>97</v>
      </c>
      <c r="G94" s="543">
        <f t="shared" si="22"/>
        <v>96</v>
      </c>
      <c r="H94" s="543">
        <f t="shared" si="22"/>
        <v>95</v>
      </c>
      <c r="I94" s="543">
        <f t="shared" si="22"/>
        <v>94</v>
      </c>
      <c r="J94" s="543">
        <f t="shared" si="22"/>
        <v>93</v>
      </c>
      <c r="K94" s="543">
        <f t="shared" si="22"/>
        <v>92</v>
      </c>
      <c r="L94" s="543">
        <f t="shared" si="22"/>
        <v>91</v>
      </c>
      <c r="M94" s="544">
        <f t="shared" si="22"/>
        <v>90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2685</v>
      </c>
      <c r="C95" s="2967" t="s">
        <v>3111</v>
      </c>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99</v>
      </c>
      <c r="E96" s="543">
        <f>D96-$K33</f>
        <v>98</v>
      </c>
      <c r="F96" s="543">
        <f>E96-$K33</f>
        <v>97</v>
      </c>
      <c r="G96" s="543">
        <f>F96-$K33</f>
        <v>96</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0</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0</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0</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2657</v>
      </c>
      <c r="B1" s="1617"/>
      <c r="C1" s="1618" t="s">
        <v>2481</v>
      </c>
      <c r="D1" s="1619"/>
      <c r="E1" s="1628"/>
      <c r="F1" s="2580"/>
      <c r="G1" s="1629" t="s">
        <v>2593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2281</v>
      </c>
      <c r="B2" s="1417" t="e">
        <f ca="1">IF(C2="——",ROUND(C37*D3/10000,0),ROUND(C37*D3/10000,0)-D2)</f>
        <v>#DIV/0!</v>
      </c>
      <c r="C2" s="2582"/>
      <c r="D2" s="1123" t="e">
        <f ca="1">SUMIF(INDIRECT("'"&amp;F2&amp;"'"&amp;"!A:A"),"承租人权益价值",INDIRECT("'"&amp;F2&amp;"'"&amp;"!c:c"))</f>
        <v>#REF!</v>
      </c>
      <c r="E2" s="2583" t="s">
        <v>2282</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2283</v>
      </c>
      <c r="B3" s="608" t="e">
        <f ca="1">IF(C2="——",C37,ROUND(B2*10000/D3,0))</f>
        <v>#DIV/0!</v>
      </c>
      <c r="C3" s="399" t="s">
        <v>2594</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21" t="s">
        <v>2598</v>
      </c>
      <c r="AC4" s="3220" t="s">
        <v>2599</v>
      </c>
    </row>
    <row r="5" spans="1:29" ht="15">
      <c r="A5" s="403"/>
      <c r="B5" s="404"/>
      <c r="C5" s="3240" t="s">
        <v>2493</v>
      </c>
      <c r="D5" s="3241"/>
      <c r="E5" s="3248" t="s">
        <v>2494</v>
      </c>
      <c r="F5" s="3249"/>
      <c r="G5" s="3240" t="s">
        <v>2495</v>
      </c>
      <c r="H5" s="3241"/>
      <c r="I5" s="3240" t="s">
        <v>2496</v>
      </c>
      <c r="J5" s="3241"/>
      <c r="K5" s="609"/>
      <c r="L5" s="1129"/>
      <c r="M5" s="1130"/>
      <c r="N5" s="1130"/>
      <c r="O5" s="1130"/>
      <c r="P5" s="3228"/>
      <c r="Q5" s="3229"/>
      <c r="R5" s="3234"/>
      <c r="S5" s="3235"/>
      <c r="T5" s="3234"/>
      <c r="U5" s="3235"/>
      <c r="V5" s="3219"/>
      <c r="W5" s="3219"/>
      <c r="X5" s="1811"/>
      <c r="Y5" s="3234"/>
      <c r="Z5" s="3235"/>
      <c r="AA5" s="3221"/>
      <c r="AB5" s="3221"/>
      <c r="AC5" s="3221"/>
    </row>
    <row r="6" spans="1:29" ht="15.75" thickBot="1">
      <c r="A6" s="405"/>
      <c r="B6" s="406"/>
      <c r="C6" s="3238" t="s">
        <v>2497</v>
      </c>
      <c r="D6" s="3239"/>
      <c r="E6" s="3246" t="s">
        <v>2497</v>
      </c>
      <c r="F6" s="3247"/>
      <c r="G6" s="3238" t="s">
        <v>2497</v>
      </c>
      <c r="H6" s="3239"/>
      <c r="I6" s="3238" t="s">
        <v>2497</v>
      </c>
      <c r="J6" s="3239"/>
      <c r="K6" s="609" t="s">
        <v>2498</v>
      </c>
      <c r="L6" s="1129"/>
      <c r="M6" s="1130"/>
      <c r="N6" s="1130"/>
      <c r="O6" s="1130"/>
      <c r="P6" s="3230"/>
      <c r="Q6" s="3231"/>
      <c r="R6" s="3234"/>
      <c r="S6" s="3235"/>
      <c r="T6" s="3236"/>
      <c r="U6" s="3237"/>
      <c r="V6" s="3219"/>
      <c r="W6" s="3219"/>
      <c r="X6" s="1811"/>
      <c r="Y6" s="3236"/>
      <c r="Z6" s="3237"/>
      <c r="AA6" s="3222"/>
      <c r="AB6" s="3222"/>
      <c r="AC6" s="3222"/>
    </row>
    <row r="7" spans="1:29" s="117" customFormat="1" ht="15.75" thickBot="1">
      <c r="A7" s="407" t="s">
        <v>2499</v>
      </c>
      <c r="B7" s="408"/>
      <c r="C7" s="409">
        <f>'数据-取费表'!B2</f>
        <v>43926</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42" t="s">
        <v>2500</v>
      </c>
      <c r="Q7" s="3244"/>
      <c r="R7" s="769" t="s">
        <v>17</v>
      </c>
      <c r="S7" s="770">
        <f t="shared" ref="S7:S14" si="0">F7</f>
        <v>0</v>
      </c>
      <c r="T7" s="769" t="s">
        <v>17</v>
      </c>
      <c r="U7" s="770">
        <f t="shared" ref="U7:U14" si="1">H7</f>
        <v>0</v>
      </c>
      <c r="V7" s="769" t="s">
        <v>17</v>
      </c>
      <c r="W7" s="770">
        <f t="shared" ref="W7:W14" si="2">J7</f>
        <v>0</v>
      </c>
      <c r="X7" s="771"/>
      <c r="Y7" s="3242" t="s">
        <v>2500</v>
      </c>
      <c r="Z7" s="3243"/>
      <c r="AA7" s="772" t="e">
        <f>D7/F7</f>
        <v>#DIV/0!</v>
      </c>
      <c r="AB7" s="772" t="e">
        <f>D7/H7</f>
        <v>#DIV/0!</v>
      </c>
      <c r="AC7" s="772" t="e">
        <f>D7/J7</f>
        <v>#DIV/0!</v>
      </c>
    </row>
    <row r="8" spans="1:29" s="117" customFormat="1" ht="15.75" thickBot="1">
      <c r="A8" s="407" t="s">
        <v>2501</v>
      </c>
      <c r="B8" s="408"/>
      <c r="C8" s="413" t="s">
        <v>2602</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2" t="s">
        <v>2503</v>
      </c>
      <c r="Q8" s="3243"/>
      <c r="R8" s="769" t="s">
        <v>17</v>
      </c>
      <c r="S8" s="770">
        <f t="shared" si="0"/>
        <v>0</v>
      </c>
      <c r="T8" s="769" t="s">
        <v>17</v>
      </c>
      <c r="U8" s="770">
        <f t="shared" si="1"/>
        <v>0</v>
      </c>
      <c r="V8" s="769" t="s">
        <v>17</v>
      </c>
      <c r="W8" s="770">
        <f t="shared" si="2"/>
        <v>0</v>
      </c>
      <c r="X8" s="771"/>
      <c r="Y8" s="3242" t="s">
        <v>2503</v>
      </c>
      <c r="Z8" s="3243"/>
      <c r="AA8" s="772" t="e">
        <f t="shared" ref="AA8:AA34" si="3">D8/F8</f>
        <v>#DIV/0!</v>
      </c>
      <c r="AB8" s="772" t="e">
        <f t="shared" ref="AB8:AB34" si="4">D8/H8</f>
        <v>#DIV/0!</v>
      </c>
      <c r="AC8" s="772" t="e">
        <f t="shared" ref="AC8:AC34" si="5">D8/J8</f>
        <v>#DIV/0!</v>
      </c>
    </row>
    <row r="9" spans="1:29" s="117" customFormat="1">
      <c r="A9" s="414" t="s">
        <v>2504</v>
      </c>
      <c r="B9" s="71" t="s">
        <v>2505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3" t="s">
        <v>2506</v>
      </c>
      <c r="Q9" s="1793" t="str">
        <f t="shared" ref="Q9:Q14" si="6">B9</f>
        <v>用途</v>
      </c>
      <c r="R9" s="769" t="s">
        <v>17</v>
      </c>
      <c r="S9" s="770">
        <f t="shared" si="0"/>
        <v>100</v>
      </c>
      <c r="T9" s="769" t="s">
        <v>17</v>
      </c>
      <c r="U9" s="770">
        <f t="shared" si="1"/>
        <v>100</v>
      </c>
      <c r="V9" s="769" t="s">
        <v>17</v>
      </c>
      <c r="W9" s="770">
        <f t="shared" si="2"/>
        <v>100</v>
      </c>
      <c r="X9" s="771"/>
      <c r="Y9" s="3061" t="s">
        <v>2507</v>
      </c>
      <c r="Z9" s="55" t="str">
        <f t="shared" ref="Z9:Z14" si="7">Q9</f>
        <v>用途</v>
      </c>
      <c r="AA9" s="772">
        <f t="shared" si="3"/>
        <v>1</v>
      </c>
      <c r="AB9" s="772">
        <f t="shared" si="4"/>
        <v>1</v>
      </c>
      <c r="AC9" s="772">
        <f t="shared" si="5"/>
        <v>1</v>
      </c>
    </row>
    <row r="10" spans="1:29" s="426" customFormat="1" ht="27">
      <c r="A10" s="420"/>
      <c r="B10" s="421" t="s">
        <v>2508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3"/>
      <c r="Q10" s="1793"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3"/>
      <c r="Q11" s="1793">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42.5">
      <c r="A14" s="439" t="s">
        <v>2510</v>
      </c>
      <c r="B14" s="69" t="s">
        <v>2659</v>
      </c>
      <c r="C14" s="2689" t="str">
        <f>IF(B1="工业",估价对象房地状况!G4,估价对象房地状况!C6)</f>
        <v>估价对象周边道路状况较好、公共交通通达情况较好、停车便捷程度较好，周边临近8号线德茂站、周边有341/453等公交线路，综合评价交通便捷度较好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5" t="s">
        <v>2511</v>
      </c>
      <c r="Q14" s="1808" t="str">
        <f t="shared" si="6"/>
        <v>交通便捷度</v>
      </c>
      <c r="R14" s="773" t="s">
        <v>17</v>
      </c>
      <c r="S14" s="774">
        <f t="shared" si="0"/>
        <v>100</v>
      </c>
      <c r="T14" s="773" t="s">
        <v>17</v>
      </c>
      <c r="U14" s="774">
        <f t="shared" si="1"/>
        <v>100</v>
      </c>
      <c r="V14" s="773" t="s">
        <v>17</v>
      </c>
      <c r="W14" s="774">
        <f t="shared" si="2"/>
        <v>100</v>
      </c>
      <c r="X14" s="1811"/>
      <c r="Y14" s="3215" t="s">
        <v>2511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16"/>
      <c r="Q15" s="1808"/>
      <c r="R15" s="773"/>
      <c r="S15" s="774"/>
      <c r="T15" s="773"/>
      <c r="U15" s="774"/>
      <c r="V15" s="773"/>
      <c r="W15" s="774"/>
      <c r="X15" s="1811"/>
      <c r="Y15" s="3216"/>
      <c r="Z15" s="1812"/>
      <c r="AA15" s="1809">
        <v>1</v>
      </c>
      <c r="AB15" s="1809">
        <v>1</v>
      </c>
      <c r="AC15" s="1809">
        <v>1</v>
      </c>
    </row>
    <row r="16" spans="1:29" ht="42.75">
      <c r="A16" s="427"/>
      <c r="B16" s="450" t="s">
        <v>2638</v>
      </c>
      <c r="C16" s="2603"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6"/>
      <c r="Q16" s="1808" t="str">
        <f>B16</f>
        <v>公共配套设施</v>
      </c>
      <c r="R16" s="773" t="s">
        <v>17</v>
      </c>
      <c r="S16" s="774">
        <f>F16</f>
        <v>100</v>
      </c>
      <c r="T16" s="773" t="s">
        <v>17</v>
      </c>
      <c r="U16" s="774">
        <f>H16</f>
        <v>100</v>
      </c>
      <c r="V16" s="773" t="s">
        <v>17</v>
      </c>
      <c r="W16" s="774">
        <f>J16</f>
        <v>100</v>
      </c>
      <c r="X16" s="1811"/>
      <c r="Y16" s="3216"/>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9"/>
      <c r="M17" s="1130"/>
      <c r="N17" s="1130"/>
      <c r="O17" s="1138"/>
      <c r="P17" s="3216"/>
      <c r="Q17" s="1808"/>
      <c r="R17" s="773"/>
      <c r="S17" s="774"/>
      <c r="T17" s="773"/>
      <c r="U17" s="774"/>
      <c r="V17" s="773"/>
      <c r="W17" s="774"/>
      <c r="X17" s="1811"/>
      <c r="Y17" s="3216"/>
      <c r="Z17" s="1812"/>
      <c r="AA17" s="1809">
        <v>1</v>
      </c>
      <c r="AB17" s="1809">
        <v>1</v>
      </c>
      <c r="AC17" s="1809">
        <v>1</v>
      </c>
    </row>
    <row r="18" spans="1:29" ht="42.75">
      <c r="A18" s="427"/>
      <c r="B18" s="1383" t="s">
        <v>2639</v>
      </c>
      <c r="C18" s="2603"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6"/>
      <c r="Q18" s="1808" t="str">
        <f>B18</f>
        <v>基础设施水平</v>
      </c>
      <c r="R18" s="773" t="s">
        <v>17</v>
      </c>
      <c r="S18" s="774">
        <f>F18</f>
        <v>100</v>
      </c>
      <c r="T18" s="773" t="s">
        <v>17</v>
      </c>
      <c r="U18" s="774">
        <f>H18</f>
        <v>100</v>
      </c>
      <c r="V18" s="773" t="s">
        <v>17</v>
      </c>
      <c r="W18" s="774">
        <f>J18</f>
        <v>100</v>
      </c>
      <c r="X18" s="1811"/>
      <c r="Y18" s="3216"/>
      <c r="Z18" s="1812" t="str">
        <f>Q18</f>
        <v>基础设施水平</v>
      </c>
      <c r="AA18" s="1809">
        <f t="shared" ref="AA18" si="8">D18/F18</f>
        <v>1</v>
      </c>
      <c r="AB18" s="1809">
        <f t="shared" ref="AB18" si="9">D18/H18</f>
        <v>1</v>
      </c>
      <c r="AC18" s="1809">
        <f t="shared" ref="AC18" si="10">D18/J18</f>
        <v>1</v>
      </c>
    </row>
    <row r="19" spans="1:29" ht="15">
      <c r="A19" s="427"/>
      <c r="B19" s="1383"/>
      <c r="C19" s="2604"/>
      <c r="D19" s="449"/>
      <c r="E19" s="2604"/>
      <c r="F19" s="452"/>
      <c r="G19" s="2604"/>
      <c r="H19" s="447"/>
      <c r="I19" s="446"/>
      <c r="J19" s="447"/>
      <c r="K19" s="1382"/>
      <c r="L19" s="1139"/>
      <c r="M19" s="1130"/>
      <c r="N19" s="1130"/>
      <c r="O19" s="1138"/>
      <c r="P19" s="3216"/>
      <c r="Q19" s="1808"/>
      <c r="R19" s="773"/>
      <c r="S19" s="774"/>
      <c r="T19" s="773"/>
      <c r="U19" s="774"/>
      <c r="V19" s="773"/>
      <c r="W19" s="774"/>
      <c r="X19" s="1811"/>
      <c r="Y19" s="3216"/>
      <c r="Z19" s="1812"/>
      <c r="AA19" s="1809">
        <v>1</v>
      </c>
      <c r="AB19" s="1809">
        <v>1</v>
      </c>
      <c r="AC19" s="1809">
        <v>1</v>
      </c>
    </row>
    <row r="20" spans="1:29" ht="85.5">
      <c r="A20" s="427"/>
      <c r="B20" s="450" t="s">
        <v>2660</v>
      </c>
      <c r="C20" s="2603" t="str">
        <f>IF(B1="工业",估价对象房地状况!G7,估价对象房地状况!C9)</f>
        <v>区域自然环境好；人文环境较好；周边有南海子公园等，综合评价环境状况较好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6"/>
      <c r="Q20" s="1808" t="str">
        <f>B20</f>
        <v>自然及人文环境</v>
      </c>
      <c r="R20" s="773" t="s">
        <v>17</v>
      </c>
      <c r="S20" s="774">
        <f>F20</f>
        <v>100</v>
      </c>
      <c r="T20" s="773" t="s">
        <v>17</v>
      </c>
      <c r="U20" s="774">
        <f>H20</f>
        <v>100</v>
      </c>
      <c r="V20" s="773" t="s">
        <v>17</v>
      </c>
      <c r="W20" s="774">
        <f>J20</f>
        <v>100</v>
      </c>
      <c r="X20" s="1811"/>
      <c r="Y20" s="321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16"/>
      <c r="Q21" s="1808"/>
      <c r="R21" s="773"/>
      <c r="S21" s="774"/>
      <c r="T21" s="773"/>
      <c r="U21" s="774"/>
      <c r="V21" s="773"/>
      <c r="W21" s="774"/>
      <c r="X21" s="1811"/>
      <c r="Y21" s="3216"/>
      <c r="Z21" s="1812"/>
      <c r="AA21" s="1809">
        <v>1</v>
      </c>
      <c r="AB21" s="1809">
        <v>1</v>
      </c>
      <c r="AC21" s="1809">
        <v>1</v>
      </c>
    </row>
    <row r="22" spans="1:29" ht="15">
      <c r="A22" s="427"/>
      <c r="B22" s="450" t="s">
        <v>2661</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6"/>
      <c r="Q22" s="1808" t="str">
        <f>B22</f>
        <v>楼层</v>
      </c>
      <c r="R22" s="773" t="s">
        <v>17</v>
      </c>
      <c r="S22" s="774">
        <f>F22</f>
        <v>100</v>
      </c>
      <c r="T22" s="773" t="s">
        <v>17</v>
      </c>
      <c r="U22" s="774">
        <f>H22</f>
        <v>100</v>
      </c>
      <c r="V22" s="773" t="s">
        <v>17</v>
      </c>
      <c r="W22" s="774">
        <f>J22</f>
        <v>100</v>
      </c>
      <c r="X22" s="1811"/>
      <c r="Y22" s="3216"/>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6"/>
      <c r="Q23" s="1808">
        <f>B23</f>
        <v>111</v>
      </c>
      <c r="R23" s="773" t="s">
        <v>17</v>
      </c>
      <c r="S23" s="774">
        <f>F23</f>
        <v>100</v>
      </c>
      <c r="T23" s="773" t="s">
        <v>17</v>
      </c>
      <c r="U23" s="774">
        <f>H23</f>
        <v>100</v>
      </c>
      <c r="V23" s="773" t="s">
        <v>17</v>
      </c>
      <c r="W23" s="774">
        <f>J23</f>
        <v>100</v>
      </c>
      <c r="X23" s="1811"/>
      <c r="Y23" s="3216"/>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6"/>
      <c r="Q24" s="1808">
        <f t="shared" ref="Q24:Q34" si="11">B24</f>
        <v>111</v>
      </c>
      <c r="R24" s="773" t="s">
        <v>17</v>
      </c>
      <c r="S24" s="774">
        <f>F24</f>
        <v>100</v>
      </c>
      <c r="T24" s="773" t="s">
        <v>17</v>
      </c>
      <c r="U24" s="774">
        <f>H24</f>
        <v>100</v>
      </c>
      <c r="V24" s="773" t="s">
        <v>17</v>
      </c>
      <c r="W24" s="774">
        <f>J24</f>
        <v>100</v>
      </c>
      <c r="X24" s="1811"/>
      <c r="Y24" s="3216"/>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16"/>
      <c r="Q25" s="1793">
        <f t="shared" si="11"/>
        <v>111</v>
      </c>
      <c r="R25" s="769" t="s">
        <v>17</v>
      </c>
      <c r="S25" s="770">
        <f>F25</f>
        <v>100</v>
      </c>
      <c r="T25" s="769" t="s">
        <v>17</v>
      </c>
      <c r="U25" s="770">
        <f>H25</f>
        <v>100</v>
      </c>
      <c r="V25" s="769" t="s">
        <v>17</v>
      </c>
      <c r="W25" s="770">
        <f>J25</f>
        <v>100</v>
      </c>
      <c r="X25" s="771"/>
      <c r="Y25" s="3216"/>
      <c r="Z25" s="55">
        <f>Q25</f>
        <v>111</v>
      </c>
      <c r="AA25" s="1809">
        <f>D25/F25</f>
        <v>1</v>
      </c>
      <c r="AB25" s="1809">
        <f>D25/H25</f>
        <v>1</v>
      </c>
      <c r="AC25" s="1809">
        <f>D25/J25</f>
        <v>1</v>
      </c>
    </row>
    <row r="26" spans="1:29" ht="28.5">
      <c r="A26" s="465" t="s">
        <v>2514</v>
      </c>
      <c r="B26" s="71" t="s">
        <v>2664</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17" t="s">
        <v>2516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8" t="s">
        <v>2516</v>
      </c>
      <c r="Z26" s="1812" t="str">
        <f t="shared" ref="Z26:Z34" si="15">Q26</f>
        <v>公共部分装修</v>
      </c>
      <c r="AA26" s="1809">
        <f t="shared" si="3"/>
        <v>1</v>
      </c>
      <c r="AB26" s="1809">
        <f t="shared" si="4"/>
        <v>1</v>
      </c>
      <c r="AC26" s="1809">
        <f t="shared" si="5"/>
        <v>1</v>
      </c>
    </row>
    <row r="27" spans="1:29" s="470" customFormat="1" ht="15">
      <c r="A27" s="467"/>
      <c r="B27" s="421" t="s">
        <v>2665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09" t="e">
        <f t="shared" si="3"/>
        <v>#N/A</v>
      </c>
      <c r="AB27" s="1809" t="e">
        <f t="shared" si="4"/>
        <v>#N/A</v>
      </c>
      <c r="AC27" s="1809" t="e">
        <f t="shared" si="5"/>
        <v>#N/A</v>
      </c>
    </row>
    <row r="28" spans="1:29" ht="15">
      <c r="A28" s="471"/>
      <c r="B28" s="421" t="s">
        <v>2666</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8"/>
      <c r="Q28" s="1808" t="str">
        <f t="shared" si="11"/>
        <v>物业等级</v>
      </c>
      <c r="R28" s="773" t="s">
        <v>17</v>
      </c>
      <c r="S28" s="774">
        <f t="shared" si="12"/>
        <v>100</v>
      </c>
      <c r="T28" s="773" t="s">
        <v>17</v>
      </c>
      <c r="U28" s="774">
        <f t="shared" si="13"/>
        <v>100</v>
      </c>
      <c r="V28" s="773" t="s">
        <v>17</v>
      </c>
      <c r="W28" s="774">
        <f t="shared" si="14"/>
        <v>100</v>
      </c>
      <c r="X28" s="1811"/>
      <c r="Y28" s="3218"/>
      <c r="Z28" s="1812" t="str">
        <f t="shared" si="15"/>
        <v>物业等级</v>
      </c>
      <c r="AA28" s="1809">
        <f t="shared" si="3"/>
        <v>1</v>
      </c>
      <c r="AB28" s="1809">
        <f t="shared" si="4"/>
        <v>1</v>
      </c>
      <c r="AC28" s="1809">
        <f t="shared" si="5"/>
        <v>1</v>
      </c>
    </row>
    <row r="29" spans="1:29" ht="15">
      <c r="A29" s="471"/>
      <c r="B29" s="421" t="s">
        <v>2686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8"/>
      <c r="Q29" s="1808" t="str">
        <f t="shared" si="11"/>
        <v>有无电梯</v>
      </c>
      <c r="R29" s="773" t="s">
        <v>17</v>
      </c>
      <c r="S29" s="774">
        <f t="shared" si="12"/>
        <v>100</v>
      </c>
      <c r="T29" s="773" t="s">
        <v>17</v>
      </c>
      <c r="U29" s="774">
        <f t="shared" si="13"/>
        <v>100</v>
      </c>
      <c r="V29" s="773" t="s">
        <v>17</v>
      </c>
      <c r="W29" s="774">
        <f t="shared" si="14"/>
        <v>100</v>
      </c>
      <c r="X29" s="1811"/>
      <c r="Y29" s="3218"/>
      <c r="Z29" s="1812" t="str">
        <f t="shared" si="15"/>
        <v>有无电梯</v>
      </c>
      <c r="AA29" s="1809">
        <f t="shared" si="3"/>
        <v>1</v>
      </c>
      <c r="AB29" s="1809">
        <f t="shared" si="4"/>
        <v>1</v>
      </c>
      <c r="AC29" s="1809">
        <f t="shared" si="5"/>
        <v>1</v>
      </c>
    </row>
    <row r="30" spans="1:29" ht="15">
      <c r="A30" s="471"/>
      <c r="B30" s="421" t="s">
        <v>2687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8"/>
      <c r="Q30" s="1808" t="str">
        <f t="shared" si="11"/>
        <v>建筑面积</v>
      </c>
      <c r="R30" s="773" t="s">
        <v>17</v>
      </c>
      <c r="S30" s="774" t="e">
        <f t="shared" si="12"/>
        <v>#N/A</v>
      </c>
      <c r="T30" s="773" t="s">
        <v>17</v>
      </c>
      <c r="U30" s="774" t="e">
        <f t="shared" si="13"/>
        <v>#N/A</v>
      </c>
      <c r="V30" s="773" t="s">
        <v>17</v>
      </c>
      <c r="W30" s="774" t="e">
        <f t="shared" si="14"/>
        <v>#N/A</v>
      </c>
      <c r="X30" s="1811"/>
      <c r="Y30" s="3218"/>
      <c r="Z30" s="1812" t="str">
        <f t="shared" si="15"/>
        <v>建筑面积</v>
      </c>
      <c r="AA30" s="1809" t="e">
        <f t="shared" si="3"/>
        <v>#N/A</v>
      </c>
      <c r="AB30" s="1809" t="e">
        <f t="shared" si="4"/>
        <v>#N/A</v>
      </c>
      <c r="AC30" s="1809" t="e">
        <f t="shared" si="5"/>
        <v>#N/A</v>
      </c>
    </row>
    <row r="31" spans="1:29" s="117" customFormat="1" ht="15">
      <c r="A31" s="472"/>
      <c r="B31" s="421" t="s">
        <v>2688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8"/>
      <c r="Q31" s="1793"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8" t="s">
        <v>2516</v>
      </c>
      <c r="Q32" s="1808">
        <f t="shared" si="11"/>
        <v>111</v>
      </c>
      <c r="R32" s="773" t="s">
        <v>17</v>
      </c>
      <c r="S32" s="774">
        <f t="shared" si="12"/>
        <v>100</v>
      </c>
      <c r="T32" s="773" t="s">
        <v>17</v>
      </c>
      <c r="U32" s="774">
        <f t="shared" si="13"/>
        <v>100</v>
      </c>
      <c r="V32" s="773" t="s">
        <v>17</v>
      </c>
      <c r="W32" s="774">
        <f t="shared" si="14"/>
        <v>100</v>
      </c>
      <c r="X32" s="1811"/>
      <c r="Y32" s="3218" t="s">
        <v>2516</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8"/>
      <c r="Q33" s="1808">
        <f t="shared" si="11"/>
        <v>111</v>
      </c>
      <c r="R33" s="773" t="s">
        <v>17</v>
      </c>
      <c r="S33" s="774">
        <f t="shared" si="12"/>
        <v>100</v>
      </c>
      <c r="T33" s="773" t="s">
        <v>17</v>
      </c>
      <c r="U33" s="774">
        <f t="shared" si="13"/>
        <v>100</v>
      </c>
      <c r="V33" s="773" t="s">
        <v>17</v>
      </c>
      <c r="W33" s="774">
        <f t="shared" si="14"/>
        <v>100</v>
      </c>
      <c r="X33" s="1811"/>
      <c r="Y33" s="3218"/>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18"/>
      <c r="Q34" s="1808">
        <f t="shared" si="11"/>
        <v>111</v>
      </c>
      <c r="R34" s="773" t="s">
        <v>17</v>
      </c>
      <c r="S34" s="774">
        <f t="shared" si="12"/>
        <v>100</v>
      </c>
      <c r="T34" s="773" t="s">
        <v>17</v>
      </c>
      <c r="U34" s="774">
        <f t="shared" si="13"/>
        <v>100</v>
      </c>
      <c r="V34" s="773" t="s">
        <v>17</v>
      </c>
      <c r="W34" s="774">
        <f t="shared" si="14"/>
        <v>100</v>
      </c>
      <c r="X34" s="1811"/>
      <c r="Y34" s="3218"/>
      <c r="Z34" s="1812">
        <f t="shared" si="15"/>
        <v>111</v>
      </c>
      <c r="AA34" s="1809">
        <f t="shared" si="3"/>
        <v>1</v>
      </c>
      <c r="AB34" s="1809">
        <f t="shared" si="4"/>
        <v>1</v>
      </c>
      <c r="AC34" s="1809">
        <f t="shared" si="5"/>
        <v>1</v>
      </c>
    </row>
    <row r="35" spans="1:29" ht="15">
      <c r="A35" s="478" t="s">
        <v>2528</v>
      </c>
      <c r="B35" s="479"/>
      <c r="C35" s="1406" t="s">
        <v>1</v>
      </c>
      <c r="D35" s="1407"/>
      <c r="E35" s="1408"/>
      <c r="F35" s="1409"/>
      <c r="G35" s="1410"/>
      <c r="H35" s="1411"/>
      <c r="I35" s="1408"/>
      <c r="J35" s="1411"/>
      <c r="K35" s="782"/>
      <c r="L35" s="1142"/>
      <c r="M35" s="1143"/>
      <c r="N35" s="1130"/>
      <c r="O35" s="1143"/>
      <c r="P35" s="3213" t="str">
        <f>A35</f>
        <v>成交单价（元/平方米）</v>
      </c>
      <c r="Q35" s="3213"/>
      <c r="R35" s="3254">
        <f>E35</f>
        <v>0</v>
      </c>
      <c r="S35" s="3254"/>
      <c r="T35" s="3254">
        <f>G35</f>
        <v>0</v>
      </c>
      <c r="U35" s="3254"/>
      <c r="V35" s="3254">
        <f>I35</f>
        <v>0</v>
      </c>
      <c r="W35" s="3254"/>
      <c r="X35" s="758"/>
      <c r="Y35" s="780"/>
      <c r="Z35" s="758"/>
      <c r="AA35" s="758"/>
      <c r="AB35" s="758"/>
      <c r="AC35" s="758"/>
    </row>
    <row r="36" spans="1:29" ht="15.75" thickBot="1">
      <c r="A36" s="485" t="s">
        <v>2619</v>
      </c>
      <c r="B36" s="486"/>
      <c r="C36" s="1412" t="e">
        <f>R37</f>
        <v>#DIV/0!</v>
      </c>
      <c r="D36" s="1413"/>
      <c r="E36" s="1414" t="e">
        <f>R36</f>
        <v>#DIV/0!</v>
      </c>
      <c r="F36" s="1414"/>
      <c r="G36" s="1412" t="e">
        <f>T36</f>
        <v>#DIV/0!</v>
      </c>
      <c r="H36" s="1413"/>
      <c r="I36" s="1414" t="e">
        <f>V36</f>
        <v>#DIV/0!</v>
      </c>
      <c r="J36" s="1413"/>
      <c r="K36" s="783"/>
      <c r="L36" s="1142"/>
      <c r="M36" s="1143"/>
      <c r="N36" s="1130"/>
      <c r="O36" s="1143"/>
      <c r="P36" s="3213" t="str">
        <f>A36</f>
        <v>比较价值（元/平方米）</v>
      </c>
      <c r="Q36" s="321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1" t="s">
        <v>2620</v>
      </c>
      <c r="B37" s="492"/>
      <c r="C37" s="1416" t="e">
        <f>R37</f>
        <v>#DIV/0!</v>
      </c>
      <c r="D37" s="1416"/>
      <c r="E37" s="1416"/>
      <c r="F37" s="1416"/>
      <c r="G37" s="1416"/>
      <c r="H37" s="1416"/>
      <c r="I37" s="1416"/>
      <c r="J37" s="1416"/>
      <c r="K37" s="784"/>
      <c r="L37" s="1142"/>
      <c r="M37" s="1143"/>
      <c r="N37" s="1143"/>
      <c r="O37" s="1143"/>
      <c r="P37" s="3207" t="str">
        <f>A37</f>
        <v>估价对象XX用房的比较价值（楼面单价，元/平方米）</v>
      </c>
      <c r="Q37" s="3208"/>
      <c r="R37" s="3253" t="e">
        <f>IF(F1="售价",ROUND(AVERAGE(R36:V36),0),ROUND(AVERAGE(R36:V36),1))</f>
        <v>#DIV/0!</v>
      </c>
      <c r="S37" s="3253"/>
      <c r="T37" s="3253"/>
      <c r="U37" s="3253"/>
      <c r="V37" s="3253"/>
      <c r="W37" s="325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2621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2622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2623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2624</v>
      </c>
      <c r="B45" s="758"/>
      <c r="C45" s="763"/>
      <c r="D45" s="763"/>
      <c r="E45" s="763"/>
      <c r="F45" s="764"/>
      <c r="G45" s="764"/>
      <c r="H45" s="763"/>
      <c r="I45" s="763"/>
      <c r="J45" s="763"/>
      <c r="K45" s="765"/>
      <c r="L45" s="766"/>
      <c r="M45" s="763"/>
      <c r="N45" s="763"/>
      <c r="O45" s="763"/>
      <c r="P45" s="502"/>
      <c r="Q45" s="503"/>
    </row>
    <row r="46" spans="1:29" s="507" customFormat="1" ht="15">
      <c r="A46" s="504" t="s">
        <v>2499</v>
      </c>
      <c r="B46" s="505"/>
      <c r="C46" s="1572" t="str">
        <f>YEAR(C7)&amp;"-"&amp;MONTH(C7)</f>
        <v>2020-4</v>
      </c>
      <c r="D46" s="1573">
        <f>EDATE(C46,-1)</f>
        <v>43891</v>
      </c>
      <c r="E46" s="1573">
        <f t="shared" ref="E46:O46" si="16">EDATE(D46,-1)</f>
        <v>43862</v>
      </c>
      <c r="F46" s="1573">
        <f t="shared" si="16"/>
        <v>43831</v>
      </c>
      <c r="G46" s="1573">
        <f t="shared" si="16"/>
        <v>43800</v>
      </c>
      <c r="H46" s="1573">
        <f t="shared" si="16"/>
        <v>43770</v>
      </c>
      <c r="I46" s="1573">
        <f t="shared" si="16"/>
        <v>43739</v>
      </c>
      <c r="J46" s="1573">
        <f t="shared" si="16"/>
        <v>43709</v>
      </c>
      <c r="K46" s="1573">
        <f t="shared" si="16"/>
        <v>43678</v>
      </c>
      <c r="L46" s="1573">
        <f t="shared" si="16"/>
        <v>43647</v>
      </c>
      <c r="M46" s="1573">
        <f t="shared" si="16"/>
        <v>43617</v>
      </c>
      <c r="N46" s="1573">
        <f t="shared" si="16"/>
        <v>43586</v>
      </c>
      <c r="O46" s="1573">
        <f t="shared" si="16"/>
        <v>43556</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2535</v>
      </c>
      <c r="B48" s="515"/>
      <c r="C48" s="516"/>
      <c r="D48" s="517"/>
      <c r="E48" s="517"/>
      <c r="F48" s="517"/>
      <c r="G48" s="517"/>
      <c r="H48" s="517"/>
      <c r="I48" s="517"/>
      <c r="J48" s="517"/>
      <c r="K48" s="517"/>
      <c r="L48" s="517"/>
      <c r="M48" s="518"/>
      <c r="N48" s="517"/>
      <c r="O48" s="519"/>
      <c r="P48" s="503"/>
      <c r="Q48" s="503"/>
    </row>
    <row r="49" spans="1:17" s="117" customFormat="1" ht="15">
      <c r="A49" s="520" t="s">
        <v>2501</v>
      </c>
      <c r="B49" s="509"/>
      <c r="C49" s="521" t="s">
        <v>2602</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2538</v>
      </c>
      <c r="B51" s="527" t="s">
        <v>2505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2508</v>
      </c>
      <c r="C53" s="538" t="s">
        <v>2539</v>
      </c>
      <c r="D53" s="538" t="s">
        <v>2540</v>
      </c>
      <c r="E53" s="538" t="s">
        <v>2541</v>
      </c>
      <c r="F53" s="538" t="s">
        <v>2542</v>
      </c>
      <c r="G53" s="538" t="s">
        <v>2543</v>
      </c>
      <c r="H53" s="538" t="s">
        <v>2544</v>
      </c>
      <c r="I53" s="538" t="s">
        <v>2545</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2510</v>
      </c>
      <c r="B61" s="527" t="s">
        <v>2552</v>
      </c>
      <c r="C61" s="572" t="s">
        <v>2547</v>
      </c>
      <c r="D61" s="572" t="s">
        <v>2548</v>
      </c>
      <c r="E61" s="572" t="s">
        <v>2549</v>
      </c>
      <c r="F61" s="572" t="s">
        <v>2550</v>
      </c>
      <c r="G61" s="572" t="s">
        <v>2551</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2689</v>
      </c>
      <c r="C63" s="577" t="s">
        <v>2547</v>
      </c>
      <c r="D63" s="577" t="s">
        <v>2548</v>
      </c>
      <c r="E63" s="577" t="s">
        <v>2549</v>
      </c>
      <c r="F63" s="577" t="s">
        <v>2550</v>
      </c>
      <c r="G63" s="577" t="s">
        <v>2551</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2639</v>
      </c>
      <c r="C65" s="659" t="s">
        <v>2625</v>
      </c>
      <c r="D65" s="659" t="s">
        <v>2626</v>
      </c>
      <c r="E65" s="659" t="s">
        <v>2627</v>
      </c>
      <c r="F65" s="659" t="s">
        <v>2628</v>
      </c>
      <c r="G65" s="659" t="s">
        <v>2629</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2559</v>
      </c>
      <c r="C67" s="577" t="s">
        <v>2547</v>
      </c>
      <c r="D67" s="577" t="s">
        <v>2548</v>
      </c>
      <c r="E67" s="577" t="s">
        <v>2549</v>
      </c>
      <c r="F67" s="577" t="s">
        <v>2550</v>
      </c>
      <c r="G67" s="577" t="s">
        <v>2551</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2678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2514</v>
      </c>
      <c r="B77" s="527" t="s">
        <v>2566</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2681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2682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2690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2691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2692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2693</v>
      </c>
      <c r="B1" s="394"/>
      <c r="C1" s="395" t="s">
        <v>2743</v>
      </c>
      <c r="D1" s="754"/>
      <c r="E1" s="754"/>
      <c r="F1" s="753" t="s">
        <v>2593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2283</v>
      </c>
      <c r="B3" s="608" t="e">
        <f>ROUND(IF(D3="",B2*10000/'数据-汇总表'!E3,B2*10000/D3),0)</f>
        <v>#DIV/0!</v>
      </c>
      <c r="C3" s="246" t="s">
        <v>2695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2595</v>
      </c>
      <c r="B4" s="401"/>
      <c r="C4" s="3210" t="s">
        <v>2596</v>
      </c>
      <c r="D4" s="3223"/>
      <c r="E4" s="3224" t="s">
        <v>2597</v>
      </c>
      <c r="F4" s="3225"/>
      <c r="G4" s="3210" t="s">
        <v>2598</v>
      </c>
      <c r="H4" s="3223"/>
      <c r="I4" s="3210" t="s">
        <v>2599</v>
      </c>
      <c r="J4" s="3223"/>
      <c r="K4" s="609" t="s">
        <v>2600</v>
      </c>
      <c r="L4" s="1129"/>
      <c r="M4" s="1130"/>
      <c r="N4" s="1130"/>
      <c r="O4" s="1130"/>
      <c r="P4" s="3226" t="s">
        <v>2601</v>
      </c>
      <c r="Q4" s="3227"/>
      <c r="R4" s="3232" t="s">
        <v>2597</v>
      </c>
      <c r="S4" s="3233"/>
      <c r="T4" s="3232" t="s">
        <v>2598</v>
      </c>
      <c r="U4" s="3233"/>
      <c r="V4" s="3219" t="s">
        <v>2599</v>
      </c>
      <c r="W4" s="3219"/>
      <c r="X4" s="1811"/>
      <c r="Y4" s="3232" t="s">
        <v>2601</v>
      </c>
      <c r="Z4" s="3233"/>
      <c r="AA4" s="3220" t="s">
        <v>2597</v>
      </c>
      <c r="AB4" s="3221" t="s">
        <v>2598</v>
      </c>
      <c r="AC4" s="3220" t="s">
        <v>2599</v>
      </c>
    </row>
    <row r="5" spans="1:29" ht="15">
      <c r="A5" s="403"/>
      <c r="B5" s="404"/>
      <c r="C5" s="3240" t="s">
        <v>2493</v>
      </c>
      <c r="D5" s="3241"/>
      <c r="E5" s="3248" t="s">
        <v>2494</v>
      </c>
      <c r="F5" s="3249"/>
      <c r="G5" s="3240" t="s">
        <v>2495</v>
      </c>
      <c r="H5" s="3241"/>
      <c r="I5" s="3240" t="s">
        <v>2496</v>
      </c>
      <c r="J5" s="3241"/>
      <c r="K5" s="609"/>
      <c r="L5" s="1129"/>
      <c r="M5" s="1130"/>
      <c r="N5" s="1130"/>
      <c r="O5" s="1130"/>
      <c r="P5" s="3228"/>
      <c r="Q5" s="3229"/>
      <c r="R5" s="3234"/>
      <c r="S5" s="3235"/>
      <c r="T5" s="3234"/>
      <c r="U5" s="3235"/>
      <c r="V5" s="3219"/>
      <c r="W5" s="3219"/>
      <c r="X5" s="1811"/>
      <c r="Y5" s="3234"/>
      <c r="Z5" s="3235"/>
      <c r="AA5" s="3221"/>
      <c r="AB5" s="3221"/>
      <c r="AC5" s="3221"/>
    </row>
    <row r="6" spans="1:29" ht="15.75" thickBot="1">
      <c r="A6" s="405"/>
      <c r="B6" s="406"/>
      <c r="C6" s="3305" t="s">
        <v>2744</v>
      </c>
      <c r="D6" s="3306"/>
      <c r="E6" s="3307" t="s">
        <v>2744</v>
      </c>
      <c r="F6" s="3308"/>
      <c r="G6" s="3305" t="s">
        <v>2744</v>
      </c>
      <c r="H6" s="3306"/>
      <c r="I6" s="3305" t="s">
        <v>2744</v>
      </c>
      <c r="J6" s="3306"/>
      <c r="K6" s="609" t="s">
        <v>2498</v>
      </c>
      <c r="L6" s="1129"/>
      <c r="M6" s="1130"/>
      <c r="N6" s="1130"/>
      <c r="O6" s="1130"/>
      <c r="P6" s="3230"/>
      <c r="Q6" s="3231"/>
      <c r="R6" s="3234"/>
      <c r="S6" s="3235"/>
      <c r="T6" s="3236"/>
      <c r="U6" s="3237"/>
      <c r="V6" s="3219"/>
      <c r="W6" s="3219"/>
      <c r="X6" s="1811"/>
      <c r="Y6" s="3236"/>
      <c r="Z6" s="3237"/>
      <c r="AA6" s="3222"/>
      <c r="AB6" s="3222"/>
      <c r="AC6" s="3222"/>
    </row>
    <row r="7" spans="1:29" s="117" customFormat="1" ht="15.75" thickBot="1">
      <c r="A7" s="407" t="s">
        <v>2499</v>
      </c>
      <c r="B7" s="408"/>
      <c r="C7" s="409">
        <f>'数据-取费表'!B2</f>
        <v>43926</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42" t="s">
        <v>2500</v>
      </c>
      <c r="Q7" s="3244"/>
      <c r="R7" s="769" t="s">
        <v>17</v>
      </c>
      <c r="S7" s="770">
        <f t="shared" ref="S7:S15" si="0">F7</f>
        <v>0</v>
      </c>
      <c r="T7" s="769" t="s">
        <v>17</v>
      </c>
      <c r="U7" s="770">
        <f t="shared" ref="U7:U15" si="1">H7</f>
        <v>0</v>
      </c>
      <c r="V7" s="769" t="s">
        <v>17</v>
      </c>
      <c r="W7" s="770">
        <f t="shared" ref="W7:W15" si="2">J7</f>
        <v>0</v>
      </c>
      <c r="X7" s="771"/>
      <c r="Y7" s="3242" t="s">
        <v>2500</v>
      </c>
      <c r="Z7" s="3243"/>
      <c r="AA7" s="772" t="e">
        <f>D7/F7</f>
        <v>#DIV/0!</v>
      </c>
      <c r="AB7" s="772" t="e">
        <f>D7/H7</f>
        <v>#DIV/0!</v>
      </c>
      <c r="AC7" s="772" t="e">
        <f>D7/J7</f>
        <v>#DIV/0!</v>
      </c>
    </row>
    <row r="8" spans="1:29" s="117" customFormat="1" ht="15.75" thickBot="1">
      <c r="A8" s="407" t="s">
        <v>2501</v>
      </c>
      <c r="B8" s="408"/>
      <c r="C8" s="413" t="s">
        <v>2502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2" t="s">
        <v>2503</v>
      </c>
      <c r="Q8" s="3243"/>
      <c r="R8" s="769" t="s">
        <v>17</v>
      </c>
      <c r="S8" s="770">
        <f t="shared" si="0"/>
        <v>0</v>
      </c>
      <c r="T8" s="769" t="s">
        <v>17</v>
      </c>
      <c r="U8" s="770">
        <f t="shared" si="1"/>
        <v>0</v>
      </c>
      <c r="V8" s="769" t="s">
        <v>17</v>
      </c>
      <c r="W8" s="770">
        <f t="shared" si="2"/>
        <v>0</v>
      </c>
      <c r="X8" s="771"/>
      <c r="Y8" s="3242" t="s">
        <v>2503</v>
      </c>
      <c r="Z8" s="3243"/>
      <c r="AA8" s="772" t="e">
        <f t="shared" ref="AA8:AA40" si="3">D8/F8</f>
        <v>#DIV/0!</v>
      </c>
      <c r="AB8" s="772" t="e">
        <f t="shared" ref="AB8:AB40" si="4">D8/H8</f>
        <v>#DIV/0!</v>
      </c>
      <c r="AC8" s="772" t="e">
        <f t="shared" ref="AC8:AC40" si="5">D8/J8</f>
        <v>#DIV/0!</v>
      </c>
    </row>
    <row r="9" spans="1:29" s="117" customFormat="1">
      <c r="A9" s="414" t="s">
        <v>2504</v>
      </c>
      <c r="B9" s="71" t="s">
        <v>2505</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13" t="s">
        <v>2506</v>
      </c>
      <c r="Q9" s="1793" t="str">
        <f t="shared" ref="Q9:Q15" si="6">B9</f>
        <v>用途</v>
      </c>
      <c r="R9" s="769" t="s">
        <v>17</v>
      </c>
      <c r="S9" s="770">
        <f t="shared" si="0"/>
        <v>100</v>
      </c>
      <c r="T9" s="769" t="s">
        <v>17</v>
      </c>
      <c r="U9" s="770">
        <f t="shared" si="1"/>
        <v>100</v>
      </c>
      <c r="V9" s="769" t="s">
        <v>17</v>
      </c>
      <c r="W9" s="770">
        <f t="shared" si="2"/>
        <v>100</v>
      </c>
      <c r="X9" s="771"/>
      <c r="Y9" s="3061" t="s">
        <v>2507</v>
      </c>
      <c r="Z9" s="55" t="str">
        <f t="shared" ref="Z9:Z15" si="7">Q9</f>
        <v>用途</v>
      </c>
      <c r="AA9" s="772">
        <f t="shared" si="3"/>
        <v>1</v>
      </c>
      <c r="AB9" s="772">
        <f t="shared" si="4"/>
        <v>1</v>
      </c>
      <c r="AC9" s="772">
        <f t="shared" si="5"/>
        <v>1</v>
      </c>
    </row>
    <row r="10" spans="1:29" s="426" customFormat="1" ht="27">
      <c r="A10" s="420"/>
      <c r="B10" s="421" t="s">
        <v>2508</v>
      </c>
      <c r="C10" s="431"/>
      <c r="D10" s="135">
        <v>100</v>
      </c>
      <c r="E10" s="431"/>
      <c r="F10" s="135">
        <f>ROUND(100/'数据-取费表'!G16,0)</f>
        <v>102</v>
      </c>
      <c r="G10" s="431"/>
      <c r="H10" s="135">
        <f>ROUND(100/'数据-取费表'!G16,0)</f>
        <v>102</v>
      </c>
      <c r="I10" s="431"/>
      <c r="J10" s="135">
        <f>ROUND(100/'数据-取费表'!G16,0)</f>
        <v>102</v>
      </c>
      <c r="K10" s="671"/>
      <c r="L10" s="1134"/>
      <c r="M10" s="1135"/>
      <c r="N10" s="1135"/>
      <c r="O10" s="1136"/>
      <c r="P10" s="3213"/>
      <c r="Q10" s="1793" t="str">
        <f t="shared" si="6"/>
        <v>土地使用年限（年）</v>
      </c>
      <c r="R10" s="769" t="s">
        <v>17</v>
      </c>
      <c r="S10" s="770">
        <f t="shared" si="0"/>
        <v>102</v>
      </c>
      <c r="T10" s="769" t="s">
        <v>17</v>
      </c>
      <c r="U10" s="770">
        <f t="shared" si="1"/>
        <v>102</v>
      </c>
      <c r="V10" s="769" t="s">
        <v>17</v>
      </c>
      <c r="W10" s="770">
        <f t="shared" si="2"/>
        <v>102</v>
      </c>
      <c r="X10" s="771"/>
      <c r="Y10" s="3061"/>
      <c r="Z10" s="55" t="str">
        <f t="shared" si="7"/>
        <v>土地使用年限（年）</v>
      </c>
      <c r="AA10" s="772">
        <f t="shared" si="3"/>
        <v>0.98039215686274506</v>
      </c>
      <c r="AB10" s="772">
        <f t="shared" si="4"/>
        <v>0.98039215686274506</v>
      </c>
      <c r="AC10" s="772">
        <f t="shared" si="5"/>
        <v>0.98039215686274506</v>
      </c>
    </row>
    <row r="11" spans="1:29" ht="15">
      <c r="A11" s="427"/>
      <c r="B11" s="421" t="s">
        <v>2509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3"/>
      <c r="Q11" s="1793"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3"/>
      <c r="Q12" s="1793">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3"/>
      <c r="Q13" s="1793">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3"/>
      <c r="Q14" s="1793">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15">
      <c r="A15" s="439" t="s">
        <v>2510</v>
      </c>
      <c r="B15" s="628" t="s">
        <v>2745</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5" t="s">
        <v>2511</v>
      </c>
      <c r="Q15" s="1808" t="str">
        <f t="shared" si="6"/>
        <v>产业集聚程度</v>
      </c>
      <c r="R15" s="773" t="s">
        <v>17</v>
      </c>
      <c r="S15" s="774">
        <f t="shared" si="0"/>
        <v>100</v>
      </c>
      <c r="T15" s="773" t="s">
        <v>17</v>
      </c>
      <c r="U15" s="774">
        <f t="shared" si="1"/>
        <v>100</v>
      </c>
      <c r="V15" s="773" t="s">
        <v>17</v>
      </c>
      <c r="W15" s="774">
        <f t="shared" si="2"/>
        <v>100</v>
      </c>
      <c r="X15" s="1811"/>
      <c r="Y15" s="3215" t="s">
        <v>2511</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9"/>
      <c r="M16" s="1130"/>
      <c r="N16" s="1130"/>
      <c r="O16" s="1138"/>
      <c r="P16" s="3216"/>
      <c r="Q16" s="1808"/>
      <c r="R16" s="773"/>
      <c r="S16" s="774"/>
      <c r="T16" s="773"/>
      <c r="U16" s="774"/>
      <c r="V16" s="773"/>
      <c r="W16" s="774"/>
      <c r="X16" s="1811"/>
      <c r="Y16" s="3216"/>
      <c r="Z16" s="1812"/>
      <c r="AA16" s="1809">
        <v>1</v>
      </c>
      <c r="AB16" s="1809">
        <v>1</v>
      </c>
      <c r="AC16" s="1809">
        <v>1</v>
      </c>
    </row>
    <row r="17" spans="1:29" ht="15">
      <c r="A17" s="427"/>
      <c r="B17" s="630" t="s">
        <v>2659</v>
      </c>
      <c r="C17" s="2603">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6"/>
      <c r="Q17" s="1808" t="str">
        <f>B17</f>
        <v>交通便捷度</v>
      </c>
      <c r="R17" s="773" t="s">
        <v>17</v>
      </c>
      <c r="S17" s="774">
        <f>F17</f>
        <v>100</v>
      </c>
      <c r="T17" s="773" t="s">
        <v>17</v>
      </c>
      <c r="U17" s="774">
        <f>H17</f>
        <v>100</v>
      </c>
      <c r="V17" s="773" t="s">
        <v>17</v>
      </c>
      <c r="W17" s="774">
        <f>J17</f>
        <v>100</v>
      </c>
      <c r="X17" s="1811"/>
      <c r="Y17" s="3216"/>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9"/>
      <c r="M18" s="1130"/>
      <c r="N18" s="1130"/>
      <c r="O18" s="1138"/>
      <c r="P18" s="3216"/>
      <c r="Q18" s="1808"/>
      <c r="R18" s="773"/>
      <c r="S18" s="774"/>
      <c r="T18" s="773"/>
      <c r="U18" s="774"/>
      <c r="V18" s="773"/>
      <c r="W18" s="774"/>
      <c r="X18" s="1811"/>
      <c r="Y18" s="3216"/>
      <c r="Z18" s="1812"/>
      <c r="AA18" s="1809">
        <v>1</v>
      </c>
      <c r="AB18" s="1809">
        <v>1</v>
      </c>
      <c r="AC18" s="1809">
        <v>1</v>
      </c>
    </row>
    <row r="19" spans="1:29" ht="15">
      <c r="A19" s="427"/>
      <c r="B19" s="630" t="s">
        <v>2696</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6"/>
      <c r="Q19" s="1808" t="str">
        <f t="shared" ref="Q19:Q33" si="8">B19</f>
        <v>区域土地利用方向</v>
      </c>
      <c r="R19" s="773" t="s">
        <v>17</v>
      </c>
      <c r="S19" s="774">
        <f>F19</f>
        <v>100</v>
      </c>
      <c r="T19" s="773" t="s">
        <v>17</v>
      </c>
      <c r="U19" s="774">
        <f>H19</f>
        <v>100</v>
      </c>
      <c r="V19" s="773" t="s">
        <v>17</v>
      </c>
      <c r="W19" s="774">
        <f>J19</f>
        <v>100</v>
      </c>
      <c r="X19" s="1811"/>
      <c r="Y19" s="3216"/>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8"/>
      <c r="L20" s="1139"/>
      <c r="M20" s="1130"/>
      <c r="N20" s="1130"/>
      <c r="O20" s="1138"/>
      <c r="P20" s="3216"/>
      <c r="Q20" s="1808"/>
      <c r="R20" s="773"/>
      <c r="S20" s="774"/>
      <c r="T20" s="773"/>
      <c r="U20" s="774"/>
      <c r="V20" s="773"/>
      <c r="W20" s="774"/>
      <c r="X20" s="1811"/>
      <c r="Y20" s="3216"/>
      <c r="Z20" s="1812"/>
      <c r="AA20" s="1809"/>
      <c r="AB20" s="1809"/>
      <c r="AC20" s="1809"/>
    </row>
    <row r="21" spans="1:29" ht="15">
      <c r="A21" s="403"/>
      <c r="B21" s="630" t="s">
        <v>2746</v>
      </c>
      <c r="C21" s="2603">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6"/>
      <c r="Q21" s="1808" t="str">
        <f t="shared" si="8"/>
        <v>环境状况</v>
      </c>
      <c r="R21" s="773" t="s">
        <v>17</v>
      </c>
      <c r="S21" s="774">
        <f>F21</f>
        <v>100</v>
      </c>
      <c r="T21" s="773" t="s">
        <v>17</v>
      </c>
      <c r="U21" s="774">
        <f>H21</f>
        <v>100</v>
      </c>
      <c r="V21" s="773" t="s">
        <v>17</v>
      </c>
      <c r="W21" s="774">
        <f>J21</f>
        <v>100</v>
      </c>
      <c r="X21" s="1811"/>
      <c r="Y21" s="3216"/>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9"/>
      <c r="M22" s="1130"/>
      <c r="N22" s="1130"/>
      <c r="O22" s="1138"/>
      <c r="P22" s="3216"/>
      <c r="Q22" s="1808"/>
      <c r="R22" s="773"/>
      <c r="S22" s="774"/>
      <c r="T22" s="773"/>
      <c r="U22" s="774"/>
      <c r="V22" s="773"/>
      <c r="W22" s="774"/>
      <c r="X22" s="1811"/>
      <c r="Y22" s="3216"/>
      <c r="Z22" s="1812"/>
      <c r="AA22" s="1809">
        <v>1</v>
      </c>
      <c r="AB22" s="1809">
        <v>1</v>
      </c>
      <c r="AC22" s="1809">
        <v>1</v>
      </c>
    </row>
    <row r="23" spans="1:29" s="117" customFormat="1" ht="15">
      <c r="A23" s="648"/>
      <c r="B23" s="632" t="s">
        <v>2604</v>
      </c>
      <c r="C23" s="2603">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6"/>
      <c r="Q23" s="1793" t="str">
        <f t="shared" si="8"/>
        <v>公共配套设施</v>
      </c>
      <c r="R23" s="769" t="s">
        <v>17</v>
      </c>
      <c r="S23" s="770">
        <f>F23</f>
        <v>100</v>
      </c>
      <c r="T23" s="769" t="s">
        <v>17</v>
      </c>
      <c r="U23" s="770">
        <f>H23</f>
        <v>100</v>
      </c>
      <c r="V23" s="769" t="s">
        <v>17</v>
      </c>
      <c r="W23" s="770">
        <f>J23</f>
        <v>100</v>
      </c>
      <c r="X23" s="771"/>
      <c r="Y23" s="3216"/>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1"/>
      <c r="M24" s="1132"/>
      <c r="N24" s="1132"/>
      <c r="O24" s="1133"/>
      <c r="P24" s="3216"/>
      <c r="Q24" s="1793"/>
      <c r="R24" s="769"/>
      <c r="S24" s="770"/>
      <c r="T24" s="769"/>
      <c r="U24" s="770"/>
      <c r="V24" s="769"/>
      <c r="W24" s="770"/>
      <c r="X24" s="771"/>
      <c r="Y24" s="3216"/>
      <c r="Z24" s="55"/>
      <c r="AA24" s="772">
        <v>1</v>
      </c>
      <c r="AB24" s="772">
        <v>1</v>
      </c>
      <c r="AC24" s="772">
        <v>1</v>
      </c>
    </row>
    <row r="25" spans="1:29" s="117" customFormat="1" ht="15">
      <c r="A25" s="648"/>
      <c r="B25" s="632" t="s">
        <v>2605</v>
      </c>
      <c r="C25" s="2603">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6"/>
      <c r="Q25" s="1793" t="str">
        <f t="shared" ref="Q25" si="9">B25</f>
        <v>基础设施水平</v>
      </c>
      <c r="R25" s="769" t="s">
        <v>17</v>
      </c>
      <c r="S25" s="770">
        <f>F25</f>
        <v>100</v>
      </c>
      <c r="T25" s="769" t="s">
        <v>17</v>
      </c>
      <c r="U25" s="770">
        <f>H25</f>
        <v>100</v>
      </c>
      <c r="V25" s="769" t="s">
        <v>17</v>
      </c>
      <c r="W25" s="770">
        <f>J25</f>
        <v>100</v>
      </c>
      <c r="X25" s="771"/>
      <c r="Y25" s="3216"/>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1"/>
      <c r="M26" s="1132"/>
      <c r="N26" s="1132"/>
      <c r="O26" s="1133"/>
      <c r="P26" s="3216"/>
      <c r="Q26" s="1793"/>
      <c r="R26" s="769"/>
      <c r="S26" s="770"/>
      <c r="T26" s="769"/>
      <c r="U26" s="770"/>
      <c r="V26" s="769"/>
      <c r="W26" s="770"/>
      <c r="X26" s="771"/>
      <c r="Y26" s="3216"/>
      <c r="Z26" s="55"/>
      <c r="AA26" s="772">
        <v>1</v>
      </c>
      <c r="AB26" s="772">
        <v>1</v>
      </c>
      <c r="AC26" s="772">
        <v>1</v>
      </c>
    </row>
    <row r="27" spans="1:29" ht="15">
      <c r="A27" s="427"/>
      <c r="B27" s="631" t="s">
        <v>2606</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6"/>
      <c r="Z27" s="1812" t="str">
        <f t="shared" ref="Z27:Z40" si="13">Q27</f>
        <v>临街状况</v>
      </c>
      <c r="AA27" s="1809">
        <f t="shared" si="3"/>
        <v>1</v>
      </c>
      <c r="AB27" s="1809">
        <f t="shared" si="4"/>
        <v>1</v>
      </c>
      <c r="AC27" s="1809">
        <f t="shared" si="5"/>
        <v>1</v>
      </c>
    </row>
    <row r="28" spans="1:29" ht="27">
      <c r="A28" s="427"/>
      <c r="B28" s="632" t="s">
        <v>2641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6"/>
      <c r="Q28" s="1808" t="str">
        <f t="shared" si="8"/>
        <v>毗邻道路的类型与等级</v>
      </c>
      <c r="R28" s="773" t="s">
        <v>17</v>
      </c>
      <c r="S28" s="774">
        <f t="shared" si="10"/>
        <v>100</v>
      </c>
      <c r="T28" s="773" t="s">
        <v>17</v>
      </c>
      <c r="U28" s="774">
        <f t="shared" si="11"/>
        <v>100</v>
      </c>
      <c r="V28" s="773" t="s">
        <v>17</v>
      </c>
      <c r="W28" s="774">
        <f t="shared" si="12"/>
        <v>100</v>
      </c>
      <c r="X28" s="1811"/>
      <c r="Y28" s="3216"/>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9"/>
      <c r="M29" s="1130"/>
      <c r="N29" s="1130"/>
      <c r="O29" s="1138"/>
      <c r="P29" s="3216"/>
      <c r="Q29" s="1808"/>
      <c r="R29" s="773"/>
      <c r="S29" s="774"/>
      <c r="T29" s="773"/>
      <c r="U29" s="774"/>
      <c r="V29" s="773"/>
      <c r="W29" s="774"/>
      <c r="X29" s="1811"/>
      <c r="Y29" s="3216"/>
      <c r="Z29" s="1812"/>
      <c r="AA29" s="1809">
        <v>1</v>
      </c>
      <c r="AB29" s="1809">
        <v>1</v>
      </c>
      <c r="AC29" s="1809">
        <v>1</v>
      </c>
    </row>
    <row r="30" spans="1:29" ht="15">
      <c r="A30" s="427"/>
      <c r="B30" s="653" t="s">
        <v>2698</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6"/>
      <c r="Q30" s="1808" t="str">
        <f t="shared" si="8"/>
        <v>土地级别</v>
      </c>
      <c r="R30" s="773" t="s">
        <v>17</v>
      </c>
      <c r="S30" s="774">
        <f t="shared" si="10"/>
        <v>100</v>
      </c>
      <c r="T30" s="773" t="s">
        <v>17</v>
      </c>
      <c r="U30" s="774">
        <f t="shared" si="11"/>
        <v>100</v>
      </c>
      <c r="V30" s="773" t="s">
        <v>17</v>
      </c>
      <c r="W30" s="774">
        <f t="shared" si="12"/>
        <v>100</v>
      </c>
      <c r="X30" s="1811"/>
      <c r="Y30" s="3216"/>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6"/>
      <c r="Q31" s="1808">
        <f t="shared" si="8"/>
        <v>111</v>
      </c>
      <c r="R31" s="773" t="s">
        <v>17</v>
      </c>
      <c r="S31" s="774">
        <f t="shared" si="10"/>
        <v>100</v>
      </c>
      <c r="T31" s="773" t="s">
        <v>17</v>
      </c>
      <c r="U31" s="774">
        <f t="shared" si="11"/>
        <v>100</v>
      </c>
      <c r="V31" s="773" t="s">
        <v>17</v>
      </c>
      <c r="W31" s="774">
        <f t="shared" si="12"/>
        <v>100</v>
      </c>
      <c r="X31" s="1811"/>
      <c r="Y31" s="3216"/>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17" t="s">
        <v>2516</v>
      </c>
      <c r="Q32" s="1808">
        <f t="shared" si="8"/>
        <v>111</v>
      </c>
      <c r="R32" s="773" t="s">
        <v>17</v>
      </c>
      <c r="S32" s="774">
        <f t="shared" si="10"/>
        <v>100</v>
      </c>
      <c r="T32" s="773" t="s">
        <v>17</v>
      </c>
      <c r="U32" s="774">
        <f t="shared" si="11"/>
        <v>100</v>
      </c>
      <c r="V32" s="773" t="s">
        <v>17</v>
      </c>
      <c r="W32" s="774">
        <f t="shared" si="12"/>
        <v>100</v>
      </c>
      <c r="X32" s="1811"/>
      <c r="Y32" s="3218" t="s">
        <v>2516</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8"/>
      <c r="Q33" s="1808">
        <f t="shared" si="8"/>
        <v>111</v>
      </c>
      <c r="R33" s="776" t="s">
        <v>17</v>
      </c>
      <c r="S33" s="777">
        <f t="shared" si="10"/>
        <v>100</v>
      </c>
      <c r="T33" s="776" t="s">
        <v>17</v>
      </c>
      <c r="U33" s="777">
        <f t="shared" si="11"/>
        <v>100</v>
      </c>
      <c r="V33" s="776" t="s">
        <v>17</v>
      </c>
      <c r="W33" s="777">
        <f t="shared" si="12"/>
        <v>100</v>
      </c>
      <c r="X33" s="778"/>
      <c r="Y33" s="3218"/>
      <c r="Z33" s="779">
        <f t="shared" si="13"/>
        <v>111</v>
      </c>
      <c r="AA33" s="1809">
        <f t="shared" si="3"/>
        <v>1</v>
      </c>
      <c r="AB33" s="1809">
        <f t="shared" si="4"/>
        <v>1</v>
      </c>
      <c r="AC33" s="1809">
        <f t="shared" si="5"/>
        <v>1</v>
      </c>
    </row>
    <row r="34" spans="1:29" ht="15">
      <c r="A34" s="439" t="s">
        <v>2514</v>
      </c>
      <c r="B34" s="455" t="s">
        <v>2699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8"/>
      <c r="Q34" s="1808" t="str">
        <f>B34</f>
        <v>宗地面积</v>
      </c>
      <c r="R34" s="773" t="s">
        <v>17</v>
      </c>
      <c r="S34" s="774" t="e">
        <f t="shared" si="10"/>
        <v>#N/A</v>
      </c>
      <c r="T34" s="773" t="s">
        <v>17</v>
      </c>
      <c r="U34" s="774" t="e">
        <f t="shared" si="11"/>
        <v>#N/A</v>
      </c>
      <c r="V34" s="773" t="s">
        <v>17</v>
      </c>
      <c r="W34" s="774" t="e">
        <f t="shared" si="12"/>
        <v>#N/A</v>
      </c>
      <c r="X34" s="1811"/>
      <c r="Y34" s="3218"/>
      <c r="Z34" s="1812" t="str">
        <f t="shared" si="13"/>
        <v>宗地面积</v>
      </c>
      <c r="AA34" s="1809" t="e">
        <f t="shared" si="3"/>
        <v>#N/A</v>
      </c>
      <c r="AB34" s="1809" t="e">
        <f t="shared" si="4"/>
        <v>#N/A</v>
      </c>
      <c r="AC34" s="1809" t="e">
        <f t="shared" si="5"/>
        <v>#N/A</v>
      </c>
    </row>
    <row r="35" spans="1:29" ht="15">
      <c r="A35" s="471"/>
      <c r="B35" s="421" t="s">
        <v>2700</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18"/>
      <c r="Q35" s="1808" t="str">
        <f t="shared" ref="Q35:Q40" si="14">B35</f>
        <v>宗地形状</v>
      </c>
      <c r="R35" s="773" t="s">
        <v>17</v>
      </c>
      <c r="S35" s="774">
        <f t="shared" si="10"/>
        <v>100</v>
      </c>
      <c r="T35" s="773" t="s">
        <v>17</v>
      </c>
      <c r="U35" s="774">
        <f t="shared" si="11"/>
        <v>100</v>
      </c>
      <c r="V35" s="773" t="s">
        <v>17</v>
      </c>
      <c r="W35" s="774">
        <f t="shared" si="12"/>
        <v>100</v>
      </c>
      <c r="X35" s="1811"/>
      <c r="Y35" s="3218"/>
      <c r="Z35" s="1812" t="str">
        <f t="shared" si="13"/>
        <v>宗地形状</v>
      </c>
      <c r="AA35" s="1809">
        <f t="shared" si="3"/>
        <v>1</v>
      </c>
      <c r="AB35" s="1809">
        <f t="shared" si="4"/>
        <v>1</v>
      </c>
      <c r="AC35" s="1809">
        <f t="shared" si="5"/>
        <v>1</v>
      </c>
    </row>
    <row r="36" spans="1:29" s="117" customFormat="1" ht="15">
      <c r="A36" s="472"/>
      <c r="B36" s="421" t="s">
        <v>2702</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18"/>
      <c r="Q36" s="1808"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2703</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18" t="s">
        <v>2516</v>
      </c>
      <c r="Q37" s="1808" t="str">
        <f t="shared" si="14"/>
        <v>工程地质条件</v>
      </c>
      <c r="R37" s="773" t="s">
        <v>17</v>
      </c>
      <c r="S37" s="774">
        <f t="shared" si="10"/>
        <v>100</v>
      </c>
      <c r="T37" s="773" t="s">
        <v>17</v>
      </c>
      <c r="U37" s="774">
        <f t="shared" si="11"/>
        <v>100</v>
      </c>
      <c r="V37" s="773" t="s">
        <v>17</v>
      </c>
      <c r="W37" s="774">
        <f t="shared" si="12"/>
        <v>100</v>
      </c>
      <c r="X37" s="1811"/>
      <c r="Y37" s="3218" t="s">
        <v>2516</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8"/>
      <c r="Q38" s="1808">
        <f t="shared" si="14"/>
        <v>111</v>
      </c>
      <c r="R38" s="773" t="s">
        <v>17</v>
      </c>
      <c r="S38" s="774">
        <f t="shared" si="10"/>
        <v>100</v>
      </c>
      <c r="T38" s="773" t="s">
        <v>17</v>
      </c>
      <c r="U38" s="774">
        <f t="shared" si="11"/>
        <v>100</v>
      </c>
      <c r="V38" s="773" t="s">
        <v>17</v>
      </c>
      <c r="W38" s="774">
        <f t="shared" si="12"/>
        <v>100</v>
      </c>
      <c r="X38" s="1811"/>
      <c r="Y38" s="3218"/>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8"/>
      <c r="Q39" s="1808">
        <f t="shared" si="14"/>
        <v>111</v>
      </c>
      <c r="R39" s="773" t="s">
        <v>17</v>
      </c>
      <c r="S39" s="774">
        <f t="shared" si="10"/>
        <v>100</v>
      </c>
      <c r="T39" s="773" t="s">
        <v>17</v>
      </c>
      <c r="U39" s="774">
        <f t="shared" si="11"/>
        <v>100</v>
      </c>
      <c r="V39" s="773" t="s">
        <v>17</v>
      </c>
      <c r="W39" s="774">
        <f t="shared" si="12"/>
        <v>100</v>
      </c>
      <c r="X39" s="1811"/>
      <c r="Y39" s="3218"/>
      <c r="Z39" s="1812">
        <f t="shared" si="13"/>
        <v>111</v>
      </c>
      <c r="AA39" s="1809">
        <f t="shared" si="3"/>
        <v>1</v>
      </c>
      <c r="AB39" s="1809">
        <f t="shared" si="4"/>
        <v>1</v>
      </c>
      <c r="AC39" s="1809">
        <f t="shared" si="5"/>
        <v>1</v>
      </c>
    </row>
    <row r="40" spans="1:29" s="470" customFormat="1" ht="15.75" thickBot="1">
      <c r="A40" s="467"/>
      <c r="B40" s="1386">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8"/>
      <c r="Q40" s="1808">
        <f t="shared" si="14"/>
        <v>111</v>
      </c>
      <c r="R40" s="776" t="s">
        <v>17</v>
      </c>
      <c r="S40" s="777">
        <f t="shared" si="10"/>
        <v>100</v>
      </c>
      <c r="T40" s="776" t="s">
        <v>17</v>
      </c>
      <c r="U40" s="777">
        <f t="shared" si="11"/>
        <v>100</v>
      </c>
      <c r="V40" s="776" t="s">
        <v>17</v>
      </c>
      <c r="W40" s="777">
        <f t="shared" si="12"/>
        <v>100</v>
      </c>
      <c r="X40" s="778"/>
      <c r="Y40" s="3218"/>
      <c r="Z40" s="779">
        <f t="shared" si="13"/>
        <v>111</v>
      </c>
      <c r="AA40" s="1809">
        <f t="shared" si="3"/>
        <v>1</v>
      </c>
      <c r="AB40" s="1809">
        <f t="shared" si="4"/>
        <v>1</v>
      </c>
      <c r="AC40" s="1809">
        <f t="shared" si="5"/>
        <v>1</v>
      </c>
    </row>
    <row r="41" spans="1:29" ht="15">
      <c r="A41" s="478" t="s">
        <v>2670</v>
      </c>
      <c r="B41" s="2700" t="s">
        <v>2747</v>
      </c>
      <c r="C41" s="681" t="s">
        <v>1</v>
      </c>
      <c r="D41" s="480"/>
      <c r="E41" s="481"/>
      <c r="F41" s="482"/>
      <c r="G41" s="483"/>
      <c r="H41" s="484"/>
      <c r="I41" s="481"/>
      <c r="J41" s="484"/>
      <c r="K41" s="782"/>
      <c r="L41" s="1142"/>
      <c r="M41" s="1130"/>
      <c r="N41" s="1130"/>
      <c r="O41" s="1143"/>
      <c r="P41" s="3213" t="str">
        <f>A41</f>
        <v>成交单价</v>
      </c>
      <c r="Q41" s="3213"/>
      <c r="R41" s="3219">
        <f>E41</f>
        <v>0</v>
      </c>
      <c r="S41" s="3219"/>
      <c r="T41" s="3219">
        <f>G41</f>
        <v>0</v>
      </c>
      <c r="U41" s="3219"/>
      <c r="V41" s="3219">
        <f>I41</f>
        <v>0</v>
      </c>
      <c r="W41" s="3219"/>
      <c r="X41" s="758"/>
      <c r="Y41" s="780"/>
      <c r="Z41" s="758"/>
      <c r="AA41" s="758"/>
      <c r="AB41" s="758"/>
      <c r="AC41" s="758"/>
    </row>
    <row r="42" spans="1:29" ht="15.75" thickBot="1">
      <c r="A42" s="485" t="s">
        <v>2619</v>
      </c>
      <c r="B42" s="682"/>
      <c r="C42" s="489" t="e">
        <f>R43</f>
        <v>#DIV/0!</v>
      </c>
      <c r="D42" s="488"/>
      <c r="E42" s="489" t="e">
        <f>R42</f>
        <v>#DIV/0!</v>
      </c>
      <c r="F42" s="490"/>
      <c r="G42" s="487" t="e">
        <f>T42</f>
        <v>#DIV/0!</v>
      </c>
      <c r="H42" s="488"/>
      <c r="I42" s="489" t="e">
        <f>V42</f>
        <v>#DIV/0!</v>
      </c>
      <c r="J42" s="488"/>
      <c r="K42" s="783"/>
      <c r="L42" s="1142"/>
      <c r="M42" s="1130"/>
      <c r="N42" s="1130"/>
      <c r="O42" s="1143"/>
      <c r="P42" s="3213" t="str">
        <f>A42</f>
        <v>比较价值（元/平方米）</v>
      </c>
      <c r="Q42" s="3213"/>
      <c r="R42" s="3206" t="e">
        <f>ROUND(PRODUCT(R41,AA7:AA40),0)</f>
        <v>#DIV/0!</v>
      </c>
      <c r="S42" s="3206"/>
      <c r="T42" s="3206" t="e">
        <f>ROUND(PRODUCT(T41,AB7:AB40),0)</f>
        <v>#DIV/0!</v>
      </c>
      <c r="U42" s="3206"/>
      <c r="V42" s="3206" t="e">
        <f>ROUND(PRODUCT(V41,AC7:AC40),0)</f>
        <v>#DIV/0!</v>
      </c>
      <c r="W42" s="3206"/>
      <c r="X42" s="758"/>
      <c r="Y42" s="758"/>
      <c r="Z42" s="758"/>
      <c r="AA42" s="758"/>
      <c r="AB42" s="758"/>
      <c r="AC42" s="758"/>
    </row>
    <row r="43" spans="1:29" ht="15.75" thickBot="1">
      <c r="A43" s="491" t="s">
        <v>2620</v>
      </c>
      <c r="B43" s="492"/>
      <c r="C43" s="493" t="e">
        <f>R43</f>
        <v>#DIV/0!</v>
      </c>
      <c r="D43" s="493"/>
      <c r="E43" s="493"/>
      <c r="F43" s="493"/>
      <c r="G43" s="493"/>
      <c r="H43" s="493"/>
      <c r="I43" s="493"/>
      <c r="J43" s="493"/>
      <c r="K43" s="784"/>
      <c r="L43" s="1142"/>
      <c r="M43" s="1130"/>
      <c r="N43" s="1130"/>
      <c r="O43" s="1143"/>
      <c r="P43" s="3207" t="str">
        <f>A43</f>
        <v>估价对象XX用房的比较价值（楼面单价，元/平方米）</v>
      </c>
      <c r="Q43" s="3208"/>
      <c r="R43" s="3209" t="e">
        <f>ROUND(AVERAGE(R42:V42),0)</f>
        <v>#DIV/0!</v>
      </c>
      <c r="S43" s="3209"/>
      <c r="T43" s="3209"/>
      <c r="U43" s="3209"/>
      <c r="V43" s="3209"/>
      <c r="W43" s="320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2621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2622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2623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2705</v>
      </c>
      <c r="B50" s="684" t="s">
        <v>2706</v>
      </c>
      <c r="C50" s="2701" t="s">
        <v>2707</v>
      </c>
      <c r="D50" s="2702" t="s">
        <v>2708</v>
      </c>
      <c r="E50" s="685" t="s">
        <v>2709</v>
      </c>
      <c r="F50" s="686" t="s">
        <v>2710</v>
      </c>
      <c r="G50" s="3210" t="s">
        <v>2711</v>
      </c>
      <c r="H50" s="3211"/>
      <c r="I50" s="1812" t="s">
        <v>2748</v>
      </c>
      <c r="J50" s="1812">
        <f>项目基本情况!F35</f>
        <v>0</v>
      </c>
      <c r="K50" s="2704" t="s">
        <v>2713</v>
      </c>
      <c r="L50" s="1105"/>
      <c r="M50" s="1143"/>
      <c r="N50" s="1143"/>
      <c r="O50" s="1143"/>
    </row>
    <row r="51" spans="1:17" s="691" customFormat="1">
      <c r="A51" s="687" t="s">
        <v>2714</v>
      </c>
      <c r="B51" s="688" t="e">
        <f>C43</f>
        <v>#DIV/0!</v>
      </c>
      <c r="C51" s="689">
        <v>1</v>
      </c>
      <c r="D51" s="1162">
        <v>1</v>
      </c>
      <c r="E51" s="689">
        <f>'数据-汇总表'!E8+'数据-汇总表'!E9</f>
        <v>72809.22</v>
      </c>
      <c r="F51" s="690" t="e">
        <f t="shared" ref="F51:F60" si="15">ROUND(B51*E51/10000,0)</f>
        <v>#DIV/0!</v>
      </c>
      <c r="G51" s="3212"/>
      <c r="H51" s="3213"/>
      <c r="I51" s="941">
        <v>1</v>
      </c>
      <c r="J51" s="941">
        <v>1</v>
      </c>
      <c r="K51" s="1144"/>
      <c r="L51" s="940"/>
      <c r="M51" s="940"/>
      <c r="N51" s="940"/>
      <c r="O51" s="940"/>
    </row>
    <row r="52" spans="1:17" s="691" customFormat="1">
      <c r="A52" s="692" t="s">
        <v>2715</v>
      </c>
      <c r="B52" s="261" t="e">
        <f>ROUND($C$43*C52*D52,0)</f>
        <v>#DIV/0!</v>
      </c>
      <c r="C52" s="199">
        <f t="shared" ref="C52:C60" si="16">IF($C$50="北京市系数",I52,J52)</f>
        <v>0.7</v>
      </c>
      <c r="D52" s="1163">
        <v>0.25</v>
      </c>
      <c r="E52" s="693"/>
      <c r="F52" s="690" t="e">
        <f t="shared" si="15"/>
        <v>#DIV/0!</v>
      </c>
      <c r="G52" s="3214" t="s">
        <v>2716</v>
      </c>
      <c r="H52" s="1103" t="str">
        <f>项目基本情况!B37</f>
        <v>七级</v>
      </c>
      <c r="I52" s="941">
        <f>SUMIF(修正!A45:A56,H52,修正!B45:B56)</f>
        <v>0.7</v>
      </c>
      <c r="J52" s="942"/>
      <c r="K52" s="1143"/>
      <c r="L52" s="940"/>
      <c r="M52" s="940"/>
      <c r="N52" s="940"/>
      <c r="O52" s="940"/>
    </row>
    <row r="53" spans="1:17" s="691" customFormat="1">
      <c r="A53" s="692" t="s">
        <v>2717</v>
      </c>
      <c r="B53" s="261" t="e">
        <f t="shared" ref="B53:B60" si="17">ROUND($C$43*C53*D53,0)</f>
        <v>#DIV/0!</v>
      </c>
      <c r="C53" s="199">
        <f t="shared" si="16"/>
        <v>0.4</v>
      </c>
      <c r="D53" s="1163">
        <v>0.25</v>
      </c>
      <c r="E53" s="693"/>
      <c r="F53" s="690" t="e">
        <f t="shared" si="15"/>
        <v>#DIV/0!</v>
      </c>
      <c r="G53" s="3214"/>
      <c r="H53" s="1103" t="str">
        <f>项目基本情况!B37</f>
        <v>七级</v>
      </c>
      <c r="I53" s="941">
        <f>SUMIF(修正!A45:A56,H53,修正!C45:C56)</f>
        <v>0.4</v>
      </c>
      <c r="J53" s="942"/>
      <c r="K53" s="1144"/>
      <c r="L53" s="940"/>
      <c r="M53" s="940"/>
      <c r="N53" s="940"/>
      <c r="O53" s="940"/>
    </row>
    <row r="54" spans="1:17" s="691" customFormat="1">
      <c r="A54" s="692" t="s">
        <v>2718</v>
      </c>
      <c r="B54" s="261" t="e">
        <f t="shared" si="17"/>
        <v>#DIV/0!</v>
      </c>
      <c r="C54" s="199">
        <f t="shared" si="16"/>
        <v>0.28000000000000003</v>
      </c>
      <c r="D54" s="1163">
        <v>0.25</v>
      </c>
      <c r="E54" s="693"/>
      <c r="F54" s="690" t="e">
        <f t="shared" si="15"/>
        <v>#DIV/0!</v>
      </c>
      <c r="G54" s="3214"/>
      <c r="H54" s="1103" t="str">
        <f>项目基本情况!B37</f>
        <v>七级</v>
      </c>
      <c r="I54" s="941">
        <f>SUMIF(修正!A45:A56,H54,修正!D45:D56)</f>
        <v>0.28000000000000003</v>
      </c>
      <c r="J54" s="942"/>
      <c r="K54" s="1143"/>
      <c r="L54" s="940"/>
      <c r="M54" s="940"/>
      <c r="N54" s="940"/>
      <c r="O54" s="940"/>
    </row>
    <row r="55" spans="1:17" s="691" customFormat="1">
      <c r="A55" s="692" t="s">
        <v>2719</v>
      </c>
      <c r="B55" s="261" t="e">
        <f t="shared" si="17"/>
        <v>#DIV/0!</v>
      </c>
      <c r="C55" s="199">
        <f t="shared" si="16"/>
        <v>0.25</v>
      </c>
      <c r="D55" s="1163">
        <v>0.25</v>
      </c>
      <c r="E55" s="693"/>
      <c r="F55" s="690" t="e">
        <f t="shared" si="15"/>
        <v>#DIV/0!</v>
      </c>
      <c r="G55" s="3214"/>
      <c r="H55" s="1103" t="str">
        <f>项目基本情况!B37</f>
        <v>七级</v>
      </c>
      <c r="I55" s="941">
        <f>SUMIF(修正!A45:A56,H55,修正!E45:E56)</f>
        <v>0.25</v>
      </c>
      <c r="J55" s="942"/>
      <c r="K55" s="1144"/>
      <c r="L55" s="940"/>
      <c r="M55" s="940"/>
      <c r="N55" s="940"/>
      <c r="O55" s="940"/>
    </row>
    <row r="56" spans="1:17" s="691" customFormat="1">
      <c r="A56" s="692" t="s">
        <v>2720</v>
      </c>
      <c r="B56" s="261" t="e">
        <f t="shared" si="17"/>
        <v>#DIV/0!</v>
      </c>
      <c r="C56" s="199">
        <f t="shared" si="16"/>
        <v>0.25</v>
      </c>
      <c r="D56" s="1163">
        <v>0.25</v>
      </c>
      <c r="E56" s="260">
        <f>'数据-汇总表'!E11</f>
        <v>0</v>
      </c>
      <c r="F56" s="690" t="e">
        <f t="shared" si="15"/>
        <v>#DIV/0!</v>
      </c>
      <c r="G56" s="2705" t="s">
        <v>2721</v>
      </c>
      <c r="H56" s="1103" t="str">
        <f>项目基本情况!C37</f>
        <v>七级</v>
      </c>
      <c r="I56" s="941">
        <f>SUMIF(修正!A45:A56,H56,修正!F45:F56)</f>
        <v>0.25</v>
      </c>
      <c r="J56" s="942"/>
      <c r="K56" s="1143"/>
      <c r="L56" s="940"/>
      <c r="M56" s="940"/>
      <c r="N56" s="940"/>
      <c r="O56" s="940"/>
    </row>
    <row r="57" spans="1:17" s="691" customFormat="1">
      <c r="A57" s="692" t="s">
        <v>2722</v>
      </c>
      <c r="B57" s="261" t="e">
        <f t="shared" si="17"/>
        <v>#DIV/0!</v>
      </c>
      <c r="C57" s="199">
        <f t="shared" si="16"/>
        <v>0.25</v>
      </c>
      <c r="D57" s="1163">
        <v>0.25</v>
      </c>
      <c r="E57" s="260">
        <f>'数据-汇总表'!E12</f>
        <v>18134.59</v>
      </c>
      <c r="F57" s="690" t="e">
        <f t="shared" si="15"/>
        <v>#DIV/0!</v>
      </c>
      <c r="G57" s="1108" t="s">
        <v>2723</v>
      </c>
      <c r="H57" s="1103" t="str">
        <f>IF(G57="商业",项目基本情况!B37,IF(G57="办公",项目基本情况!C37,IF(G57="住宅",项目基本情况!D37,项目基本情况!E37)))</f>
        <v>七级</v>
      </c>
      <c r="I57" s="941">
        <f>SUMIF(修正!A45:A56,H57,修正!G45:G56)</f>
        <v>0.25</v>
      </c>
      <c r="J57" s="942"/>
      <c r="K57" s="1144"/>
      <c r="L57" s="940"/>
      <c r="M57" s="940"/>
      <c r="N57" s="940"/>
      <c r="O57" s="940"/>
    </row>
    <row r="58" spans="1:17" s="691" customFormat="1">
      <c r="A58" s="692" t="s">
        <v>2724</v>
      </c>
      <c r="B58" s="261" t="e">
        <f t="shared" si="17"/>
        <v>#DIV/0!</v>
      </c>
      <c r="C58" s="199">
        <f t="shared" si="16"/>
        <v>0.2</v>
      </c>
      <c r="D58" s="1163">
        <v>0.25</v>
      </c>
      <c r="E58" s="260">
        <f>'数据-汇总表'!E13</f>
        <v>30558.489999999998</v>
      </c>
      <c r="F58" s="690" t="e">
        <f t="shared" si="15"/>
        <v>#DIV/0!</v>
      </c>
      <c r="G58" s="1108" t="s">
        <v>2725</v>
      </c>
      <c r="H58" s="1103" t="str">
        <f>IF(G58="商业",项目基本情况!B37,IF(G58="办公",项目基本情况!C37,IF(G58="住宅",项目基本情况!D37,项目基本情况!E37)))</f>
        <v>七级</v>
      </c>
      <c r="I58" s="941">
        <f>SUMIF(修正!A45:A56,H58,修正!H45:H56)</f>
        <v>0.2</v>
      </c>
      <c r="J58" s="942"/>
      <c r="K58" s="1143"/>
      <c r="L58" s="940"/>
      <c r="M58" s="940"/>
      <c r="N58" s="940"/>
      <c r="O58" s="940"/>
    </row>
    <row r="59" spans="1:17" s="691" customFormat="1">
      <c r="A59" s="692" t="s">
        <v>2726</v>
      </c>
      <c r="B59" s="261" t="e">
        <f t="shared" si="17"/>
        <v>#DIV/0!</v>
      </c>
      <c r="C59" s="199">
        <f t="shared" si="16"/>
        <v>0.2</v>
      </c>
      <c r="D59" s="1163">
        <v>0.25</v>
      </c>
      <c r="E59" s="260">
        <f>'数据-汇总表'!E14</f>
        <v>0</v>
      </c>
      <c r="F59" s="690" t="e">
        <f t="shared" si="15"/>
        <v>#DIV/0!</v>
      </c>
      <c r="G59" s="2705" t="s">
        <v>2716</v>
      </c>
      <c r="H59" s="1103" t="str">
        <f>项目基本情况!B37</f>
        <v>七级</v>
      </c>
      <c r="I59" s="941">
        <f>SUMIF(修正!A45:A56,H59,修正!H45:H56)</f>
        <v>0.2</v>
      </c>
      <c r="J59" s="942"/>
      <c r="K59" s="1144"/>
      <c r="L59" s="940"/>
      <c r="M59" s="940"/>
      <c r="N59" s="940"/>
      <c r="O59" s="940"/>
    </row>
    <row r="60" spans="1:17" s="691" customFormat="1" ht="15" thickBot="1">
      <c r="A60" s="692" t="s">
        <v>2727</v>
      </c>
      <c r="B60" s="261" t="e">
        <f t="shared" si="17"/>
        <v>#DIV/0!</v>
      </c>
      <c r="C60" s="199">
        <f t="shared" si="16"/>
        <v>0.2</v>
      </c>
      <c r="D60" s="1163">
        <v>0.25</v>
      </c>
      <c r="E60" s="260">
        <f>'数据-汇总表'!E15</f>
        <v>0</v>
      </c>
      <c r="F60" s="690" t="e">
        <f t="shared" si="15"/>
        <v>#DIV/0!</v>
      </c>
      <c r="G60" s="2706" t="s">
        <v>2721</v>
      </c>
      <c r="H60" s="1113" t="str">
        <f>项目基本情况!C37</f>
        <v>七级</v>
      </c>
      <c r="I60" s="941">
        <f>SUMIF(修正!A45:A56,H60,修正!H45:H56)</f>
        <v>0.2</v>
      </c>
      <c r="J60" s="942"/>
      <c r="K60" s="1143"/>
      <c r="L60" s="940"/>
      <c r="M60" s="940"/>
      <c r="N60" s="940"/>
      <c r="O60" s="940"/>
    </row>
    <row r="61" spans="1:17" s="691" customFormat="1" ht="15" thickBot="1">
      <c r="A61" s="694" t="s">
        <v>2728</v>
      </c>
      <c r="B61" s="695" t="s">
        <v>28</v>
      </c>
      <c r="C61" s="695" t="s">
        <v>29</v>
      </c>
      <c r="D61" s="695" t="s">
        <v>1025</v>
      </c>
      <c r="E61" s="695">
        <f>IF(B41="楼面地价",SUM(E51:E60),'数据-汇总表'!D3)</f>
        <v>34567.79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2020-4-1</v>
      </c>
      <c r="D63" s="760">
        <f>EDATE(C63,-3)</f>
        <v>43831</v>
      </c>
      <c r="E63" s="760">
        <f>EDATE(D63,-3)</f>
        <v>43739</v>
      </c>
      <c r="F63" s="760">
        <f t="shared" ref="F63:O63" si="18">EDATE(E63,-3)</f>
        <v>43647</v>
      </c>
      <c r="G63" s="760">
        <f t="shared" si="18"/>
        <v>43556</v>
      </c>
      <c r="H63" s="760">
        <f t="shared" si="18"/>
        <v>43466</v>
      </c>
      <c r="I63" s="760">
        <f t="shared" si="18"/>
        <v>43374</v>
      </c>
      <c r="J63" s="760">
        <f t="shared" si="18"/>
        <v>43282</v>
      </c>
      <c r="K63" s="760">
        <f t="shared" si="18"/>
        <v>43191</v>
      </c>
      <c r="L63" s="760">
        <f t="shared" si="18"/>
        <v>43101</v>
      </c>
      <c r="M63" s="760">
        <f t="shared" si="18"/>
        <v>43009</v>
      </c>
      <c r="N63" s="760">
        <f t="shared" si="18"/>
        <v>42917</v>
      </c>
      <c r="O63" s="760">
        <f t="shared" si="18"/>
        <v>42826</v>
      </c>
    </row>
    <row r="64" spans="1:17" ht="21.75" thickBot="1">
      <c r="A64" s="762" t="s">
        <v>2624</v>
      </c>
      <c r="B64" s="758"/>
      <c r="C64" s="763"/>
      <c r="D64" s="763"/>
      <c r="E64" s="763"/>
      <c r="F64" s="764"/>
      <c r="G64" s="764"/>
      <c r="H64" s="763"/>
      <c r="I64" s="763"/>
      <c r="J64" s="763"/>
      <c r="K64" s="765"/>
      <c r="L64" s="766"/>
      <c r="M64" s="763"/>
      <c r="N64" s="763"/>
      <c r="O64" s="1158"/>
      <c r="P64" s="502"/>
      <c r="Q64" s="503"/>
    </row>
    <row r="65" spans="1:17" s="507" customFormat="1" ht="15">
      <c r="A65" s="2707" t="s">
        <v>2729</v>
      </c>
      <c r="B65" s="1358"/>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7" customFormat="1" ht="30.75" customHeight="1">
      <c r="A66" s="2712" t="s">
        <v>2749</v>
      </c>
      <c r="B66" s="331" t="str">
        <f>"北京市平均增长率"&amp;TEXT(基准地价修正!P24,"0.00%")</f>
        <v>北京市平均增长率0.00%</v>
      </c>
      <c r="C66" s="602">
        <v>100</v>
      </c>
      <c r="D66" s="594"/>
      <c r="E66" s="594"/>
      <c r="F66" s="594"/>
      <c r="G66" s="594"/>
      <c r="H66" s="594"/>
      <c r="I66" s="594"/>
      <c r="J66" s="594"/>
      <c r="K66" s="594"/>
      <c r="L66" s="594"/>
      <c r="M66" s="1566"/>
      <c r="N66" s="1566"/>
      <c r="O66" s="1567"/>
      <c r="P66" s="503"/>
    </row>
    <row r="67" spans="1:17" s="117" customFormat="1" ht="15.75" thickBot="1">
      <c r="A67" s="514" t="s">
        <v>2535</v>
      </c>
      <c r="B67" s="515"/>
      <c r="C67" s="516"/>
      <c r="D67" s="517"/>
      <c r="E67" s="517"/>
      <c r="F67" s="517"/>
      <c r="G67" s="517"/>
      <c r="H67" s="517"/>
      <c r="I67" s="517"/>
      <c r="J67" s="517"/>
      <c r="K67" s="517"/>
      <c r="L67" s="517"/>
      <c r="M67" s="518"/>
      <c r="N67" s="518"/>
      <c r="O67" s="519"/>
      <c r="P67" s="503"/>
      <c r="Q67" s="503"/>
    </row>
    <row r="68" spans="1:17" s="117" customFormat="1" ht="15">
      <c r="A68" s="520" t="s">
        <v>2501</v>
      </c>
      <c r="B68" s="509"/>
      <c r="C68" s="521" t="s">
        <v>2602</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2538</v>
      </c>
      <c r="B70" s="527" t="s">
        <v>2505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2508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2509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2510</v>
      </c>
      <c r="B83" s="527" t="s">
        <v>2655</v>
      </c>
      <c r="C83" s="572" t="s">
        <v>2547</v>
      </c>
      <c r="D83" s="572" t="s">
        <v>2548</v>
      </c>
      <c r="E83" s="572" t="s">
        <v>2549</v>
      </c>
      <c r="F83" s="572" t="s">
        <v>2550</v>
      </c>
      <c r="G83" s="572" t="s">
        <v>2551</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2552</v>
      </c>
      <c r="C85" s="577" t="s">
        <v>2547</v>
      </c>
      <c r="D85" s="577" t="s">
        <v>2548</v>
      </c>
      <c r="E85" s="577" t="s">
        <v>2549</v>
      </c>
      <c r="F85" s="577" t="s">
        <v>2550</v>
      </c>
      <c r="G85" s="577" t="s">
        <v>2551</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2732</v>
      </c>
      <c r="C87" s="572" t="s">
        <v>2547</v>
      </c>
      <c r="D87" s="572" t="s">
        <v>2548</v>
      </c>
      <c r="E87" s="572" t="s">
        <v>2549</v>
      </c>
      <c r="F87" s="572" t="s">
        <v>2550</v>
      </c>
      <c r="G87" s="572" t="s">
        <v>2551</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2733</v>
      </c>
      <c r="C89" s="572" t="s">
        <v>2547</v>
      </c>
      <c r="D89" s="572" t="s">
        <v>2548</v>
      </c>
      <c r="E89" s="572" t="s">
        <v>2549</v>
      </c>
      <c r="F89" s="572" t="s">
        <v>2550</v>
      </c>
      <c r="G89" s="572" t="s">
        <v>2551</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2604</v>
      </c>
      <c r="C91" s="572" t="s">
        <v>2547</v>
      </c>
      <c r="D91" s="572" t="s">
        <v>2548</v>
      </c>
      <c r="E91" s="572" t="s">
        <v>2549</v>
      </c>
      <c r="F91" s="572" t="s">
        <v>2550</v>
      </c>
      <c r="G91" s="572" t="s">
        <v>2551</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2750</v>
      </c>
      <c r="C93" s="659" t="s">
        <v>2625</v>
      </c>
      <c r="D93" s="659" t="s">
        <v>2626</v>
      </c>
      <c r="E93" s="659" t="s">
        <v>2627</v>
      </c>
      <c r="F93" s="659" t="s">
        <v>2628</v>
      </c>
      <c r="G93" s="659" t="s">
        <v>2629</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2734</v>
      </c>
      <c r="D95" s="538" t="s">
        <v>2735</v>
      </c>
      <c r="E95" s="538" t="s">
        <v>2736</v>
      </c>
      <c r="F95" s="538" t="s">
        <v>2737</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2641</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2698</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2514</v>
      </c>
      <c r="B107" s="527" t="s">
        <v>2738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2739</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2741</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2742</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1" customWidth="1"/>
    <col min="33" max="36" width="9.375" style="2792" customWidth="1"/>
    <col min="37" max="38" width="9.375" style="2716" customWidth="1"/>
    <col min="39" max="16384" width="12" style="2716"/>
  </cols>
  <sheetData>
    <row r="1" spans="1:36" ht="28.5">
      <c r="A1" s="239" t="s">
        <v>2751</v>
      </c>
      <c r="B1" s="240"/>
      <c r="C1" s="244" t="s">
        <v>2752</v>
      </c>
      <c r="D1" s="387">
        <f>SUM(D29:D30,D33:D39)</f>
        <v>0</v>
      </c>
      <c r="E1" s="2713"/>
      <c r="F1" s="2713"/>
      <c r="G1" s="2713"/>
      <c r="H1" s="2713"/>
      <c r="I1" s="2713"/>
      <c r="J1" s="2713"/>
      <c r="K1" s="1369"/>
      <c r="L1" s="2714" t="s">
        <v>2753</v>
      </c>
      <c r="M1" s="1079">
        <f>SUMPRODUCT((区片价!B5:B9=I2)*(区片价!C3:F3=E2)*(区片价!C5:F9))</f>
        <v>0</v>
      </c>
      <c r="N1" s="1082">
        <f>SUMPRODUCT((因素修正幅度!B5:B9=I2)*(因素修正幅度!C3:F3=E2)*(因素修正幅度!C5:F9))</f>
        <v>0</v>
      </c>
      <c r="O1" s="2715"/>
      <c r="P1" s="2715"/>
      <c r="Q1" s="1369"/>
      <c r="R1" s="1600" t="s">
        <v>2754</v>
      </c>
      <c r="S1" s="1600" t="s">
        <v>2755</v>
      </c>
      <c r="T1" s="1600" t="s">
        <v>2756</v>
      </c>
      <c r="U1" s="1600" t="s">
        <v>2757</v>
      </c>
      <c r="V1" s="1600" t="s">
        <v>2758</v>
      </c>
      <c r="W1" s="1604"/>
      <c r="X1" s="1604"/>
      <c r="Y1" s="1604"/>
      <c r="Z1" s="1604"/>
      <c r="AA1" s="1604"/>
      <c r="AB1" s="1604"/>
      <c r="AC1" s="1605"/>
      <c r="AD1" s="1606"/>
      <c r="AE1" s="1606"/>
      <c r="AF1" s="1606"/>
      <c r="AG1" s="1606"/>
      <c r="AH1" s="1606"/>
      <c r="AI1" s="1606"/>
      <c r="AJ1" s="1607"/>
    </row>
    <row r="2" spans="1:36" ht="15.75">
      <c r="A2" s="244" t="s">
        <v>2759</v>
      </c>
      <c r="B2" s="247" t="e">
        <f>C26</f>
        <v>#DIV/0!</v>
      </c>
      <c r="C2" s="2717" t="s">
        <v>2760</v>
      </c>
      <c r="D2" s="2718" t="s">
        <v>2761</v>
      </c>
      <c r="E2" s="2719"/>
      <c r="F2" s="2718" t="s">
        <v>2762</v>
      </c>
      <c r="G2" s="2720">
        <f>IF(E2="商业",项目基本情况!B37,IF(E2="办公",项目基本情况!C37,IF(E2="住宅",项目基本情况!D37,项目基本情况!E37)))</f>
        <v>0</v>
      </c>
      <c r="H2" s="2718" t="s">
        <v>2763</v>
      </c>
      <c r="I2" s="2720">
        <f>IF(E2="商业",项目基本情况!B38,IF(E2="办公",项目基本情况!C38,IF(E2="住宅",项目基本情况!D38,项目基本情况!E38)))</f>
        <v>0</v>
      </c>
      <c r="J2" s="2721"/>
      <c r="K2" s="1369"/>
      <c r="L2" s="2722" t="s">
        <v>2764</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2765</v>
      </c>
      <c r="B3" s="247" t="e">
        <f>ROUND(B2*10000/D1,0)</f>
        <v>#DIV/0!</v>
      </c>
      <c r="C3" s="2717" t="s">
        <v>2766</v>
      </c>
      <c r="D3" s="2718" t="s">
        <v>2767</v>
      </c>
      <c r="E3" s="2723"/>
      <c r="F3" s="2724" t="s">
        <v>2768</v>
      </c>
      <c r="G3" s="912">
        <f>IF(F3="宗地容积率",'数据-汇总表'!I4,IF(F3="估价对象容积率",'数据-汇总表'!I6,'数据-汇总表'!I7))</f>
        <v>1.39</v>
      </c>
      <c r="H3" s="197" t="s">
        <v>2769</v>
      </c>
      <c r="I3" s="943"/>
      <c r="J3" s="2721" t="s">
        <v>2770</v>
      </c>
      <c r="K3" s="1369"/>
      <c r="L3" s="2722" t="s">
        <v>2771</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2"/>
      <c r="B4" s="3313"/>
      <c r="C4" s="3313"/>
      <c r="D4" s="3314"/>
      <c r="E4" s="3314"/>
      <c r="F4" s="3314"/>
      <c r="G4" s="3314"/>
      <c r="H4" s="3314"/>
      <c r="I4" s="3314"/>
      <c r="J4" s="3315"/>
      <c r="K4" s="1369"/>
      <c r="L4" s="2722" t="s">
        <v>2772</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806</v>
      </c>
      <c r="B5" s="2726" t="s">
        <v>2773</v>
      </c>
      <c r="C5" s="913" t="e">
        <f>ROUND(IF(E2="商业",IF(F16="增加",C6*C7+C16,C6*C7-C16),IF(E2="住宅",IF(F16="增加",C6*C12+C16,C6*C12-C16),IF(F16="增加",C6+C16,C6-C16))),0)</f>
        <v>#DIV/0!</v>
      </c>
      <c r="D5" s="1785" t="e">
        <f>ROUND(IF(F16="增加",C6+C16,C6-C16),0)</f>
        <v>#DIV/0!</v>
      </c>
      <c r="E5" s="1785"/>
      <c r="F5" s="2727"/>
      <c r="G5" s="2728"/>
      <c r="H5" s="2728"/>
      <c r="I5" s="2728"/>
      <c r="J5" s="2729"/>
      <c r="K5" s="2730"/>
      <c r="L5" s="2722" t="s">
        <v>2774</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2775</v>
      </c>
      <c r="B6" s="2736" t="s">
        <v>2776</v>
      </c>
      <c r="C6" s="914">
        <f>SUMIF(L1:L12,G2,M1:M12)</f>
        <v>0</v>
      </c>
      <c r="D6" s="2737" t="s">
        <v>2777</v>
      </c>
      <c r="E6" s="2738"/>
      <c r="F6" s="2738"/>
      <c r="G6" s="2739"/>
      <c r="H6" s="2739"/>
      <c r="I6" s="2739"/>
      <c r="J6" s="2740"/>
      <c r="K6" s="1840"/>
      <c r="L6" s="2722" t="s">
        <v>2778</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316" t="str">
        <f>IF(E2="商业",IF(C8="不临58条商业街","",2),"")</f>
        <v/>
      </c>
      <c r="B7" s="2741" t="s">
        <v>2779</v>
      </c>
      <c r="C7" s="915" t="e">
        <f>IF(C8="不临58条商业街",1,ROUND(1+(1.6*E8+1.2*E9+0.8*E10+0.4*E11)*C9,4))</f>
        <v>#DIV/0!</v>
      </c>
      <c r="D7" s="2742" t="s">
        <v>2780</v>
      </c>
      <c r="E7" s="944"/>
      <c r="F7" s="2743"/>
      <c r="G7" s="2744"/>
      <c r="H7" s="2744"/>
      <c r="I7" s="2744"/>
      <c r="J7" s="2745"/>
      <c r="K7" s="1840"/>
      <c r="L7" s="2722" t="s">
        <v>2781</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2782</v>
      </c>
      <c r="X7" s="1602">
        <f>G2</f>
        <v>0</v>
      </c>
      <c r="Y7" s="1602" t="s">
        <v>2783</v>
      </c>
      <c r="Z7" s="1603">
        <f>G3</f>
        <v>1.39</v>
      </c>
      <c r="AA7" s="1604"/>
      <c r="AB7" s="1604"/>
      <c r="AC7" s="1605"/>
      <c r="AD7" s="1606"/>
      <c r="AE7" s="1606"/>
      <c r="AF7" s="1606"/>
      <c r="AG7" s="1606"/>
      <c r="AH7" s="1606"/>
      <c r="AI7" s="1606"/>
      <c r="AJ7" s="1607"/>
    </row>
    <row r="8" spans="1:36" ht="15">
      <c r="A8" s="3317"/>
      <c r="B8" s="197" t="s">
        <v>2784</v>
      </c>
      <c r="C8" s="2746"/>
      <c r="D8" s="916" t="s">
        <v>139</v>
      </c>
      <c r="E8" s="917" t="e">
        <f>ROUND(C11/E7,4)</f>
        <v>#DIV/0!</v>
      </c>
      <c r="F8" s="2747" t="s">
        <v>2785</v>
      </c>
      <c r="G8" s="2748"/>
      <c r="H8" s="2748"/>
      <c r="I8" s="2748"/>
      <c r="J8" s="2749"/>
      <c r="K8" s="1369"/>
      <c r="L8" s="2722" t="s">
        <v>2786</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09" t="s">
        <v>2787</v>
      </c>
      <c r="X8" s="3310"/>
      <c r="Y8" s="1608" t="s">
        <v>2788</v>
      </c>
      <c r="Z8" s="1608" t="s">
        <v>2789</v>
      </c>
      <c r="AA8" s="1608" t="s">
        <v>2790</v>
      </c>
      <c r="AB8" s="1608" t="s">
        <v>2791</v>
      </c>
      <c r="AC8" s="1608" t="s">
        <v>2792</v>
      </c>
      <c r="AD8" s="1608" t="s">
        <v>2793</v>
      </c>
      <c r="AE8" s="1608" t="s">
        <v>2794</v>
      </c>
      <c r="AF8" s="1608" t="s">
        <v>2795</v>
      </c>
      <c r="AG8" s="1608" t="s">
        <v>2796</v>
      </c>
      <c r="AH8" s="1608" t="s">
        <v>2797</v>
      </c>
      <c r="AI8" s="1608" t="s">
        <v>2798</v>
      </c>
      <c r="AJ8" s="1608" t="s">
        <v>2799</v>
      </c>
    </row>
    <row r="9" spans="1:36" ht="15">
      <c r="A9" s="3317"/>
      <c r="B9" s="197" t="s">
        <v>2800</v>
      </c>
      <c r="C9" s="918">
        <f>SUMIF(修正!C59:C119,C8,修正!E59:E119)</f>
        <v>0</v>
      </c>
      <c r="D9" s="199" t="s">
        <v>140</v>
      </c>
      <c r="E9" s="199" t="e">
        <f>ROUND(C11/E7,4)</f>
        <v>#DIV/0!</v>
      </c>
      <c r="F9" s="2747" t="s">
        <v>2801</v>
      </c>
      <c r="G9" s="2748"/>
      <c r="H9" s="2748"/>
      <c r="I9" s="2748"/>
      <c r="J9" s="2749"/>
      <c r="K9" s="1369"/>
      <c r="L9" s="2722" t="s">
        <v>2802</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1" t="s">
        <v>2803</v>
      </c>
      <c r="X9" s="1609" t="s">
        <v>2804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7"/>
      <c r="B10" s="197" t="s">
        <v>2805</v>
      </c>
      <c r="C10" s="199">
        <f>SUMIF(修正!C59:C119,C8,修正!F59:F119)</f>
        <v>0</v>
      </c>
      <c r="D10" s="199" t="s">
        <v>141</v>
      </c>
      <c r="E10" s="199" t="e">
        <f>ROUND(C11/E7,4)</f>
        <v>#DIV/0!</v>
      </c>
      <c r="F10" s="2747" t="s">
        <v>2806</v>
      </c>
      <c r="G10" s="2748"/>
      <c r="H10" s="2748"/>
      <c r="I10" s="2748"/>
      <c r="J10" s="2749"/>
      <c r="K10" s="1369"/>
      <c r="L10" s="2722" t="s">
        <v>2807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7"/>
      <c r="B11" s="2750" t="s">
        <v>2808</v>
      </c>
      <c r="C11" s="919">
        <f>C10/4</f>
        <v>0</v>
      </c>
      <c r="D11" s="919" t="s">
        <v>142</v>
      </c>
      <c r="E11" s="919" t="e">
        <f>ROUND(C11/E7,4)</f>
        <v>#DIV/0!</v>
      </c>
      <c r="F11" s="2751" t="s">
        <v>2809</v>
      </c>
      <c r="G11" s="2752"/>
      <c r="H11" s="2752"/>
      <c r="I11" s="2752"/>
      <c r="J11" s="2753"/>
      <c r="K11" s="1369"/>
      <c r="L11" s="2722" t="s">
        <v>2810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1" t="s">
        <v>2811</v>
      </c>
      <c r="X11" s="1612" t="s">
        <v>2812</v>
      </c>
      <c r="Y11" s="1613">
        <f>$G$3</f>
        <v>1.39</v>
      </c>
      <c r="Z11" s="1613">
        <f t="shared" ref="Z11:AJ11" si="3">$G$3</f>
        <v>1.39</v>
      </c>
      <c r="AA11" s="1613">
        <f t="shared" si="3"/>
        <v>1.39</v>
      </c>
      <c r="AB11" s="1613">
        <f t="shared" si="3"/>
        <v>1.39</v>
      </c>
      <c r="AC11" s="1613">
        <f t="shared" si="3"/>
        <v>1.39</v>
      </c>
      <c r="AD11" s="1613">
        <f t="shared" si="3"/>
        <v>1.39</v>
      </c>
      <c r="AE11" s="1613">
        <f t="shared" si="3"/>
        <v>1.39</v>
      </c>
      <c r="AF11" s="1613">
        <f t="shared" si="3"/>
        <v>1.39</v>
      </c>
      <c r="AG11" s="1613">
        <f t="shared" si="3"/>
        <v>1.39</v>
      </c>
      <c r="AH11" s="1613">
        <f t="shared" si="3"/>
        <v>1.39</v>
      </c>
      <c r="AI11" s="1613">
        <f t="shared" si="3"/>
        <v>1.39</v>
      </c>
      <c r="AJ11" s="1613">
        <f t="shared" si="3"/>
        <v>1.39</v>
      </c>
    </row>
    <row r="12" spans="1:36" ht="25.5" thickBot="1">
      <c r="A12" s="3316" t="s">
        <v>2813</v>
      </c>
      <c r="B12" s="2754" t="s">
        <v>2814</v>
      </c>
      <c r="C12" s="915">
        <f>ROUND(C15*D15*E15*F15*G15*H15*I15*J15,4)</f>
        <v>1</v>
      </c>
      <c r="D12" s="2755" t="s">
        <v>2815</v>
      </c>
      <c r="E12" s="2756"/>
      <c r="F12" s="2756"/>
      <c r="G12" s="2757"/>
      <c r="H12" s="2757"/>
      <c r="I12" s="2757"/>
      <c r="J12" s="2758"/>
      <c r="K12" s="1369"/>
      <c r="L12" s="2759" t="s">
        <v>2816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1"/>
      <c r="X12" s="1614" t="s">
        <v>2817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8"/>
      <c r="B13" s="2760" t="s">
        <v>2818</v>
      </c>
      <c r="C13" s="2761" t="s">
        <v>2819</v>
      </c>
      <c r="D13" s="1806" t="s">
        <v>2820</v>
      </c>
      <c r="E13" s="1806" t="s">
        <v>2821</v>
      </c>
      <c r="F13" s="30" t="s">
        <v>2822</v>
      </c>
      <c r="G13" s="2762" t="s">
        <v>2823</v>
      </c>
      <c r="H13" s="2762" t="s">
        <v>2823</v>
      </c>
      <c r="I13" s="2762" t="s">
        <v>2823</v>
      </c>
      <c r="J13" s="2763" t="s">
        <v>2823</v>
      </c>
      <c r="K13" s="1369"/>
      <c r="L13" s="1369"/>
      <c r="M13" s="1369"/>
      <c r="N13" s="1369"/>
      <c r="O13" s="1369"/>
      <c r="P13" s="1369"/>
      <c r="Q13" s="1369"/>
      <c r="R13" s="1600">
        <v>12</v>
      </c>
      <c r="S13" s="1601"/>
      <c r="T13" s="1600" t="e">
        <f t="shared" si="0"/>
        <v>#DIV/0!</v>
      </c>
      <c r="U13" s="1601"/>
      <c r="V13" s="1600" t="e">
        <f t="shared" si="1"/>
        <v>#DIV/0!</v>
      </c>
      <c r="W13" s="3311"/>
      <c r="X13" s="1614"/>
      <c r="Y13" s="1611">
        <f>(-0.163*(Y12^2)-0.59*Y12+7617)*(10^(-4))/Y11</f>
        <v>0.54798561151079139</v>
      </c>
      <c r="Z13" s="1611">
        <f t="shared" ref="Z13:AJ13" si="5">(-0.163*(Z12^2)-0.59*Z12+7617)*(10^(-4))/Z11</f>
        <v>0.54798561151079139</v>
      </c>
      <c r="AA13" s="1611">
        <f t="shared" si="5"/>
        <v>0.54798561151079139</v>
      </c>
      <c r="AB13" s="1611">
        <f t="shared" si="5"/>
        <v>0.54798561151079139</v>
      </c>
      <c r="AC13" s="1611">
        <f t="shared" si="5"/>
        <v>0.54798561151079139</v>
      </c>
      <c r="AD13" s="1611">
        <f t="shared" si="5"/>
        <v>0.54798561151079139</v>
      </c>
      <c r="AE13" s="1611">
        <f t="shared" si="5"/>
        <v>0.54798561151079139</v>
      </c>
      <c r="AF13" s="1611">
        <f t="shared" si="5"/>
        <v>0.54798561151079139</v>
      </c>
      <c r="AG13" s="1611">
        <f t="shared" si="5"/>
        <v>0.54798561151079139</v>
      </c>
      <c r="AH13" s="1611">
        <f t="shared" si="5"/>
        <v>0.54798561151079139</v>
      </c>
      <c r="AI13" s="1611">
        <f t="shared" si="5"/>
        <v>0.54798561151079139</v>
      </c>
      <c r="AJ13" s="1611">
        <f t="shared" si="5"/>
        <v>0.54798561151079139</v>
      </c>
    </row>
    <row r="14" spans="1:36" ht="15">
      <c r="A14" s="3318"/>
      <c r="B14" s="2764"/>
      <c r="C14" s="2765"/>
      <c r="D14" s="2766"/>
      <c r="E14" s="2766"/>
      <c r="F14" s="2767"/>
      <c r="G14" s="2768" t="s">
        <v>2824</v>
      </c>
      <c r="H14" s="2769"/>
      <c r="I14" s="2770"/>
      <c r="J14" s="2771"/>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9"/>
      <c r="B15" s="2772" t="s">
        <v>2825</v>
      </c>
      <c r="C15" s="228">
        <f>IF(C14="有",1.1,1)</f>
        <v>1</v>
      </c>
      <c r="D15" s="228">
        <f>IF(D14="有",1.1,1)</f>
        <v>1</v>
      </c>
      <c r="E15" s="228">
        <f>IF(E14="有",1.1,1)</f>
        <v>1</v>
      </c>
      <c r="F15" s="228">
        <f>IF(F14="500米范围内",1.2,IF(F14="500-1000米",1.1,1))</f>
        <v>1</v>
      </c>
      <c r="G15" s="945">
        <v>1</v>
      </c>
      <c r="H15" s="945">
        <v>1</v>
      </c>
      <c r="I15" s="945">
        <v>1</v>
      </c>
      <c r="J15" s="946">
        <v>1</v>
      </c>
      <c r="K15" s="1369"/>
      <c r="L15" s="2773" t="s">
        <v>2761</v>
      </c>
      <c r="M15" s="916" t="s">
        <v>2826</v>
      </c>
      <c r="N15" s="916" t="s">
        <v>2827</v>
      </c>
      <c r="O15" s="916" t="s">
        <v>2828</v>
      </c>
      <c r="P15" s="2774" t="s">
        <v>2829</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16" t="s">
        <v>2830</v>
      </c>
      <c r="B16" s="2741" t="s">
        <v>2831</v>
      </c>
      <c r="C16" s="1799" t="e">
        <f>ROUND(SUM(G17:J17)/C17,0)</f>
        <v>#DIV/0!</v>
      </c>
      <c r="D16" s="2775" t="s">
        <v>2832</v>
      </c>
      <c r="E16" s="2776"/>
      <c r="F16" s="2777"/>
      <c r="G16" s="2778"/>
      <c r="H16" s="2778"/>
      <c r="I16" s="2778"/>
      <c r="J16" s="2779"/>
      <c r="K16" s="1369"/>
      <c r="L16" s="2780" t="s">
        <v>2833</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7"/>
      <c r="B17" s="2781" t="s">
        <v>2834</v>
      </c>
      <c r="C17" s="920">
        <f>SUMPRODUCT((修正!A2:A5=E2)*(修正!B1:M1=G2)*(修正!B2:M5))</f>
        <v>0</v>
      </c>
      <c r="D17" s="2782" t="s">
        <v>2835</v>
      </c>
      <c r="E17" s="919" t="str">
        <f>IF(OR(G2="八级",G2="九级",G2="十级",G2="十一级",G2="十二级"),"五通一平","七通一平")</f>
        <v>七通一平</v>
      </c>
      <c r="F17" s="920" t="s">
        <v>2836</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3" t="s">
        <v>2837</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4"/>
      <c r="AF17" s="2784"/>
      <c r="AG17" s="2716"/>
      <c r="AH17" s="2716"/>
      <c r="AI17" s="2716"/>
      <c r="AJ17" s="2716"/>
    </row>
    <row r="18" spans="1:37" s="2734" customFormat="1" ht="15.75" thickBot="1">
      <c r="A18" s="2785" t="s">
        <v>807</v>
      </c>
      <c r="B18" s="2786" t="s">
        <v>2838</v>
      </c>
      <c r="C18" s="922">
        <f>SUMIF(修正!C18:C39,E3,修正!E18:E39)</f>
        <v>0</v>
      </c>
      <c r="D18" s="2787"/>
      <c r="E18" s="2788"/>
      <c r="F18" s="2789"/>
      <c r="G18" s="2790"/>
      <c r="H18" s="2790"/>
      <c r="I18" s="2790"/>
      <c r="J18" s="2791"/>
      <c r="K18" s="1376"/>
      <c r="O18" s="1374"/>
      <c r="P18" s="1374"/>
      <c r="Q18" s="1375"/>
      <c r="R18" s="1375"/>
      <c r="S18" s="1375"/>
      <c r="T18" s="1370"/>
      <c r="U18" s="1370"/>
      <c r="V18" s="1370"/>
      <c r="W18" s="1369"/>
      <c r="X18" s="1369"/>
      <c r="Y18" s="1369"/>
      <c r="Z18" s="1376"/>
      <c r="AA18" s="1377"/>
      <c r="AB18" s="1377"/>
      <c r="AC18" s="1377"/>
      <c r="AD18" s="1377"/>
      <c r="AE18" s="1371"/>
      <c r="AF18" s="1371"/>
      <c r="AG18" s="2792"/>
      <c r="AH18" s="2792"/>
      <c r="AI18" s="2792"/>
    </row>
    <row r="19" spans="1:37" s="2734" customFormat="1" ht="27.75" thickBot="1">
      <c r="A19" s="2785" t="s">
        <v>808</v>
      </c>
      <c r="B19" s="2786" t="s">
        <v>2839</v>
      </c>
      <c r="C19" s="923" t="e">
        <f>ROUND(IF(H19="按公示增长率计算",SUMPRODUCT((地价!A3:A25=YEAR(G19)&amp;"-"&amp;ROUNDUP(MONTH(G19)/3,0))*(地价!X2:AB2=E2)*(地价!X3:AB25)),IF(H19="地价指数",M20/M19,(1+I19)^O19)),4)</f>
        <v>#DIV/0!</v>
      </c>
      <c r="D19" s="2793" t="s">
        <v>2840</v>
      </c>
      <c r="E19" s="924">
        <v>41640</v>
      </c>
      <c r="F19" s="2793" t="s">
        <v>2841</v>
      </c>
      <c r="G19" s="925">
        <f>'数据-取费表'!B2</f>
        <v>43926</v>
      </c>
      <c r="H19" s="2794" t="s">
        <v>2842</v>
      </c>
      <c r="I19" s="926" t="str">
        <f>IF(H19="季度增幅（自定义）",SUMIF(N21:N24,E2,O21:O24),"")</f>
        <v/>
      </c>
      <c r="J19" s="2791"/>
      <c r="K19" s="1376"/>
      <c r="L19" s="2795" t="s">
        <v>2843</v>
      </c>
      <c r="M19" s="1732">
        <f>ROUND(SUMIF(地价!B2:F2,E2,地价!B25:F25),0)</f>
        <v>0</v>
      </c>
      <c r="N19" s="2796" t="s">
        <v>2844</v>
      </c>
      <c r="O19" s="927">
        <f>ROUNDDOWN(DATEDIF(E19,G19,"M")/3,0)</f>
        <v>25</v>
      </c>
      <c r="P19" s="1373"/>
      <c r="Q19" s="1375"/>
      <c r="R19" s="1375"/>
      <c r="S19" s="1375"/>
      <c r="T19" s="1370"/>
      <c r="U19" s="1370"/>
      <c r="V19" s="1370"/>
      <c r="W19" s="1369"/>
      <c r="X19" s="1369"/>
      <c r="Y19" s="1369"/>
      <c r="Z19" s="1376"/>
      <c r="AA19" s="1377"/>
      <c r="AB19" s="1377"/>
      <c r="AC19" s="1377"/>
      <c r="AD19" s="1377"/>
      <c r="AE19" s="1377"/>
      <c r="AF19" s="2797"/>
      <c r="AG19" s="2798"/>
      <c r="AH19" s="2792"/>
      <c r="AI19" s="2799"/>
      <c r="AJ19" s="2799"/>
      <c r="AK19" s="2799"/>
    </row>
    <row r="20" spans="1:37" s="2734" customFormat="1" ht="27.75" thickBot="1">
      <c r="A20" s="2800" t="s">
        <v>809</v>
      </c>
      <c r="B20" s="2801" t="s">
        <v>2845</v>
      </c>
      <c r="C20" s="928" t="e">
        <f>ROUND(POWER(1+G20,J20-I20)*(POWER(1+G20,I20)-1)/(POWER(1+G20,J20)-1),4)</f>
        <v>#DIV/0!</v>
      </c>
      <c r="D20" s="2802" t="s">
        <v>2846</v>
      </c>
      <c r="E20" s="1766">
        <f ca="1">存贷款利率!D4/100</f>
        <v>4.3499999999999997E-2</v>
      </c>
      <c r="F20" s="2802" t="s">
        <v>2837</v>
      </c>
      <c r="G20" s="933">
        <f>SUMIF(M15:P15,E2,M17:P17)</f>
        <v>0</v>
      </c>
      <c r="H20" s="2802" t="s">
        <v>2847</v>
      </c>
      <c r="I20" s="934" t="e">
        <f>SUMIF('数据-取费表'!C6:C15,E2,'数据-取费表'!F6:F15)/COUNTIF('数据-取费表'!C6:C15,E2)</f>
        <v>#DIV/0!</v>
      </c>
      <c r="J20" s="935">
        <f>IF(E2="住宅",70,IF(E2="商业",40,50))</f>
        <v>50</v>
      </c>
      <c r="K20" s="1376"/>
      <c r="L20" s="2803" t="s">
        <v>2848</v>
      </c>
      <c r="M20" s="1733">
        <f>ROUND(SUMPRODUCT((地价!A4:A25=YEAR(G19)&amp;"-"&amp;ROUNDUP(MONTH(G19)/3,0))*(地价!B2:F2=E2)*(地价!B4:F25)),0)</f>
        <v>0</v>
      </c>
      <c r="N20" s="2804" t="s">
        <v>2849</v>
      </c>
      <c r="O20" s="2805" t="s">
        <v>2850</v>
      </c>
      <c r="P20" s="2806" t="s">
        <v>2851</v>
      </c>
      <c r="R20" s="1375"/>
      <c r="S20" s="1375"/>
      <c r="T20" s="1370"/>
      <c r="U20" s="1370"/>
      <c r="V20" s="1370"/>
      <c r="W20" s="1369"/>
      <c r="X20" s="1369"/>
      <c r="Y20" s="1369"/>
      <c r="Z20" s="1376"/>
      <c r="AA20" s="1377"/>
      <c r="AB20" s="1377"/>
      <c r="AC20" s="1377"/>
      <c r="AD20" s="1377"/>
      <c r="AE20" s="1377"/>
      <c r="AF20" s="1377"/>
    </row>
    <row r="21" spans="1:37" s="2734" customFormat="1" ht="15">
      <c r="A21" s="2807" t="s">
        <v>810</v>
      </c>
      <c r="B21" s="2808" t="s">
        <v>2852</v>
      </c>
      <c r="C21" s="936">
        <f>IF(B21="容积率修正",IF(G3&lt;=10,D22,J22),C23)</f>
        <v>0</v>
      </c>
      <c r="D21" s="2809"/>
      <c r="E21" s="2809"/>
      <c r="F21" s="2809"/>
      <c r="G21" s="2809"/>
      <c r="H21" s="2809"/>
      <c r="I21" s="2809"/>
      <c r="J21" s="2810"/>
      <c r="K21" s="1376"/>
      <c r="N21" s="2811" t="s">
        <v>2853</v>
      </c>
      <c r="O21" s="1560"/>
      <c r="P21" s="1561">
        <f>SUMPRODUCT((地价!A3:A25=YEAR(G19)&amp;"-"&amp;ROUNDUP(MONTH(G19)/3,0))*(地价!AD2:AH2=N21)*(地价!AD3:AH25))</f>
        <v>0</v>
      </c>
      <c r="R21" s="1375"/>
      <c r="S21" s="1375"/>
      <c r="T21" s="1370"/>
      <c r="U21" s="1370"/>
      <c r="V21" s="1370"/>
      <c r="W21" s="1369"/>
      <c r="X21" s="1369"/>
      <c r="Y21" s="1369"/>
      <c r="Z21" s="1376"/>
      <c r="AA21" s="1377"/>
      <c r="AB21" s="1377"/>
      <c r="AC21" s="1377"/>
      <c r="AD21" s="1377"/>
      <c r="AE21" s="1377"/>
      <c r="AF21" s="1377"/>
    </row>
    <row r="22" spans="1:37" s="2734" customFormat="1" ht="14.25">
      <c r="A22" s="2660" t="s">
        <v>2854</v>
      </c>
      <c r="B22" s="2812" t="s">
        <v>2855</v>
      </c>
      <c r="C22" s="1808" t="s">
        <v>2856</v>
      </c>
      <c r="D22" s="1808">
        <f>IF(E22=G22,F22,IF(G3&lt;=10,ROUND(F22+(H22-F22)*(G3-E22)/(G22-E22),4),"——"))</f>
        <v>0</v>
      </c>
      <c r="E22" s="912">
        <f>ROUNDDOWN(G3,1)</f>
        <v>1.3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1.4000000000000001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1" t="s">
        <v>2857</v>
      </c>
      <c r="O22" s="1560"/>
      <c r="P22" s="1561">
        <f>SUMPRODUCT((地价!A3:A25=YEAR(G19)&amp;"-"&amp;ROUNDUP(MONTH(G19)/3,0))*(地价!AD2:AH2=N22)*(地价!AD3:AH25))</f>
        <v>0</v>
      </c>
      <c r="R22" s="1375"/>
      <c r="S22" s="1375"/>
      <c r="T22" s="1370"/>
      <c r="U22" s="1370"/>
      <c r="V22" s="1370"/>
      <c r="W22" s="1369"/>
      <c r="X22" s="1369"/>
      <c r="Y22" s="1369"/>
      <c r="Z22" s="1376"/>
      <c r="AA22" s="1377"/>
      <c r="AB22" s="1377"/>
      <c r="AC22" s="1377"/>
      <c r="AD22" s="1377"/>
      <c r="AE22" s="1377"/>
      <c r="AF22" s="1377"/>
    </row>
    <row r="23" spans="1:37" ht="27.75" thickBot="1">
      <c r="A23" s="2660" t="s">
        <v>2858</v>
      </c>
      <c r="B23" s="2813" t="s">
        <v>2859</v>
      </c>
      <c r="C23" s="1012">
        <f>ROUND(IF(G3&gt;1,IF(I3&lt;7,SUMPRODUCT((B93:B98=I3)*(C92:N92=G2)*(C93:N98)),SUMIF(C92:N92,G2,C100:N100)),IF(I3&lt;7,SUMPRODUCT((B102:B107=I3)*(C92:N92=G2)*(C102:N107)),SUMIF(C92:N92,G2,C109:N109))),4)</f>
        <v>0</v>
      </c>
      <c r="D23" s="2769"/>
      <c r="E23" s="2769"/>
      <c r="F23" s="2814"/>
      <c r="G23" s="2815"/>
      <c r="H23" s="2816"/>
      <c r="I23" s="2817"/>
      <c r="J23" s="2818"/>
      <c r="K23" s="1369"/>
      <c r="N23" s="2811" t="s">
        <v>2860</v>
      </c>
      <c r="O23" s="1560"/>
      <c r="P23" s="1561">
        <f>SUMPRODUCT((地价!A3:A25=YEAR(G19)&amp;"-"&amp;ROUNDUP(MONTH(G19)/3,0))*(地价!AD2:AH2=N23)*(地价!AD3:AH25))</f>
        <v>0</v>
      </c>
      <c r="R23" s="1375"/>
      <c r="S23" s="1375"/>
      <c r="T23" s="1370"/>
      <c r="U23" s="1370"/>
      <c r="V23" s="1370"/>
      <c r="W23" s="1369"/>
      <c r="X23" s="1369"/>
      <c r="Y23" s="1369"/>
      <c r="Z23" s="1376"/>
      <c r="AA23" s="1377"/>
      <c r="AB23" s="1377"/>
      <c r="AC23" s="1377"/>
      <c r="AD23" s="1377"/>
      <c r="AK23" s="2792"/>
    </row>
    <row r="24" spans="1:37" s="2734" customFormat="1" ht="15.75" thickBot="1">
      <c r="A24" s="2800" t="s">
        <v>811</v>
      </c>
      <c r="B24" s="2786" t="s">
        <v>2861</v>
      </c>
      <c r="C24" s="923">
        <f>SUMIF(A45:A88,E2,B45:B88)</f>
        <v>0</v>
      </c>
      <c r="D24" s="2789"/>
      <c r="E24" s="2819"/>
      <c r="F24" s="2819"/>
      <c r="G24" s="2819"/>
      <c r="H24" s="2819"/>
      <c r="I24" s="2819"/>
      <c r="J24" s="2820"/>
      <c r="K24" s="1376"/>
      <c r="N24" s="2821" t="s">
        <v>2862</v>
      </c>
      <c r="O24" s="1562"/>
      <c r="P24" s="1563">
        <f>SUMPRODUCT((地价!A3:A25=YEAR(G19)&amp;"-"&amp;ROUNDUP(MONTH(G19)/3,0))*(地价!AD2:AH2=N24)*(地价!AD3:AH25))</f>
        <v>0</v>
      </c>
      <c r="R24" s="1375"/>
      <c r="S24" s="1375"/>
      <c r="T24" s="1370"/>
      <c r="U24" s="1370"/>
      <c r="V24" s="1370"/>
      <c r="W24" s="1369"/>
      <c r="X24" s="1369"/>
      <c r="Y24" s="1369"/>
      <c r="Z24" s="1376"/>
      <c r="AA24" s="1377"/>
      <c r="AB24" s="1377"/>
      <c r="AC24" s="1377"/>
      <c r="AD24" s="1377"/>
      <c r="AE24" s="1377"/>
      <c r="AF24" s="1377"/>
    </row>
    <row r="25" spans="1:37" ht="15.75" thickBot="1">
      <c r="A25" s="2800" t="s">
        <v>812</v>
      </c>
      <c r="B25" s="2822" t="s">
        <v>2863</v>
      </c>
      <c r="C25" s="929"/>
      <c r="D25" s="2744"/>
      <c r="E25" s="2744"/>
      <c r="F25" s="2823"/>
      <c r="G25" s="2744"/>
      <c r="H25" s="2744"/>
      <c r="I25" s="2744"/>
      <c r="J25" s="2745"/>
      <c r="K25" s="1369"/>
      <c r="N25" s="2824" t="s">
        <v>2864</v>
      </c>
      <c r="O25" s="1564"/>
      <c r="P25" s="1563">
        <f>SUMPRODUCT((地价!A3:A25=YEAR(G19)&amp;"-"&amp;ROUNDUP(MONTH(G19)/3,0))*(地价!AD2:AH2=N25)*(地价!AD3:AH25))</f>
        <v>0</v>
      </c>
      <c r="R25" s="1375"/>
      <c r="S25" s="1375"/>
      <c r="T25" s="1370"/>
      <c r="U25" s="1370"/>
      <c r="V25" s="1370"/>
      <c r="W25" s="1369"/>
      <c r="X25" s="1369"/>
      <c r="Y25" s="1369"/>
      <c r="Z25" s="1376"/>
      <c r="AA25" s="1377"/>
      <c r="AB25" s="1377"/>
      <c r="AC25" s="1377"/>
      <c r="AD25" s="1377"/>
    </row>
    <row r="26" spans="1:37" ht="15">
      <c r="A26" s="2825"/>
      <c r="B26" s="2812" t="s">
        <v>2865</v>
      </c>
      <c r="C26" s="205" t="e">
        <f>E29+SUM(E33:E39)</f>
        <v>#DIV/0!</v>
      </c>
      <c r="D26" s="2826"/>
      <c r="E26" s="2769"/>
      <c r="F26" s="2827"/>
      <c r="G26" s="2769"/>
      <c r="H26" s="2769"/>
      <c r="I26" s="2769"/>
      <c r="J26" s="2828"/>
      <c r="K26" s="1369"/>
      <c r="R26" s="1375"/>
      <c r="S26" s="1375"/>
      <c r="T26" s="1370"/>
      <c r="U26" s="1370"/>
      <c r="V26" s="1370"/>
      <c r="W26" s="1369"/>
      <c r="X26" s="1369"/>
      <c r="Y26" s="1369"/>
      <c r="Z26" s="1376"/>
      <c r="AA26" s="1377"/>
      <c r="AB26" s="1377"/>
      <c r="AC26" s="1377"/>
      <c r="AD26" s="1377"/>
    </row>
    <row r="27" spans="1:37" ht="15.75" thickBot="1">
      <c r="A27" s="2825"/>
      <c r="B27" s="2829" t="s">
        <v>2866</v>
      </c>
      <c r="C27" s="930" t="e">
        <f>E30+SUM(I33:I39)</f>
        <v>#DIV/0!</v>
      </c>
      <c r="D27" s="2830"/>
      <c r="E27" s="2831"/>
      <c r="F27" s="2832"/>
      <c r="G27" s="2831"/>
      <c r="H27" s="2831"/>
      <c r="I27" s="2831"/>
      <c r="J27" s="2833"/>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4"/>
      <c r="B28" s="2835" t="s">
        <v>2867</v>
      </c>
      <c r="C28" s="2836" t="s">
        <v>2868</v>
      </c>
      <c r="D28" s="2836" t="s">
        <v>2869</v>
      </c>
      <c r="E28" s="2837" t="s">
        <v>2870</v>
      </c>
      <c r="F28" s="2838"/>
      <c r="G28" s="2757"/>
      <c r="H28" s="2757"/>
      <c r="I28" s="2757"/>
      <c r="J28" s="2758"/>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9"/>
      <c r="B29" s="2840" t="s">
        <v>2871</v>
      </c>
      <c r="C29" s="205" t="e">
        <f>ROUND(C5*C18*C19*C20*C21*C24,0)</f>
        <v>#DIV/0!</v>
      </c>
      <c r="D29" s="2841"/>
      <c r="E29" s="941" t="e">
        <f>ROUND(C29*D29/10000,0)</f>
        <v>#DIV/0!</v>
      </c>
      <c r="F29" s="2842" t="s">
        <v>2872</v>
      </c>
      <c r="G29" s="2843"/>
      <c r="H29" s="2843"/>
      <c r="I29" s="2843"/>
      <c r="J29" s="2844"/>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16"/>
      <c r="AH29" s="2716"/>
      <c r="AI29" s="2716"/>
      <c r="AJ29" s="2716"/>
    </row>
    <row r="30" spans="1:37" ht="25.5" thickBot="1">
      <c r="A30" s="2845"/>
      <c r="B30" s="2846" t="s">
        <v>2873</v>
      </c>
      <c r="C30" s="228" t="e">
        <f>ROUND(IF(E2="工业",C29*M39,C29*M38),0)</f>
        <v>#DIV/0!</v>
      </c>
      <c r="D30" s="2847"/>
      <c r="E30" s="941" t="e">
        <f>ROUND(C30*D30/10000,0)</f>
        <v>#DIV/0!</v>
      </c>
      <c r="F30" s="2848" t="s">
        <v>2874</v>
      </c>
      <c r="G30" s="2849"/>
      <c r="H30" s="2849"/>
      <c r="I30" s="2849"/>
      <c r="J30" s="2850"/>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16"/>
      <c r="AH30" s="2716"/>
      <c r="AI30" s="2716"/>
      <c r="AJ30" s="2716"/>
    </row>
    <row r="31" spans="1:37" ht="14.25">
      <c r="A31" s="2851"/>
      <c r="B31" s="2852" t="s">
        <v>2875</v>
      </c>
      <c r="C31" s="2853" t="s">
        <v>2876</v>
      </c>
      <c r="D31" s="2757"/>
      <c r="E31" s="2853"/>
      <c r="F31" s="2853"/>
      <c r="G31" s="2755" t="s">
        <v>2877</v>
      </c>
      <c r="H31" s="2757"/>
      <c r="I31" s="2854"/>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16"/>
      <c r="AH31" s="2716"/>
      <c r="AI31" s="2716"/>
      <c r="AJ31" s="2716"/>
    </row>
    <row r="32" spans="1:37" ht="24">
      <c r="A32" s="2839"/>
      <c r="B32" s="2855"/>
      <c r="C32" s="500" t="s">
        <v>2868</v>
      </c>
      <c r="D32" s="497" t="s">
        <v>2869</v>
      </c>
      <c r="E32" s="497" t="s">
        <v>2870</v>
      </c>
      <c r="F32" s="387" t="s">
        <v>2878</v>
      </c>
      <c r="G32" s="2856" t="s">
        <v>2868</v>
      </c>
      <c r="H32" s="2856" t="s">
        <v>2869</v>
      </c>
      <c r="I32" s="2856" t="s">
        <v>2870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16"/>
      <c r="AH32" s="2716"/>
      <c r="AI32" s="2716"/>
      <c r="AJ32" s="2716"/>
    </row>
    <row r="33" spans="1:37" ht="36" customHeight="1">
      <c r="A33" s="3326" t="s">
        <v>2879</v>
      </c>
      <c r="B33" s="2857" t="s">
        <v>2880</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7"/>
      <c r="B34" s="2761" t="s">
        <v>2881</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7"/>
      <c r="B35" s="2761" t="s">
        <v>2882</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9"/>
      <c r="L35" s="1369"/>
      <c r="M35" s="1369"/>
      <c r="N35" s="1369"/>
      <c r="O35" s="1369"/>
      <c r="P35" s="1369"/>
      <c r="Q35" s="1369"/>
      <c r="R35" s="1369"/>
      <c r="S35" s="1369"/>
      <c r="T35" s="1369"/>
      <c r="U35" s="1369"/>
      <c r="V35" s="1369"/>
      <c r="W35" s="1369"/>
      <c r="X35" s="1369"/>
      <c r="Y35" s="1369"/>
      <c r="Z35" s="1370"/>
    </row>
    <row r="36" spans="1:37" ht="13.5" thickBot="1">
      <c r="A36" s="3328"/>
      <c r="B36" s="2761" t="s">
        <v>2883</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9"/>
      <c r="L36" s="2715"/>
      <c r="M36" s="2715"/>
      <c r="N36" s="1369"/>
      <c r="O36" s="1369"/>
      <c r="P36" s="1369"/>
      <c r="Q36" s="1369"/>
      <c r="R36" s="1369"/>
      <c r="S36" s="1369"/>
      <c r="T36" s="1369"/>
      <c r="U36" s="1369"/>
      <c r="V36" s="1369"/>
      <c r="W36" s="1369"/>
      <c r="X36" s="1369"/>
      <c r="Y36" s="1369"/>
      <c r="Z36" s="1370"/>
    </row>
    <row r="37" spans="1:37">
      <c r="A37" s="2859"/>
      <c r="B37" s="2761" t="s">
        <v>2884</v>
      </c>
      <c r="C37" s="199" t="e">
        <f>ROUND(D5*C19*C20*C24*F37,0)</f>
        <v>#DIV/0!</v>
      </c>
      <c r="D37" s="2841"/>
      <c r="E37" s="199" t="e">
        <f t="shared" si="7"/>
        <v>#DIV/0!</v>
      </c>
      <c r="F37" s="205">
        <f>SUMIF(修正!A45:A56,G2,修正!F45:F56)</f>
        <v>0</v>
      </c>
      <c r="G37" s="199" t="e">
        <f>ROUND(IF(E2="工业",C37*$M$39,C37*$M$38),0)</f>
        <v>#DIV/0!</v>
      </c>
      <c r="H37" s="199">
        <f t="shared" si="8"/>
        <v>0</v>
      </c>
      <c r="I37" s="199" t="e">
        <f t="shared" si="9"/>
        <v>#DIV/0!</v>
      </c>
      <c r="J37" s="2858"/>
      <c r="K37" s="1369"/>
      <c r="L37" s="2860" t="s">
        <v>2885</v>
      </c>
      <c r="M37" s="2861"/>
      <c r="N37" s="1369"/>
      <c r="O37" s="1369"/>
      <c r="P37" s="1369"/>
      <c r="Q37" s="1369"/>
      <c r="R37" s="1369"/>
      <c r="S37" s="1369"/>
      <c r="T37" s="1369"/>
      <c r="U37" s="1369"/>
      <c r="V37" s="1369"/>
      <c r="W37" s="1369"/>
      <c r="X37" s="1369"/>
      <c r="Y37" s="1369"/>
      <c r="Z37" s="1370"/>
    </row>
    <row r="38" spans="1:37">
      <c r="A38" s="2859"/>
      <c r="B38" s="2761" t="s">
        <v>2886</v>
      </c>
      <c r="C38" s="199" t="e">
        <f>ROUND(D5*C19*C41*C24*F38,0)</f>
        <v>#DIV/0!</v>
      </c>
      <c r="D38" s="2841"/>
      <c r="E38" s="199" t="e">
        <f t="shared" si="7"/>
        <v>#DIV/0!</v>
      </c>
      <c r="F38" s="205">
        <f>SUMIF(修正!A45:A56,G2,修正!G45:G56)</f>
        <v>0</v>
      </c>
      <c r="G38" s="199" t="e">
        <f>ROUND(IF(E2="工业",C38*$M$39,C38*$M$38),0)</f>
        <v>#DIV/0!</v>
      </c>
      <c r="H38" s="199">
        <f t="shared" si="8"/>
        <v>0</v>
      </c>
      <c r="I38" s="199" t="e">
        <f t="shared" si="9"/>
        <v>#DIV/0!</v>
      </c>
      <c r="J38" s="2858"/>
      <c r="K38" s="1369"/>
      <c r="L38" s="1885" t="s">
        <v>2887</v>
      </c>
      <c r="M38" s="2862">
        <v>0.25</v>
      </c>
      <c r="N38" s="1369"/>
      <c r="O38" s="1369"/>
      <c r="P38" s="1369"/>
      <c r="Q38" s="1369"/>
      <c r="R38" s="1369"/>
      <c r="S38" s="1369"/>
      <c r="T38" s="1369"/>
      <c r="U38" s="1369"/>
      <c r="V38" s="1369"/>
      <c r="W38" s="1369"/>
      <c r="X38" s="1369"/>
      <c r="Y38" s="1369"/>
      <c r="Z38" s="1370"/>
    </row>
    <row r="39" spans="1:37" ht="13.5" thickBot="1">
      <c r="A39" s="2845"/>
      <c r="B39" s="2863" t="s">
        <v>2888</v>
      </c>
      <c r="C39" s="228" t="e">
        <f>ROUND(D5*C19*C41*C24*F39,0)</f>
        <v>#DIV/0!</v>
      </c>
      <c r="D39" s="2847"/>
      <c r="E39" s="228" t="e">
        <f t="shared" si="7"/>
        <v>#DIV/0!</v>
      </c>
      <c r="F39" s="931">
        <f>SUMIF(修正!A45:A56,G2,修正!H45:H56)</f>
        <v>0</v>
      </c>
      <c r="G39" s="228" t="e">
        <f>ROUND(IF(E2="工业",C39*$M$39,C39*$M$38),0)</f>
        <v>#DIV/0!</v>
      </c>
      <c r="H39" s="228">
        <f t="shared" si="8"/>
        <v>0</v>
      </c>
      <c r="I39" s="228" t="e">
        <f t="shared" si="9"/>
        <v>#DIV/0!</v>
      </c>
      <c r="J39" s="2864"/>
      <c r="K39" s="1369"/>
      <c r="L39" s="2865" t="s">
        <v>2829</v>
      </c>
      <c r="M39" s="2866">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4" t="s">
        <v>2999</v>
      </c>
      <c r="C41" s="387" t="e">
        <f>ROUND(POWER(1+E41,H41-G41)*(POWER(1+E41,G41)-1)/(POWER(1+E41,H41)-1),4)</f>
        <v>#DIV/0!</v>
      </c>
      <c r="D41" s="199" t="s">
        <v>2837</v>
      </c>
      <c r="E41" s="2933">
        <f>G20</f>
        <v>0</v>
      </c>
      <c r="F41" s="199" t="s">
        <v>2847</v>
      </c>
      <c r="G41" s="217"/>
      <c r="H41" s="199">
        <v>50</v>
      </c>
      <c r="Z41" s="1370"/>
      <c r="AA41" s="1370"/>
      <c r="AB41" s="1370"/>
      <c r="AC41" s="1370"/>
      <c r="AD41" s="1370"/>
      <c r="AE41" s="1370"/>
      <c r="AF41" s="1370"/>
      <c r="AG41" s="1370"/>
      <c r="AH41" s="1370"/>
      <c r="AI41" s="1370"/>
      <c r="AJ41" s="1370"/>
    </row>
    <row r="42" spans="1:37" s="1369" customFormat="1">
      <c r="A42" s="1370"/>
      <c r="B42" s="2867"/>
      <c r="Z42" s="1370"/>
      <c r="AA42" s="1370"/>
      <c r="AB42" s="1370"/>
      <c r="AC42" s="1370"/>
      <c r="AD42" s="1370"/>
      <c r="AE42" s="1370"/>
      <c r="AF42" s="1370"/>
      <c r="AG42" s="1370"/>
      <c r="AH42" s="1370"/>
      <c r="AI42" s="1370"/>
      <c r="AJ42" s="1370"/>
    </row>
    <row r="43" spans="1:37" s="1369" customFormat="1">
      <c r="A43" s="1370"/>
      <c r="B43" s="2867"/>
      <c r="Z43" s="1370"/>
      <c r="AA43" s="1370"/>
      <c r="AB43" s="1370"/>
      <c r="AC43" s="1370"/>
      <c r="AD43" s="1370"/>
      <c r="AE43" s="1370"/>
      <c r="AF43" s="1370"/>
      <c r="AG43" s="1370"/>
      <c r="AH43" s="1370"/>
      <c r="AI43" s="1370"/>
      <c r="AJ43" s="1370"/>
    </row>
    <row r="44" spans="1:37" s="1369" customFormat="1">
      <c r="A44" s="1370"/>
      <c r="B44" s="2867"/>
      <c r="Z44" s="1370"/>
      <c r="AA44" s="1370"/>
      <c r="AB44" s="1370"/>
      <c r="AC44" s="1370"/>
      <c r="AD44" s="1370"/>
      <c r="AE44" s="1370"/>
      <c r="AF44" s="1370"/>
      <c r="AG44" s="1370"/>
      <c r="AH44" s="1370"/>
      <c r="AI44" s="1370"/>
      <c r="AJ44" s="1370"/>
    </row>
    <row r="45" spans="1:37" s="1369" customFormat="1" ht="15.75" thickBot="1">
      <c r="A45" s="2868" t="s">
        <v>2889</v>
      </c>
      <c r="B45" s="2869"/>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70" t="s">
        <v>2890</v>
      </c>
      <c r="B46" s="2871">
        <f>1+E48</f>
        <v>1</v>
      </c>
      <c r="C46" s="2872"/>
      <c r="D46" s="810"/>
      <c r="E46" s="811"/>
      <c r="F46" s="2873"/>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4" t="s">
        <v>2891</v>
      </c>
      <c r="B47" s="1807" t="s">
        <v>2892</v>
      </c>
      <c r="C47" s="1807" t="s">
        <v>2893</v>
      </c>
      <c r="D47" s="1807" t="s">
        <v>2894</v>
      </c>
      <c r="E47" s="815" t="s">
        <v>2895</v>
      </c>
      <c r="F47" s="2875" t="s">
        <v>2896</v>
      </c>
      <c r="G47" s="1807" t="s">
        <v>754</v>
      </c>
      <c r="H47" s="2876" t="s">
        <v>2897</v>
      </c>
      <c r="I47" s="1807" t="s">
        <v>2898</v>
      </c>
      <c r="J47" s="602" t="s">
        <v>2547</v>
      </c>
      <c r="K47" s="602" t="s">
        <v>2548</v>
      </c>
      <c r="L47" s="602" t="s">
        <v>2549</v>
      </c>
      <c r="M47" s="602" t="s">
        <v>2550</v>
      </c>
      <c r="N47" s="602" t="s">
        <v>2551</v>
      </c>
      <c r="AA47" s="1370"/>
      <c r="AB47" s="1370"/>
      <c r="AC47" s="1370"/>
      <c r="AD47" s="1370"/>
      <c r="AE47" s="1370"/>
      <c r="AF47" s="1370"/>
      <c r="AG47" s="1370"/>
      <c r="AH47" s="1370"/>
      <c r="AI47" s="1370"/>
      <c r="AJ47" s="1370"/>
      <c r="AK47" s="1370"/>
    </row>
    <row r="48" spans="1:37" s="1369" customFormat="1" ht="24.75">
      <c r="A48" s="2874" t="s">
        <v>2899</v>
      </c>
      <c r="B48" s="2877">
        <f>估价对象房地状况!C4</f>
        <v>0</v>
      </c>
      <c r="C48" s="2766"/>
      <c r="D48" s="1285">
        <f t="shared" ref="D48:D56" si="10">SUMIF($J$47:$N$47,C48,J48:N48)</f>
        <v>0</v>
      </c>
      <c r="E48" s="817">
        <f>ROUND(SUM(D48:D56),4)</f>
        <v>0</v>
      </c>
      <c r="F48" s="2497"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89.25">
      <c r="A49" s="2874" t="s">
        <v>2900</v>
      </c>
      <c r="B49" s="2878" t="str">
        <f>估价对象房地状况!C18</f>
        <v>估价对象周边道路状况较好、公共交通通达情况较好、停车便捷程度较好，周边临近8号线德茂站、周边有341/453等公交线路，综合评价交通便捷度较好</v>
      </c>
      <c r="C49" s="2766"/>
      <c r="D49" s="1285">
        <f t="shared" si="10"/>
        <v>0</v>
      </c>
      <c r="E49" s="818"/>
      <c r="F49" s="2497"/>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4" t="s">
        <v>2901</v>
      </c>
      <c r="B50" s="2878" t="str">
        <f>估价对象房地状况!C19</f>
        <v>一般</v>
      </c>
      <c r="C50" s="2766"/>
      <c r="D50" s="1285">
        <f t="shared" si="10"/>
        <v>0</v>
      </c>
      <c r="E50" s="818"/>
      <c r="F50" s="2497"/>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4" t="s">
        <v>2902</v>
      </c>
      <c r="B51" s="2879" t="s">
        <v>2903</v>
      </c>
      <c r="C51" s="2766"/>
      <c r="D51" s="1285">
        <f t="shared" si="10"/>
        <v>0</v>
      </c>
      <c r="E51" s="818"/>
      <c r="F51" s="2497"/>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4" t="s">
        <v>2904</v>
      </c>
      <c r="B52" s="2878" t="str">
        <f>估价对象房地状况!C24</f>
        <v>城市支路-未命名</v>
      </c>
      <c r="C52" s="2766"/>
      <c r="D52" s="1285">
        <f t="shared" si="10"/>
        <v>0</v>
      </c>
      <c r="E52" s="818"/>
      <c r="F52" s="2497"/>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4" t="s">
        <v>2905</v>
      </c>
      <c r="B53" s="2880" t="s">
        <v>2906</v>
      </c>
      <c r="C53" s="2766"/>
      <c r="D53" s="1285">
        <f t="shared" si="10"/>
        <v>0</v>
      </c>
      <c r="E53" s="818"/>
      <c r="F53" s="2497"/>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1" t="s">
        <v>2907</v>
      </c>
      <c r="B54" s="1723" t="str">
        <f>估价对象房地状况!C21</f>
        <v>估价对象所在区域公共配套设施齐备情况一般</v>
      </c>
      <c r="C54" s="2766"/>
      <c r="D54" s="1285">
        <f t="shared" si="10"/>
        <v>0</v>
      </c>
      <c r="E54" s="818"/>
      <c r="F54" s="2497"/>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1" t="s">
        <v>2908</v>
      </c>
      <c r="B55" s="2878" t="str">
        <f>估价对象房地状况!C22</f>
        <v>估价对象所在区域基础设施水平较好</v>
      </c>
      <c r="C55" s="2766"/>
      <c r="D55" s="1285">
        <f t="shared" si="10"/>
        <v>0</v>
      </c>
      <c r="E55" s="818"/>
      <c r="F55" s="2497"/>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51.75" thickBot="1">
      <c r="A56" s="2882" t="s">
        <v>2909</v>
      </c>
      <c r="B56" s="2883" t="str">
        <f>估价对象房地状况!C20</f>
        <v>区域自然环境好；人文环境较好；周边有南海子公园等，综合评价环境状况较好</v>
      </c>
      <c r="C56" s="2766"/>
      <c r="D56" s="1285">
        <f t="shared" si="10"/>
        <v>0</v>
      </c>
      <c r="E56" s="821"/>
      <c r="F56" s="2497"/>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0" t="s">
        <v>2910</v>
      </c>
      <c r="B57" s="2871">
        <f>1+E59</f>
        <v>1</v>
      </c>
      <c r="C57" s="810"/>
      <c r="D57" s="810"/>
      <c r="E57" s="811"/>
      <c r="F57" s="2873"/>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4" t="s">
        <v>2891</v>
      </c>
      <c r="B58" s="1807"/>
      <c r="C58" s="1807" t="s">
        <v>2893</v>
      </c>
      <c r="D58" s="1807" t="s">
        <v>2894</v>
      </c>
      <c r="E58" s="815" t="s">
        <v>2895</v>
      </c>
      <c r="F58" s="2875" t="s">
        <v>2911</v>
      </c>
      <c r="G58" s="1807" t="s">
        <v>754</v>
      </c>
      <c r="H58" s="2876" t="s">
        <v>2897</v>
      </c>
      <c r="I58" s="1807" t="s">
        <v>2898</v>
      </c>
      <c r="J58" s="602" t="s">
        <v>2547</v>
      </c>
      <c r="K58" s="602" t="s">
        <v>2548</v>
      </c>
      <c r="L58" s="602" t="s">
        <v>2549</v>
      </c>
      <c r="M58" s="602" t="s">
        <v>2550</v>
      </c>
      <c r="N58" s="602" t="s">
        <v>2551</v>
      </c>
      <c r="AA58" s="1370"/>
      <c r="AB58" s="1370"/>
      <c r="AC58" s="1370"/>
      <c r="AD58" s="1370"/>
      <c r="AE58" s="1370"/>
      <c r="AF58" s="1370"/>
      <c r="AG58" s="1370"/>
      <c r="AH58" s="1370"/>
      <c r="AI58" s="1370"/>
      <c r="AJ58" s="1370"/>
      <c r="AK58" s="1370"/>
    </row>
    <row r="59" spans="1:37" s="1369" customFormat="1" ht="24">
      <c r="A59" s="2874" t="s">
        <v>2912</v>
      </c>
      <c r="B59" s="2877">
        <f>估价对象房地状况!C17</f>
        <v>0</v>
      </c>
      <c r="C59" s="2766"/>
      <c r="D59" s="1285">
        <f t="shared" ref="D59:D67" si="15">SUMIF($J$58:$N$58,C59,J59:N59)</f>
        <v>0</v>
      </c>
      <c r="E59" s="817">
        <f>ROUND(SUM(D59:D67),4)</f>
        <v>0</v>
      </c>
      <c r="F59" s="2497"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89.25">
      <c r="A60" s="2874" t="s">
        <v>2900</v>
      </c>
      <c r="B60" s="2878" t="str">
        <f>估价对象房地状况!C18</f>
        <v>估价对象周边道路状况较好、公共交通通达情况较好、停车便捷程度较好，周边临近8号线德茂站、周边有341/453等公交线路，综合评价交通便捷度较好</v>
      </c>
      <c r="C60" s="2766"/>
      <c r="D60" s="1285">
        <f t="shared" si="15"/>
        <v>0</v>
      </c>
      <c r="E60" s="818"/>
      <c r="F60" s="2497"/>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4" t="s">
        <v>2901</v>
      </c>
      <c r="B61" s="2878" t="str">
        <f>估价对象房地状况!C19</f>
        <v>一般</v>
      </c>
      <c r="C61" s="2766"/>
      <c r="D61" s="1285">
        <f t="shared" si="15"/>
        <v>0</v>
      </c>
      <c r="E61" s="818"/>
      <c r="F61" s="2497"/>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4" t="s">
        <v>2902</v>
      </c>
      <c r="B62" s="2879" t="s">
        <v>2903</v>
      </c>
      <c r="C62" s="2766"/>
      <c r="D62" s="1285">
        <f t="shared" si="15"/>
        <v>0</v>
      </c>
      <c r="E62" s="818"/>
      <c r="F62" s="2497"/>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4" t="s">
        <v>2904</v>
      </c>
      <c r="B63" s="2878" t="str">
        <f>估价对象房地状况!C24</f>
        <v>城市支路-未命名</v>
      </c>
      <c r="C63" s="2766"/>
      <c r="D63" s="1285">
        <f t="shared" si="15"/>
        <v>0</v>
      </c>
      <c r="E63" s="818"/>
      <c r="F63" s="2497"/>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4" t="s">
        <v>2905</v>
      </c>
      <c r="B64" s="2880" t="s">
        <v>2906</v>
      </c>
      <c r="C64" s="2766"/>
      <c r="D64" s="1285">
        <f t="shared" si="15"/>
        <v>0</v>
      </c>
      <c r="E64" s="818"/>
      <c r="F64" s="2497"/>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4" t="s">
        <v>2907</v>
      </c>
      <c r="B65" s="1723" t="str">
        <f>估价对象房地状况!C21</f>
        <v>估价对象所在区域公共配套设施齐备情况一般</v>
      </c>
      <c r="C65" s="2766"/>
      <c r="D65" s="1285">
        <f t="shared" si="15"/>
        <v>0</v>
      </c>
      <c r="E65" s="818"/>
      <c r="F65" s="2497"/>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4" t="s">
        <v>2908</v>
      </c>
      <c r="B66" s="1723" t="str">
        <f>估价对象房地状况!C22</f>
        <v>估价对象所在区域基础设施水平较好</v>
      </c>
      <c r="C66" s="2766"/>
      <c r="D66" s="1285">
        <f t="shared" si="15"/>
        <v>0</v>
      </c>
      <c r="E66" s="818"/>
      <c r="F66" s="2497"/>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1.75" thickBot="1">
      <c r="A67" s="2882" t="s">
        <v>2909</v>
      </c>
      <c r="B67" s="2884" t="str">
        <f>估价对象房地状况!C20</f>
        <v>区域自然环境好；人文环境较好；周边有南海子公园等，综合评价环境状况较好</v>
      </c>
      <c r="C67" s="2766"/>
      <c r="D67" s="1285">
        <f t="shared" si="15"/>
        <v>0</v>
      </c>
      <c r="E67" s="821"/>
      <c r="F67" s="2497"/>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0" t="s">
        <v>2913</v>
      </c>
      <c r="B68" s="2871">
        <f>1+E70</f>
        <v>1</v>
      </c>
      <c r="C68" s="810"/>
      <c r="D68" s="810"/>
      <c r="E68" s="811"/>
      <c r="F68" s="2873"/>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4" t="s">
        <v>2891</v>
      </c>
      <c r="B69" s="1807"/>
      <c r="C69" s="1807" t="s">
        <v>2893</v>
      </c>
      <c r="D69" s="1807" t="s">
        <v>2894</v>
      </c>
      <c r="E69" s="815" t="s">
        <v>2895</v>
      </c>
      <c r="F69" s="2875" t="s">
        <v>2911</v>
      </c>
      <c r="G69" s="1807" t="s">
        <v>754</v>
      </c>
      <c r="H69" s="2876" t="s">
        <v>2897</v>
      </c>
      <c r="I69" s="1807" t="s">
        <v>2898</v>
      </c>
      <c r="J69" s="602" t="s">
        <v>2547</v>
      </c>
      <c r="K69" s="602" t="s">
        <v>2548</v>
      </c>
      <c r="L69" s="602" t="s">
        <v>2549</v>
      </c>
      <c r="M69" s="602" t="s">
        <v>2550</v>
      </c>
      <c r="N69" s="602" t="s">
        <v>2551</v>
      </c>
      <c r="AA69" s="1370"/>
      <c r="AB69" s="1370"/>
      <c r="AC69" s="1370"/>
      <c r="AD69" s="1370"/>
      <c r="AE69" s="1370"/>
      <c r="AF69" s="1370"/>
      <c r="AG69" s="1370"/>
      <c r="AH69" s="1370"/>
      <c r="AI69" s="1370"/>
      <c r="AJ69" s="1370"/>
      <c r="AK69" s="1370"/>
    </row>
    <row r="70" spans="1:37" s="1369" customFormat="1" ht="76.5">
      <c r="A70" s="2874" t="s">
        <v>2914</v>
      </c>
      <c r="B70" s="2877" t="str">
        <f>估价对象房地状况!C15</f>
        <v>估价对象周边居住用地比例一般、居住小区规模和社区发展完善程度一般，周边有兴盛馨苑、上林苑等小区，综合评价居住社区成熟度一般</v>
      </c>
      <c r="C70" s="2766"/>
      <c r="D70" s="1285">
        <f t="shared" ref="D70:D78" si="20">SUMIF($J$69:$N$69,C70,J70:N70)</f>
        <v>0</v>
      </c>
      <c r="E70" s="817">
        <f>ROUND(SUM(D70:D78),4)</f>
        <v>0</v>
      </c>
      <c r="F70" s="2497"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89.25">
      <c r="A71" s="2874" t="s">
        <v>2900</v>
      </c>
      <c r="B71" s="2878" t="str">
        <f>估价对象房地状况!C18</f>
        <v>估价对象周边道路状况较好、公共交通通达情况较好、停车便捷程度较好，周边临近8号线德茂站、周边有341/453等公交线路，综合评价交通便捷度较好</v>
      </c>
      <c r="C71" s="2766"/>
      <c r="D71" s="1285">
        <f t="shared" si="20"/>
        <v>0</v>
      </c>
      <c r="E71" s="822"/>
      <c r="F71" s="2497"/>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4" t="s">
        <v>2901</v>
      </c>
      <c r="B72" s="2878" t="str">
        <f>估价对象房地状况!C19</f>
        <v>一般</v>
      </c>
      <c r="C72" s="2766"/>
      <c r="D72" s="1285">
        <f t="shared" si="20"/>
        <v>0</v>
      </c>
      <c r="E72" s="822"/>
      <c r="F72" s="2497"/>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4" t="s">
        <v>2915</v>
      </c>
      <c r="B73" s="2878" t="str">
        <f>估价对象房地状况!C24</f>
        <v>城市支路-未命名</v>
      </c>
      <c r="C73" s="2766"/>
      <c r="D73" s="1285">
        <f t="shared" si="20"/>
        <v>0</v>
      </c>
      <c r="E73" s="822"/>
      <c r="F73" s="2497"/>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4" t="s">
        <v>2907</v>
      </c>
      <c r="B74" s="1723" t="str">
        <f>估价对象房地状况!C21</f>
        <v>估价对象所在区域公共配套设施齐备情况一般</v>
      </c>
      <c r="C74" s="2766"/>
      <c r="D74" s="1285">
        <f t="shared" si="20"/>
        <v>0</v>
      </c>
      <c r="E74" s="822"/>
      <c r="F74" s="2497"/>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4" t="s">
        <v>2908</v>
      </c>
      <c r="B75" s="1723" t="str">
        <f>估价对象房地状况!C22</f>
        <v>估价对象所在区域基础设施水平较好</v>
      </c>
      <c r="C75" s="2766"/>
      <c r="D75" s="1285">
        <f t="shared" si="20"/>
        <v>0</v>
      </c>
      <c r="E75" s="822"/>
      <c r="F75" s="2497"/>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5" customFormat="1" ht="24">
      <c r="A76" s="2874" t="s">
        <v>2905</v>
      </c>
      <c r="B76" s="2880" t="s">
        <v>2906</v>
      </c>
      <c r="C76" s="2766"/>
      <c r="D76" s="1285">
        <f t="shared" si="20"/>
        <v>0</v>
      </c>
      <c r="E76" s="822"/>
      <c r="F76" s="2497"/>
      <c r="G76" s="1283"/>
      <c r="H76" s="1287" t="str">
        <f t="shared" si="21"/>
        <v>——</v>
      </c>
      <c r="I76" s="816">
        <v>0.05</v>
      </c>
      <c r="J76" s="1284">
        <f t="shared" si="22"/>
        <v>0</v>
      </c>
      <c r="K76" s="1284">
        <f t="shared" si="23"/>
        <v>0</v>
      </c>
      <c r="L76" s="1284">
        <v>0</v>
      </c>
      <c r="M76" s="1284">
        <f t="shared" si="24"/>
        <v>0</v>
      </c>
      <c r="N76" s="1284">
        <f t="shared" si="24"/>
        <v>0</v>
      </c>
      <c r="AA76" s="2885"/>
      <c r="AB76" s="1370"/>
      <c r="AC76" s="1370"/>
      <c r="AD76" s="1370"/>
      <c r="AE76" s="1370"/>
      <c r="AF76" s="1370"/>
      <c r="AG76" s="1370"/>
      <c r="AH76" s="2885"/>
      <c r="AI76" s="2885"/>
      <c r="AJ76" s="2885"/>
      <c r="AK76" s="2885"/>
    </row>
    <row r="77" spans="1:37" ht="51">
      <c r="A77" s="2874" t="s">
        <v>2909</v>
      </c>
      <c r="B77" s="2877" t="str">
        <f>估价对象房地状况!C20</f>
        <v>区域自然环境好；人文环境较好；周边有南海子公园等，综合评价环境状况较好</v>
      </c>
      <c r="C77" s="2766"/>
      <c r="D77" s="1285">
        <f t="shared" si="20"/>
        <v>0</v>
      </c>
      <c r="E77" s="822"/>
      <c r="F77" s="2497"/>
      <c r="G77" s="1283"/>
      <c r="H77" s="1287" t="str">
        <f t="shared" si="21"/>
        <v>——</v>
      </c>
      <c r="I77" s="816">
        <v>0.15</v>
      </c>
      <c r="J77" s="1284">
        <f t="shared" si="22"/>
        <v>0</v>
      </c>
      <c r="K77" s="1284">
        <f t="shared" si="23"/>
        <v>0</v>
      </c>
      <c r="L77" s="1284">
        <v>0</v>
      </c>
      <c r="M77" s="1284">
        <f t="shared" si="24"/>
        <v>0</v>
      </c>
      <c r="N77" s="1284">
        <f t="shared" si="24"/>
        <v>0</v>
      </c>
      <c r="Z77" s="2716"/>
      <c r="AA77" s="2792"/>
      <c r="AG77" s="1371"/>
      <c r="AK77" s="2792"/>
    </row>
    <row r="78" spans="1:37" ht="24.75" thickBot="1">
      <c r="A78" s="2882" t="s">
        <v>2916</v>
      </c>
      <c r="B78" s="2886"/>
      <c r="C78" s="2766"/>
      <c r="D78" s="1285">
        <f t="shared" si="20"/>
        <v>0</v>
      </c>
      <c r="E78" s="823"/>
      <c r="F78" s="2497"/>
      <c r="G78" s="1283"/>
      <c r="H78" s="1287" t="str">
        <f t="shared" si="21"/>
        <v>——</v>
      </c>
      <c r="I78" s="820">
        <v>0.04</v>
      </c>
      <c r="J78" s="1284">
        <f t="shared" si="22"/>
        <v>0</v>
      </c>
      <c r="K78" s="1284">
        <f t="shared" si="23"/>
        <v>0</v>
      </c>
      <c r="L78" s="1284">
        <v>0</v>
      </c>
      <c r="M78" s="1284">
        <f t="shared" si="24"/>
        <v>0</v>
      </c>
      <c r="N78" s="1284">
        <f t="shared" si="24"/>
        <v>0</v>
      </c>
      <c r="Z78" s="2716"/>
      <c r="AA78" s="2792"/>
      <c r="AG78" s="1371"/>
      <c r="AK78" s="2792"/>
    </row>
    <row r="79" spans="1:37" ht="15">
      <c r="A79" s="2870" t="s">
        <v>2917</v>
      </c>
      <c r="B79" s="2871">
        <f>1+E81</f>
        <v>1</v>
      </c>
      <c r="C79" s="810"/>
      <c r="D79" s="810"/>
      <c r="E79" s="811"/>
      <c r="F79" s="2873"/>
      <c r="G79" s="6"/>
      <c r="H79" s="6"/>
      <c r="I79" s="6"/>
      <c r="J79" s="7"/>
      <c r="K79" s="7"/>
      <c r="L79" s="7"/>
      <c r="M79" s="7"/>
      <c r="N79" s="7"/>
      <c r="Z79" s="2716"/>
      <c r="AA79" s="2792"/>
      <c r="AG79" s="1371"/>
      <c r="AK79" s="2792"/>
    </row>
    <row r="80" spans="1:37" ht="24.75">
      <c r="A80" s="2874" t="s">
        <v>2891</v>
      </c>
      <c r="B80" s="1807"/>
      <c r="C80" s="1807" t="s">
        <v>2893</v>
      </c>
      <c r="D80" s="1807" t="s">
        <v>2894</v>
      </c>
      <c r="E80" s="815" t="s">
        <v>2895</v>
      </c>
      <c r="F80" s="2875" t="s">
        <v>2911</v>
      </c>
      <c r="G80" s="1807" t="s">
        <v>754</v>
      </c>
      <c r="H80" s="2876" t="s">
        <v>2897</v>
      </c>
      <c r="I80" s="1807" t="s">
        <v>2898</v>
      </c>
      <c r="J80" s="602" t="s">
        <v>2547</v>
      </c>
      <c r="K80" s="602" t="s">
        <v>2548</v>
      </c>
      <c r="L80" s="602" t="s">
        <v>2549</v>
      </c>
      <c r="M80" s="602" t="s">
        <v>2550</v>
      </c>
      <c r="N80" s="602" t="s">
        <v>2551</v>
      </c>
      <c r="Z80" s="2716"/>
      <c r="AA80" s="2792"/>
      <c r="AG80" s="1371"/>
      <c r="AK80" s="2792"/>
    </row>
    <row r="81" spans="1:37" ht="24">
      <c r="A81" s="2874" t="s">
        <v>2918</v>
      </c>
      <c r="B81" s="2878">
        <f>估价对象房地状况!G15</f>
        <v>0</v>
      </c>
      <c r="C81" s="2766"/>
      <c r="D81" s="1285">
        <f t="shared" ref="D81:D88" si="25">SUMIF($J$80:$N$80,C81,J81:N81)</f>
        <v>0</v>
      </c>
      <c r="E81" s="817">
        <f>ROUND(SUM(D81:D88),4)</f>
        <v>0</v>
      </c>
      <c r="F81" s="2497"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6"/>
      <c r="AA81" s="2792"/>
      <c r="AG81" s="1371"/>
      <c r="AK81" s="2792"/>
    </row>
    <row r="82" spans="1:37" ht="14.25">
      <c r="A82" s="2874" t="s">
        <v>2900</v>
      </c>
      <c r="B82" s="2878">
        <f>估价对象房地状况!G16</f>
        <v>0</v>
      </c>
      <c r="C82" s="2766"/>
      <c r="D82" s="1285">
        <f t="shared" si="25"/>
        <v>0</v>
      </c>
      <c r="E82" s="822"/>
      <c r="F82" s="2497"/>
      <c r="G82" s="1283"/>
      <c r="H82" s="1287" t="str">
        <f t="shared" si="26"/>
        <v>——</v>
      </c>
      <c r="I82" s="816">
        <v>0.33</v>
      </c>
      <c r="J82" s="1284">
        <f t="shared" si="27"/>
        <v>0</v>
      </c>
      <c r="K82" s="1284">
        <f t="shared" si="28"/>
        <v>0</v>
      </c>
      <c r="L82" s="1284">
        <v>0</v>
      </c>
      <c r="M82" s="1284">
        <f t="shared" si="29"/>
        <v>0</v>
      </c>
      <c r="N82" s="1284">
        <f t="shared" si="29"/>
        <v>0</v>
      </c>
      <c r="Z82" s="2716"/>
      <c r="AA82" s="2792"/>
      <c r="AG82" s="1371"/>
      <c r="AK82" s="2792"/>
    </row>
    <row r="83" spans="1:37" ht="24">
      <c r="A83" s="2874" t="s">
        <v>2901</v>
      </c>
      <c r="B83" s="2878">
        <f>估价对象房地状况!G17</f>
        <v>0</v>
      </c>
      <c r="C83" s="2766"/>
      <c r="D83" s="1285">
        <f t="shared" si="25"/>
        <v>0</v>
      </c>
      <c r="E83" s="822"/>
      <c r="F83" s="2497"/>
      <c r="G83" s="1283"/>
      <c r="H83" s="1287" t="str">
        <f t="shared" si="26"/>
        <v>——</v>
      </c>
      <c r="I83" s="816">
        <v>0.05</v>
      </c>
      <c r="J83" s="1284">
        <f t="shared" si="27"/>
        <v>0</v>
      </c>
      <c r="K83" s="1284">
        <f t="shared" si="28"/>
        <v>0</v>
      </c>
      <c r="L83" s="1284">
        <v>0</v>
      </c>
      <c r="M83" s="1284">
        <f t="shared" si="29"/>
        <v>0</v>
      </c>
      <c r="N83" s="1284">
        <f t="shared" si="29"/>
        <v>0</v>
      </c>
      <c r="Z83" s="2716"/>
      <c r="AA83" s="2792"/>
      <c r="AG83" s="1371"/>
      <c r="AK83" s="2792"/>
    </row>
    <row r="84" spans="1:37" ht="14.25">
      <c r="A84" s="2874" t="s">
        <v>2915</v>
      </c>
      <c r="B84" s="2878">
        <f>估价对象房地状况!G22</f>
        <v>0</v>
      </c>
      <c r="C84" s="2766"/>
      <c r="D84" s="1285">
        <f t="shared" si="25"/>
        <v>0</v>
      </c>
      <c r="E84" s="822"/>
      <c r="F84" s="2497"/>
      <c r="G84" s="1283"/>
      <c r="H84" s="1287" t="str">
        <f t="shared" si="26"/>
        <v>——</v>
      </c>
      <c r="I84" s="816">
        <v>0.04</v>
      </c>
      <c r="J84" s="1284">
        <f t="shared" si="27"/>
        <v>0</v>
      </c>
      <c r="K84" s="1284">
        <f t="shared" si="28"/>
        <v>0</v>
      </c>
      <c r="L84" s="1284">
        <v>0</v>
      </c>
      <c r="M84" s="1284">
        <f t="shared" si="29"/>
        <v>0</v>
      </c>
      <c r="N84" s="1284">
        <f t="shared" si="29"/>
        <v>0</v>
      </c>
      <c r="Z84" s="2716"/>
      <c r="AA84" s="2792"/>
      <c r="AG84" s="1371"/>
      <c r="AK84" s="2792"/>
    </row>
    <row r="85" spans="1:37" ht="24">
      <c r="A85" s="2874" t="s">
        <v>2907</v>
      </c>
      <c r="B85" s="1723">
        <f>估价对象房地状况!G19</f>
        <v>0</v>
      </c>
      <c r="C85" s="2766"/>
      <c r="D85" s="1285">
        <f t="shared" si="25"/>
        <v>0</v>
      </c>
      <c r="E85" s="822"/>
      <c r="F85" s="2497"/>
      <c r="G85" s="1283"/>
      <c r="H85" s="1287" t="str">
        <f t="shared" si="26"/>
        <v>——</v>
      </c>
      <c r="I85" s="816">
        <v>0.06</v>
      </c>
      <c r="J85" s="1284">
        <f t="shared" si="27"/>
        <v>0</v>
      </c>
      <c r="K85" s="1284">
        <f t="shared" si="28"/>
        <v>0</v>
      </c>
      <c r="L85" s="1284">
        <v>0</v>
      </c>
      <c r="M85" s="1284">
        <f t="shared" si="29"/>
        <v>0</v>
      </c>
      <c r="N85" s="1284">
        <f t="shared" si="29"/>
        <v>0</v>
      </c>
      <c r="Z85" s="2716"/>
      <c r="AA85" s="2792"/>
      <c r="AG85" s="1371"/>
      <c r="AK85" s="2792"/>
    </row>
    <row r="86" spans="1:37" ht="24">
      <c r="A86" s="2874" t="s">
        <v>2908</v>
      </c>
      <c r="B86" s="1723">
        <f>估价对象房地状况!G20</f>
        <v>0</v>
      </c>
      <c r="C86" s="2766"/>
      <c r="D86" s="1285">
        <f t="shared" si="25"/>
        <v>0</v>
      </c>
      <c r="E86" s="822"/>
      <c r="F86" s="2497"/>
      <c r="G86" s="1283"/>
      <c r="H86" s="1287" t="str">
        <f t="shared" si="26"/>
        <v>——</v>
      </c>
      <c r="I86" s="816">
        <v>0.15</v>
      </c>
      <c r="J86" s="1284">
        <f t="shared" si="27"/>
        <v>0</v>
      </c>
      <c r="K86" s="1284">
        <f t="shared" si="28"/>
        <v>0</v>
      </c>
      <c r="L86" s="1284">
        <v>0</v>
      </c>
      <c r="M86" s="1284">
        <f t="shared" si="29"/>
        <v>0</v>
      </c>
      <c r="N86" s="1284">
        <f t="shared" si="29"/>
        <v>0</v>
      </c>
      <c r="Z86" s="2716"/>
      <c r="AA86" s="2792"/>
      <c r="AG86" s="1371"/>
      <c r="AK86" s="2792"/>
    </row>
    <row r="87" spans="1:37" ht="24">
      <c r="A87" s="2874" t="s">
        <v>2905</v>
      </c>
      <c r="B87" s="2880" t="s">
        <v>2919</v>
      </c>
      <c r="C87" s="2766"/>
      <c r="D87" s="1285">
        <f t="shared" si="25"/>
        <v>0</v>
      </c>
      <c r="E87" s="822"/>
      <c r="F87" s="2497"/>
      <c r="G87" s="1283"/>
      <c r="H87" s="1287" t="str">
        <f t="shared" si="26"/>
        <v>——</v>
      </c>
      <c r="I87" s="816">
        <v>0.05</v>
      </c>
      <c r="J87" s="1284">
        <f t="shared" si="27"/>
        <v>0</v>
      </c>
      <c r="K87" s="1284">
        <f t="shared" si="28"/>
        <v>0</v>
      </c>
      <c r="L87" s="1284">
        <v>0</v>
      </c>
      <c r="M87" s="1284">
        <f t="shared" si="29"/>
        <v>0</v>
      </c>
      <c r="N87" s="1284">
        <f t="shared" si="29"/>
        <v>0</v>
      </c>
      <c r="Z87" s="2716"/>
      <c r="AA87" s="2792"/>
      <c r="AG87" s="1371"/>
      <c r="AK87" s="2792"/>
    </row>
    <row r="88" spans="1:37" ht="15" thickBot="1">
      <c r="A88" s="2882" t="s">
        <v>2920</v>
      </c>
      <c r="B88" s="2887">
        <f>估价对象房地状况!G18</f>
        <v>0</v>
      </c>
      <c r="C88" s="2766"/>
      <c r="D88" s="1285">
        <f t="shared" si="25"/>
        <v>0</v>
      </c>
      <c r="E88" s="823"/>
      <c r="F88" s="2497"/>
      <c r="G88" s="1283"/>
      <c r="H88" s="1287" t="str">
        <f t="shared" si="26"/>
        <v>——</v>
      </c>
      <c r="I88" s="820">
        <v>0.06</v>
      </c>
      <c r="J88" s="1284">
        <f t="shared" si="27"/>
        <v>0</v>
      </c>
      <c r="K88" s="1284">
        <f t="shared" si="28"/>
        <v>0</v>
      </c>
      <c r="L88" s="1284">
        <v>0</v>
      </c>
      <c r="M88" s="1284">
        <f t="shared" si="29"/>
        <v>0</v>
      </c>
      <c r="N88" s="1284">
        <f t="shared" si="29"/>
        <v>0</v>
      </c>
      <c r="Z88" s="2716"/>
      <c r="AA88" s="2792"/>
      <c r="AG88" s="1371"/>
      <c r="AK88" s="2792"/>
    </row>
    <row r="90" spans="1:37">
      <c r="A90" s="3320" t="s">
        <v>2921</v>
      </c>
      <c r="B90" s="3320"/>
      <c r="C90" s="3320"/>
      <c r="D90" s="3320"/>
      <c r="E90" s="3320"/>
      <c r="F90" s="3320"/>
      <c r="G90" s="3320"/>
      <c r="H90" s="3320"/>
      <c r="I90" s="3320"/>
      <c r="J90" s="3320"/>
      <c r="K90" s="2888"/>
      <c r="L90" s="2888"/>
      <c r="M90" s="2888"/>
      <c r="N90" s="2888"/>
    </row>
    <row r="91" spans="1:37">
      <c r="A91" s="3322" t="s">
        <v>2922</v>
      </c>
      <c r="B91" s="3322" t="s">
        <v>2923</v>
      </c>
      <c r="C91" s="2842" t="s">
        <v>2924</v>
      </c>
      <c r="D91" s="2843"/>
      <c r="E91" s="2843"/>
      <c r="F91" s="2843"/>
      <c r="G91" s="2843"/>
      <c r="H91" s="2843"/>
      <c r="I91" s="2843"/>
      <c r="J91" s="2889"/>
      <c r="K91" s="2890"/>
      <c r="L91" s="2890"/>
      <c r="M91" s="2890"/>
      <c r="N91" s="2890"/>
    </row>
    <row r="92" spans="1:37">
      <c r="A92" s="3322"/>
      <c r="B92" s="3322"/>
      <c r="C92" s="941" t="s">
        <v>2788</v>
      </c>
      <c r="D92" s="941" t="s">
        <v>2789</v>
      </c>
      <c r="E92" s="941" t="s">
        <v>2790</v>
      </c>
      <c r="F92" s="941" t="s">
        <v>2791</v>
      </c>
      <c r="G92" s="941" t="s">
        <v>2792</v>
      </c>
      <c r="H92" s="941" t="s">
        <v>2793</v>
      </c>
      <c r="I92" s="941" t="s">
        <v>2794</v>
      </c>
      <c r="J92" s="941" t="s">
        <v>2795</v>
      </c>
      <c r="K92" s="941" t="s">
        <v>2796</v>
      </c>
      <c r="L92" s="941" t="s">
        <v>2797</v>
      </c>
      <c r="M92" s="941" t="s">
        <v>2798</v>
      </c>
      <c r="N92" s="941" t="s">
        <v>2799</v>
      </c>
    </row>
    <row r="93" spans="1:37">
      <c r="A93" s="3323" t="s">
        <v>2925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4"/>
      <c r="B99" s="2891" t="s">
        <v>2804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3" t="s">
        <v>2926</v>
      </c>
      <c r="B101" s="2895" t="s">
        <v>2927</v>
      </c>
      <c r="C101" s="2896">
        <f>$G$3</f>
        <v>1.39</v>
      </c>
      <c r="D101" s="2896">
        <f t="shared" ref="D101:N101" si="31">$G$3</f>
        <v>1.39</v>
      </c>
      <c r="E101" s="2896">
        <f t="shared" si="31"/>
        <v>1.39</v>
      </c>
      <c r="F101" s="2896">
        <f t="shared" si="31"/>
        <v>1.39</v>
      </c>
      <c r="G101" s="2896">
        <f t="shared" si="31"/>
        <v>1.39</v>
      </c>
      <c r="H101" s="2896">
        <f t="shared" si="31"/>
        <v>1.39</v>
      </c>
      <c r="I101" s="2896">
        <f t="shared" si="31"/>
        <v>1.39</v>
      </c>
      <c r="J101" s="2896">
        <f t="shared" si="31"/>
        <v>1.39</v>
      </c>
      <c r="K101" s="2896">
        <f t="shared" si="31"/>
        <v>1.39</v>
      </c>
      <c r="L101" s="2896">
        <f t="shared" si="31"/>
        <v>1.39</v>
      </c>
      <c r="M101" s="2896">
        <f t="shared" si="31"/>
        <v>1.39</v>
      </c>
      <c r="N101" s="2896">
        <f t="shared" si="31"/>
        <v>1.39</v>
      </c>
    </row>
    <row r="102" spans="1:14">
      <c r="A102" s="3324"/>
      <c r="B102" s="2891">
        <v>1</v>
      </c>
      <c r="C102" s="2892">
        <f>1.9362/C101</f>
        <v>1.3929496402877699</v>
      </c>
      <c r="D102" s="2892">
        <f>1.9362/D101</f>
        <v>1.3929496402877699</v>
      </c>
      <c r="E102" s="2892">
        <f>1.8629/E101</f>
        <v>1.3402158273381295</v>
      </c>
      <c r="F102" s="2892">
        <f>1.8629/F101</f>
        <v>1.3402158273381295</v>
      </c>
      <c r="G102" s="2892">
        <f>1.8629/G101</f>
        <v>1.3402158273381295</v>
      </c>
      <c r="H102" s="2892">
        <f>1.8629/H101</f>
        <v>1.3402158273381295</v>
      </c>
      <c r="I102" s="2892">
        <f>1.8629/I101</f>
        <v>1.3402158273381295</v>
      </c>
      <c r="J102" s="2892">
        <f>1.942/J101</f>
        <v>1.3971223021582735</v>
      </c>
      <c r="K102" s="2892">
        <f>1.942/K101</f>
        <v>1.3971223021582735</v>
      </c>
      <c r="L102" s="2892">
        <f>1.942/L101</f>
        <v>1.3971223021582735</v>
      </c>
      <c r="M102" s="2892">
        <f>1.942/M101</f>
        <v>1.3971223021582735</v>
      </c>
      <c r="N102" s="2892">
        <f>1.942/N101</f>
        <v>1.3971223021582735</v>
      </c>
    </row>
    <row r="103" spans="1:14">
      <c r="A103" s="3324"/>
      <c r="B103" s="2891">
        <v>2</v>
      </c>
      <c r="C103" s="2892">
        <f>1.4198/C101</f>
        <v>1.0214388489208635</v>
      </c>
      <c r="D103" s="2892">
        <f>1.4198/D101</f>
        <v>1.0214388489208635</v>
      </c>
      <c r="E103" s="2892">
        <f>1.3372/E101</f>
        <v>0.96201438848920862</v>
      </c>
      <c r="F103" s="2892">
        <f>1.3372/F101</f>
        <v>0.96201438848920862</v>
      </c>
      <c r="G103" s="2892">
        <f>1.3372/G101</f>
        <v>0.96201438848920862</v>
      </c>
      <c r="H103" s="2892">
        <f>1.3372/H101</f>
        <v>0.96201438848920862</v>
      </c>
      <c r="I103" s="2892">
        <f>1.3372/I101</f>
        <v>0.96201438848920862</v>
      </c>
      <c r="J103" s="2892">
        <f>1.2799/J101</f>
        <v>0.9207913669064749</v>
      </c>
      <c r="K103" s="2892">
        <f>1.2799/K101</f>
        <v>0.9207913669064749</v>
      </c>
      <c r="L103" s="2892">
        <f>1.2799/L101</f>
        <v>0.9207913669064749</v>
      </c>
      <c r="M103" s="2892">
        <f>1.2799/M101</f>
        <v>0.9207913669064749</v>
      </c>
      <c r="N103" s="2892">
        <f>1.2799/N101</f>
        <v>0.9207913669064749</v>
      </c>
    </row>
    <row r="104" spans="1:14">
      <c r="A104" s="3324"/>
      <c r="B104" s="2891">
        <v>3</v>
      </c>
      <c r="C104" s="2892">
        <f>1.1594/C101</f>
        <v>0.83410071942446051</v>
      </c>
      <c r="D104" s="2892">
        <f>1.1594/D101</f>
        <v>0.83410071942446051</v>
      </c>
      <c r="E104" s="2892">
        <f>1.0788/E101</f>
        <v>0.77611510791366911</v>
      </c>
      <c r="F104" s="2892">
        <f>1.0788/F101</f>
        <v>0.77611510791366911</v>
      </c>
      <c r="G104" s="2892">
        <f>1.0788/G101</f>
        <v>0.77611510791366911</v>
      </c>
      <c r="H104" s="2892">
        <f>1.0788/H101</f>
        <v>0.77611510791366911</v>
      </c>
      <c r="I104" s="2892">
        <f>1.0788/I101</f>
        <v>0.77611510791366911</v>
      </c>
      <c r="J104" s="2892">
        <f>1.0072/J101</f>
        <v>0.72460431654676272</v>
      </c>
      <c r="K104" s="2892">
        <f>1.0072/K101</f>
        <v>0.72460431654676272</v>
      </c>
      <c r="L104" s="2892">
        <f>1.0072/L101</f>
        <v>0.72460431654676272</v>
      </c>
      <c r="M104" s="2892">
        <f>1.0072/M101</f>
        <v>0.72460431654676272</v>
      </c>
      <c r="N104" s="2892">
        <f>1.0072/N101</f>
        <v>0.72460431654676272</v>
      </c>
    </row>
    <row r="105" spans="1:14">
      <c r="A105" s="3324"/>
      <c r="B105" s="2891">
        <v>4</v>
      </c>
      <c r="C105" s="2892">
        <f>0.9622/C101</f>
        <v>0.69223021582733824</v>
      </c>
      <c r="D105" s="2892">
        <f>0.9622/D101</f>
        <v>0.69223021582733824</v>
      </c>
      <c r="E105" s="2892">
        <f>0.8656/E101</f>
        <v>0.62273381294964036</v>
      </c>
      <c r="F105" s="2892">
        <f>0.8656/F101</f>
        <v>0.62273381294964036</v>
      </c>
      <c r="G105" s="2892">
        <f>0.8656/G101</f>
        <v>0.62273381294964036</v>
      </c>
      <c r="H105" s="2892">
        <f>0.8656/H101</f>
        <v>0.62273381294964036</v>
      </c>
      <c r="I105" s="2892">
        <f>0.8656/I101</f>
        <v>0.62273381294964036</v>
      </c>
      <c r="J105" s="2892">
        <f>0.7525/J101</f>
        <v>0.54136690647482011</v>
      </c>
      <c r="K105" s="2892">
        <f>0.7525/K101</f>
        <v>0.54136690647482011</v>
      </c>
      <c r="L105" s="2892">
        <f>0.7525/L101</f>
        <v>0.54136690647482011</v>
      </c>
      <c r="M105" s="2892">
        <f>0.7525/M101</f>
        <v>0.54136690647482011</v>
      </c>
      <c r="N105" s="2892">
        <f>0.7525/N101</f>
        <v>0.54136690647482011</v>
      </c>
    </row>
    <row r="106" spans="1:14">
      <c r="A106" s="3324"/>
      <c r="B106" s="2891">
        <v>5</v>
      </c>
      <c r="C106" s="2892">
        <f>0.8417/C101</f>
        <v>0.60553956834532374</v>
      </c>
      <c r="D106" s="2892">
        <f>0.8417/D101</f>
        <v>0.60553956834532374</v>
      </c>
      <c r="E106" s="2892">
        <f>0.7371/E101</f>
        <v>0.53028776978417269</v>
      </c>
      <c r="F106" s="2892">
        <f>0.7371/F101</f>
        <v>0.53028776978417269</v>
      </c>
      <c r="G106" s="2892">
        <f>0.7371/G101</f>
        <v>0.53028776978417269</v>
      </c>
      <c r="H106" s="2892">
        <f>0.7371/H101</f>
        <v>0.53028776978417269</v>
      </c>
      <c r="I106" s="2892">
        <f>0.7371/I101</f>
        <v>0.53028776978417269</v>
      </c>
      <c r="J106" s="2892">
        <f>0.5659/J101</f>
        <v>0.40712230215827339</v>
      </c>
      <c r="K106" s="2892">
        <f>0.5659/K101</f>
        <v>0.40712230215827339</v>
      </c>
      <c r="L106" s="2892">
        <f>0.5659/L101</f>
        <v>0.40712230215827339</v>
      </c>
      <c r="M106" s="2892">
        <f>0.5659/M101</f>
        <v>0.40712230215827339</v>
      </c>
      <c r="N106" s="2892">
        <f>0.5659/N101</f>
        <v>0.40712230215827339</v>
      </c>
    </row>
    <row r="107" spans="1:14">
      <c r="A107" s="3324"/>
      <c r="B107" s="2891">
        <v>6</v>
      </c>
      <c r="C107" s="2892">
        <f>0.7608/C101</f>
        <v>0.54733812949640293</v>
      </c>
      <c r="D107" s="2892">
        <f>0.7608/D101</f>
        <v>0.54733812949640293</v>
      </c>
      <c r="E107" s="2892">
        <f>0.6482/E101</f>
        <v>0.46633093525179858</v>
      </c>
      <c r="F107" s="2892">
        <f>0.6482/F101</f>
        <v>0.46633093525179858</v>
      </c>
      <c r="G107" s="2892">
        <f>0.6482/G101</f>
        <v>0.46633093525179858</v>
      </c>
      <c r="H107" s="2892">
        <f>0.6482/H101</f>
        <v>0.46633093525179858</v>
      </c>
      <c r="I107" s="2892">
        <f>0.6482/I101</f>
        <v>0.46633093525179858</v>
      </c>
      <c r="J107" s="2892">
        <f>0.4525/J101</f>
        <v>0.32553956834532377</v>
      </c>
      <c r="K107" s="2892">
        <f>0.4525/K101</f>
        <v>0.32553956834532377</v>
      </c>
      <c r="L107" s="2892">
        <f>0.4525/L101</f>
        <v>0.32553956834532377</v>
      </c>
      <c r="M107" s="2892">
        <f>0.4525/M101</f>
        <v>0.32553956834532377</v>
      </c>
      <c r="N107" s="2892">
        <f>0.4525/N101</f>
        <v>0.32553956834532377</v>
      </c>
    </row>
    <row r="108" spans="1:14">
      <c r="A108" s="3324"/>
      <c r="B108" s="3179" t="s">
        <v>2928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5"/>
      <c r="B109" s="3180"/>
      <c r="C109" s="2894">
        <f>(-0.163*(C108^2)-0.59*C108+7617)*(10^(-4))/C101</f>
        <v>0.54798561151079139</v>
      </c>
      <c r="D109" s="2894">
        <f>(-0.163*(D108^2)-0.59*D108+7617)*(10^(-4))/D101</f>
        <v>0.54798561151079139</v>
      </c>
      <c r="E109" s="2894">
        <f>(-0.161*(E108^2)-7.509*E108+6533)*(10^(-4))/E101</f>
        <v>0.47000000000000003</v>
      </c>
      <c r="F109" s="2894">
        <f>(-0.161*(F108^2)-7.509*F108+6533)*(10^(-4))/F101</f>
        <v>0.47000000000000003</v>
      </c>
      <c r="G109" s="2894">
        <f>(-0.161*(G108^2)-7.509*G108+6533)*(10^(-4))/G101</f>
        <v>0.47000000000000003</v>
      </c>
      <c r="H109" s="2894">
        <f>(-0.161*(H108^2)-7.509*H108+6533)*(10^(-4))/H101</f>
        <v>0.47000000000000003</v>
      </c>
      <c r="I109" s="2894">
        <f>(-0.161*(I108^2)-7.509*I108+6533)*(10^(-4))/I101</f>
        <v>0.47000000000000003</v>
      </c>
      <c r="J109" s="2894">
        <f>(-0.214*(J108^2)-21.991*J108+4665)*(10^(-4))/J101</f>
        <v>0.33561151079136697</v>
      </c>
      <c r="K109" s="2894">
        <f>(-0.214*(K108^2)-21.991*K108+4665)*(10^(-4))/K101</f>
        <v>0.33561151079136697</v>
      </c>
      <c r="L109" s="2894">
        <f>(-0.214*(L108^2)-21.991*L108+4665)*(10^(-4))/L101</f>
        <v>0.33561151079136697</v>
      </c>
      <c r="M109" s="2894">
        <f>(-0.214*(M108^2)-21.991*M108+4665)*(10^(-4))/M101</f>
        <v>0.33561151079136697</v>
      </c>
      <c r="N109" s="2894">
        <f>(-0.214*(N108^2)-21.991*N108+4665)*(10^(-4))/N101</f>
        <v>0.33561151079136697</v>
      </c>
    </row>
    <row r="110" spans="1:14">
      <c r="A110" s="3321" t="s">
        <v>2929</v>
      </c>
      <c r="B110" s="3321"/>
      <c r="C110" s="3321"/>
      <c r="D110" s="3321"/>
      <c r="E110" s="3321"/>
      <c r="F110" s="3321"/>
      <c r="G110" s="3321"/>
      <c r="H110" s="3321"/>
      <c r="I110" s="3321"/>
      <c r="J110" s="3321"/>
      <c r="K110" s="2897"/>
      <c r="L110" s="2897"/>
      <c r="M110" s="2897"/>
      <c r="N110" s="2897"/>
    </row>
    <row r="112" spans="1:14" ht="13.5" thickBot="1"/>
    <row r="113" spans="1:13" ht="25.5" thickBot="1">
      <c r="A113" s="899" t="s">
        <v>2930</v>
      </c>
      <c r="B113" s="1286">
        <f>G3</f>
        <v>1.39</v>
      </c>
      <c r="C113" s="900" t="s">
        <v>2931</v>
      </c>
      <c r="D113" s="901">
        <f>SUMPRODUCT((A115:A118=F113)*(B114:M114=H113)*B115:M118)</f>
        <v>0</v>
      </c>
      <c r="E113" s="2720" t="s">
        <v>2761</v>
      </c>
      <c r="F113" s="2899">
        <f>E2</f>
        <v>0</v>
      </c>
      <c r="G113" s="2720" t="s">
        <v>2762</v>
      </c>
      <c r="H113" s="2899">
        <f>G2</f>
        <v>0</v>
      </c>
      <c r="I113" s="2720"/>
      <c r="J113" s="2900"/>
      <c r="K113" s="2900"/>
      <c r="L113" s="2900"/>
      <c r="M113" s="2900"/>
    </row>
    <row r="114" spans="1:13">
      <c r="A114" s="904"/>
      <c r="B114" s="2901" t="s">
        <v>2932</v>
      </c>
      <c r="C114" s="2901" t="s">
        <v>2933</v>
      </c>
      <c r="D114" s="2901" t="s">
        <v>2934</v>
      </c>
      <c r="E114" s="2902" t="s">
        <v>2935</v>
      </c>
      <c r="F114" s="2902" t="s">
        <v>2936</v>
      </c>
      <c r="G114" s="2902" t="s">
        <v>2937</v>
      </c>
      <c r="H114" s="2903" t="s">
        <v>2938</v>
      </c>
      <c r="I114" s="2903" t="s">
        <v>2939</v>
      </c>
      <c r="J114" s="2904" t="s">
        <v>2940</v>
      </c>
      <c r="K114" s="2904" t="s">
        <v>2941</v>
      </c>
      <c r="L114" s="2904" t="s">
        <v>2942</v>
      </c>
      <c r="M114" s="2905" t="s">
        <v>2943</v>
      </c>
    </row>
    <row r="115" spans="1:13">
      <c r="A115" s="905" t="s">
        <v>2826</v>
      </c>
      <c r="B115" s="906">
        <f>ROUND(0.9335-0.0094*B113,4)</f>
        <v>0.9204</v>
      </c>
      <c r="C115" s="906">
        <f>B115</f>
        <v>0.9204</v>
      </c>
      <c r="D115" s="906">
        <f>ROUND(0.8331-0.0109*B113,4)</f>
        <v>0.81789999999999996</v>
      </c>
      <c r="E115" s="906">
        <f>D115</f>
        <v>0.81789999999999996</v>
      </c>
      <c r="F115" s="906">
        <f>E115</f>
        <v>0.81789999999999996</v>
      </c>
      <c r="G115" s="906">
        <f>F115</f>
        <v>0.81789999999999996</v>
      </c>
      <c r="H115" s="906">
        <f>G115</f>
        <v>0.81789999999999996</v>
      </c>
      <c r="I115" s="906">
        <f>ROUND(0.689-0.0155*B113,4)</f>
        <v>0.66749999999999998</v>
      </c>
      <c r="J115" s="906">
        <f t="shared" ref="J115:M118" si="33">I115</f>
        <v>0.66749999999999998</v>
      </c>
      <c r="K115" s="906">
        <f t="shared" si="33"/>
        <v>0.66749999999999998</v>
      </c>
      <c r="L115" s="906">
        <f t="shared" si="33"/>
        <v>0.66749999999999998</v>
      </c>
      <c r="M115" s="907">
        <f t="shared" si="33"/>
        <v>0.66749999999999998</v>
      </c>
    </row>
    <row r="116" spans="1:13">
      <c r="A116" s="905" t="s">
        <v>2827</v>
      </c>
      <c r="B116" s="906">
        <f>ROUND(0.949-0.012*B113,4)</f>
        <v>0.93230000000000002</v>
      </c>
      <c r="C116" s="906">
        <f>B116</f>
        <v>0.93230000000000002</v>
      </c>
      <c r="D116" s="906">
        <f>ROUND(0.8567-0.013*B113,4)</f>
        <v>0.83860000000000001</v>
      </c>
      <c r="E116" s="906">
        <f t="shared" ref="E116:H117" si="34">D116</f>
        <v>0.83860000000000001</v>
      </c>
      <c r="F116" s="906">
        <f t="shared" si="34"/>
        <v>0.83860000000000001</v>
      </c>
      <c r="G116" s="906">
        <f t="shared" si="34"/>
        <v>0.83860000000000001</v>
      </c>
      <c r="H116" s="906">
        <f t="shared" si="34"/>
        <v>0.83860000000000001</v>
      </c>
      <c r="I116" s="906">
        <f>ROUND(0.7694-0.014*B113,4)</f>
        <v>0.74990000000000001</v>
      </c>
      <c r="J116" s="906">
        <f t="shared" si="33"/>
        <v>0.74990000000000001</v>
      </c>
      <c r="K116" s="906">
        <f t="shared" si="33"/>
        <v>0.74990000000000001</v>
      </c>
      <c r="L116" s="906">
        <f t="shared" si="33"/>
        <v>0.74990000000000001</v>
      </c>
      <c r="M116" s="907">
        <f t="shared" si="33"/>
        <v>0.74990000000000001</v>
      </c>
    </row>
    <row r="117" spans="1:13">
      <c r="A117" s="905" t="s">
        <v>2828</v>
      </c>
      <c r="B117" s="906">
        <f>ROUND(0.8808-0.006*B113,4)</f>
        <v>0.87250000000000005</v>
      </c>
      <c r="C117" s="906">
        <f>B117</f>
        <v>0.87250000000000005</v>
      </c>
      <c r="D117" s="906">
        <f>ROUND(0.8748-0.008*B113,4)</f>
        <v>0.86370000000000002</v>
      </c>
      <c r="E117" s="906">
        <f t="shared" si="34"/>
        <v>0.86370000000000002</v>
      </c>
      <c r="F117" s="906">
        <f t="shared" si="34"/>
        <v>0.86370000000000002</v>
      </c>
      <c r="G117" s="906">
        <f t="shared" si="34"/>
        <v>0.86370000000000002</v>
      </c>
      <c r="H117" s="906">
        <f t="shared" si="34"/>
        <v>0.86370000000000002</v>
      </c>
      <c r="I117" s="906">
        <f>ROUND(0.7412-0.0095*B113,4)</f>
        <v>0.72799999999999998</v>
      </c>
      <c r="J117" s="906">
        <f t="shared" si="33"/>
        <v>0.72799999999999998</v>
      </c>
      <c r="K117" s="906">
        <f t="shared" si="33"/>
        <v>0.72799999999999998</v>
      </c>
      <c r="L117" s="906">
        <f t="shared" si="33"/>
        <v>0.72799999999999998</v>
      </c>
      <c r="M117" s="907">
        <f t="shared" si="33"/>
        <v>0.72799999999999998</v>
      </c>
    </row>
    <row r="118" spans="1:13" ht="13.5" thickBot="1">
      <c r="A118" s="713" t="s">
        <v>2829</v>
      </c>
      <c r="B118" s="908">
        <f>ROUND(0.7275-0.01*B113,4)</f>
        <v>0.71360000000000001</v>
      </c>
      <c r="C118" s="908">
        <f>B118</f>
        <v>0.71360000000000001</v>
      </c>
      <c r="D118" s="908">
        <f>ROUND(0.7043-0.012*B113,4)</f>
        <v>0.68759999999999999</v>
      </c>
      <c r="E118" s="908">
        <f>D118</f>
        <v>0.68759999999999999</v>
      </c>
      <c r="F118" s="908">
        <f>E118</f>
        <v>0.68759999999999999</v>
      </c>
      <c r="G118" s="908">
        <f>ROUND(0.6299-0.0122*B113,4)</f>
        <v>0.6129</v>
      </c>
      <c r="H118" s="908">
        <f>G118</f>
        <v>0.6129</v>
      </c>
      <c r="I118" s="908">
        <f>ROUND(0.5667-0.0136*B113,4)</f>
        <v>0.54779999999999995</v>
      </c>
      <c r="J118" s="908">
        <f t="shared" si="33"/>
        <v>0.54779999999999995</v>
      </c>
      <c r="K118" s="908">
        <f t="shared" si="33"/>
        <v>0.54779999999999995</v>
      </c>
      <c r="L118" s="908">
        <f t="shared" si="33"/>
        <v>0.54779999999999995</v>
      </c>
      <c r="M118" s="909">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1613</v>
      </c>
      <c r="B1" s="1957"/>
      <c r="C1" s="1957"/>
      <c r="D1" s="1957"/>
      <c r="E1" s="1957"/>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59"/>
      <c r="B4" s="3021" t="s">
        <v>1622</v>
      </c>
      <c r="C4" s="3021"/>
      <c r="D4" s="3021"/>
      <c r="E4" s="1959"/>
    </row>
    <row r="5" spans="1:5" ht="16.5" thickTop="1">
      <c r="A5" s="1957"/>
      <c r="B5" s="3019" t="s">
        <v>1614</v>
      </c>
      <c r="C5" s="1960" t="s">
        <v>1615</v>
      </c>
      <c r="D5" s="1039">
        <f ca="1">结果表!H101</f>
        <v>465317</v>
      </c>
      <c r="E5" s="1957"/>
    </row>
    <row r="6" spans="1:5" ht="15.75">
      <c r="A6" s="1957"/>
      <c r="B6" s="3019"/>
      <c r="C6" s="1960" t="s">
        <v>1616</v>
      </c>
      <c r="D6" s="1039" t="str">
        <f ca="1">NUMBERSTRING(INT(D5*10000),2)&amp;"元整"</f>
        <v>肆拾陆亿伍仟叁佰壹拾柒万元整</v>
      </c>
      <c r="E6" s="1957"/>
    </row>
    <row r="7" spans="1:5" ht="15.75">
      <c r="A7" s="1957"/>
      <c r="B7" s="3024"/>
      <c r="C7" s="1961" t="s">
        <v>1617</v>
      </c>
      <c r="D7" s="1040">
        <f ca="1">结果表!H102</f>
        <v>37604</v>
      </c>
      <c r="E7" s="1957"/>
    </row>
    <row r="8" spans="1:5" ht="15.75">
      <c r="A8" s="1957"/>
      <c r="B8" s="3025" t="str">
        <f>结果表!E103</f>
        <v>2.估价师知悉的法定优先受偿款</v>
      </c>
      <c r="C8" s="1962" t="s">
        <v>1618</v>
      </c>
      <c r="D8" s="1040">
        <f>结果表!H103</f>
        <v>0</v>
      </c>
      <c r="E8" s="1957"/>
    </row>
    <row r="9" spans="1:5" ht="15.75">
      <c r="A9" s="1957"/>
      <c r="B9" s="3027"/>
      <c r="C9" s="1960" t="s">
        <v>1616</v>
      </c>
      <c r="D9" s="1039" t="str">
        <f>NUMBERSTRING(INT(D8*10000),2)&amp;"元整"</f>
        <v>零元整</v>
      </c>
      <c r="E9" s="1957"/>
    </row>
    <row r="10" spans="1:5" ht="15">
      <c r="A10" s="1957"/>
      <c r="B10" s="1963" t="s">
        <v>1621</v>
      </c>
      <c r="C10" s="1964" t="s">
        <v>1619</v>
      </c>
      <c r="D10" s="1041">
        <f>结果表!H104</f>
        <v>0</v>
      </c>
      <c r="E10" s="1957"/>
    </row>
    <row r="11" spans="1:5" ht="15">
      <c r="A11" s="1957"/>
      <c r="B11" s="1963" t="s">
        <v>1623</v>
      </c>
      <c r="C11" s="1964" t="s">
        <v>1624</v>
      </c>
      <c r="D11" s="1041">
        <f>结果表!H105</f>
        <v>0</v>
      </c>
      <c r="E11" s="1957"/>
    </row>
    <row r="12" spans="1:5" ht="15">
      <c r="A12" s="1957"/>
      <c r="B12" s="1963" t="s">
        <v>1625</v>
      </c>
      <c r="C12" s="1964" t="s">
        <v>1624</v>
      </c>
      <c r="D12" s="1041">
        <f>结果表!H106</f>
        <v>0</v>
      </c>
      <c r="E12" s="1957"/>
    </row>
    <row r="13" spans="1:5" ht="15.75">
      <c r="A13" s="1957"/>
      <c r="B13" s="3018" t="str">
        <f>结果表!E107</f>
        <v>——</v>
      </c>
      <c r="C13" s="1965" t="s">
        <v>1615</v>
      </c>
      <c r="D13" s="1042" t="str">
        <f>结果表!H107</f>
        <v>——</v>
      </c>
      <c r="E13" s="1957"/>
    </row>
    <row r="14" spans="1:5" ht="15.75">
      <c r="A14" s="1957"/>
      <c r="B14" s="3019"/>
      <c r="C14" s="1960" t="s">
        <v>1616</v>
      </c>
      <c r="D14" s="1039" t="e">
        <f>NUMBERSTRING(INT(D13*10000),2)&amp;"元整"</f>
        <v>#VALUE!</v>
      </c>
      <c r="E14" s="1957"/>
    </row>
    <row r="15" spans="1:5" ht="15">
      <c r="A15" s="1957"/>
      <c r="B15" s="3024"/>
      <c r="C15" s="1961" t="s">
        <v>1626</v>
      </c>
      <c r="D15" s="1051" t="e">
        <f>结果表!H108</f>
        <v>#VALUE!</v>
      </c>
      <c r="E15" s="1957"/>
    </row>
    <row r="16" spans="1:5" ht="15">
      <c r="A16" s="1957"/>
      <c r="B16" s="3025" t="str">
        <f>结果表!E109</f>
        <v>3.抵押担保权已注销时的房地产抵押价值</v>
      </c>
      <c r="C16" s="1965" t="s">
        <v>1627</v>
      </c>
      <c r="D16" s="1966">
        <f ca="1">结果表!H109</f>
        <v>465317</v>
      </c>
      <c r="E16" s="1957"/>
    </row>
    <row r="17" spans="1:5" ht="15.75">
      <c r="A17" s="1957"/>
      <c r="B17" s="3026"/>
      <c r="C17" s="1960" t="s">
        <v>1628</v>
      </c>
      <c r="D17" s="1039" t="str">
        <f ca="1">NUMBERSTRING(INT(D16*10000),2)&amp;"元整"</f>
        <v>肆拾陆亿伍仟叁佰壹拾柒万元整</v>
      </c>
      <c r="E17" s="1957"/>
    </row>
    <row r="18" spans="1:5" ht="15">
      <c r="A18" s="1957"/>
      <c r="B18" s="3027"/>
      <c r="C18" s="1961" t="s">
        <v>1617</v>
      </c>
      <c r="D18" s="1051">
        <f ca="1">结果表!H110</f>
        <v>37604</v>
      </c>
      <c r="E18" s="1957"/>
    </row>
    <row r="19" spans="1:5" ht="15.75">
      <c r="A19" s="1957"/>
      <c r="B19" s="3018" t="str">
        <f>结果表!E111</f>
        <v>——</v>
      </c>
      <c r="C19" s="1965" t="s">
        <v>1615</v>
      </c>
      <c r="D19" s="1040" t="str">
        <f>结果表!H111</f>
        <v>——</v>
      </c>
      <c r="E19" s="1957"/>
    </row>
    <row r="20" spans="1:5" ht="15.75">
      <c r="A20" s="1957"/>
      <c r="B20" s="3019"/>
      <c r="C20" s="1960" t="s">
        <v>1628</v>
      </c>
      <c r="D20" s="1039" t="e">
        <f>NUMBERSTRING(INT(D19*10000),2)&amp;"元整"</f>
        <v>#VALUE!</v>
      </c>
      <c r="E20" s="1957"/>
    </row>
    <row r="21" spans="1:5" ht="15.75" thickBot="1">
      <c r="A21" s="1957"/>
      <c r="B21" s="3020"/>
      <c r="C21" s="1967" t="s">
        <v>1626</v>
      </c>
      <c r="D21" s="1052" t="str">
        <f>结果表!H112</f>
        <v>——</v>
      </c>
      <c r="E21" s="1957"/>
    </row>
    <row r="22" spans="1:5" ht="15" thickTop="1">
      <c r="A22" s="1957"/>
      <c r="B22" s="1968" t="s">
        <v>1629</v>
      </c>
      <c r="C22" s="1957"/>
      <c r="D22" s="1957"/>
      <c r="E22" s="1957"/>
    </row>
    <row r="23" spans="1:5">
      <c r="A23" s="1957"/>
      <c r="B23" s="1957"/>
      <c r="C23" s="1957"/>
      <c r="D23" s="1957"/>
      <c r="E23" s="1957"/>
    </row>
    <row r="24" spans="1:5" ht="18.75">
      <c r="A24" s="1969"/>
      <c r="B24" s="1970" t="s">
        <v>1620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329" t="s">
        <v>183</v>
      </c>
      <c r="B18" s="878" t="s">
        <v>560</v>
      </c>
      <c r="C18" s="879" t="s">
        <v>561</v>
      </c>
      <c r="D18" s="880"/>
      <c r="E18" s="878">
        <v>1</v>
      </c>
      <c r="F18" s="881" t="s">
        <v>562</v>
      </c>
      <c r="G18" s="882"/>
      <c r="H18" s="874"/>
      <c r="I18" s="874"/>
    </row>
    <row r="19" spans="1:9" s="883" customFormat="1" ht="19.5" customHeight="1">
      <c r="A19" s="3329"/>
      <c r="B19" s="3329" t="s">
        <v>563</v>
      </c>
      <c r="C19" s="879" t="s">
        <v>564</v>
      </c>
      <c r="D19" s="880"/>
      <c r="E19" s="878">
        <v>0.9</v>
      </c>
      <c r="F19" s="881" t="s">
        <v>565</v>
      </c>
      <c r="G19" s="882"/>
      <c r="H19" s="874"/>
      <c r="I19" s="874"/>
    </row>
    <row r="20" spans="1:9" s="883" customFormat="1" ht="19.5" customHeight="1">
      <c r="A20" s="3329"/>
      <c r="B20" s="3329"/>
      <c r="C20" s="879" t="s">
        <v>566</v>
      </c>
      <c r="D20" s="880"/>
      <c r="E20" s="878">
        <v>1.1000000000000001</v>
      </c>
      <c r="F20" s="881" t="s">
        <v>567</v>
      </c>
      <c r="G20" s="882"/>
      <c r="H20" s="874"/>
      <c r="I20" s="874"/>
    </row>
    <row r="21" spans="1:9" s="883" customFormat="1" ht="19.5" customHeight="1">
      <c r="A21" s="3329"/>
      <c r="B21" s="3329"/>
      <c r="C21" s="879" t="s">
        <v>568</v>
      </c>
      <c r="D21" s="880"/>
      <c r="E21" s="878">
        <v>0.8</v>
      </c>
      <c r="F21" s="881" t="s">
        <v>569</v>
      </c>
      <c r="G21" s="882"/>
      <c r="H21" s="874"/>
      <c r="I21" s="874"/>
    </row>
    <row r="22" spans="1:9" s="883" customFormat="1" ht="19.5" customHeight="1">
      <c r="A22" s="3329"/>
      <c r="B22" s="3329"/>
      <c r="C22" s="879" t="s">
        <v>570</v>
      </c>
      <c r="D22" s="880"/>
      <c r="E22" s="878">
        <v>0.5</v>
      </c>
      <c r="F22" s="881"/>
      <c r="G22" s="882"/>
      <c r="H22" s="874"/>
      <c r="I22" s="874"/>
    </row>
    <row r="23" spans="1:9" s="883" customFormat="1" ht="19.5" customHeight="1">
      <c r="A23" s="3329" t="s">
        <v>184</v>
      </c>
      <c r="B23" s="878" t="s">
        <v>560</v>
      </c>
      <c r="C23" s="879" t="s">
        <v>571</v>
      </c>
      <c r="D23" s="880"/>
      <c r="E23" s="878">
        <v>1</v>
      </c>
      <c r="F23" s="881" t="s">
        <v>572</v>
      </c>
      <c r="G23" s="882"/>
      <c r="H23" s="874"/>
      <c r="I23" s="874"/>
    </row>
    <row r="24" spans="1:9" s="883" customFormat="1" ht="19.5" customHeight="1">
      <c r="A24" s="3329"/>
      <c r="B24" s="3329" t="s">
        <v>563</v>
      </c>
      <c r="C24" s="879" t="s">
        <v>573</v>
      </c>
      <c r="D24" s="880"/>
      <c r="E24" s="878">
        <v>0.5</v>
      </c>
      <c r="F24" s="881"/>
      <c r="G24" s="882"/>
      <c r="H24" s="874"/>
      <c r="I24" s="874"/>
    </row>
    <row r="25" spans="1:9" s="883" customFormat="1" ht="19.5" customHeight="1">
      <c r="A25" s="3329"/>
      <c r="B25" s="3329"/>
      <c r="C25" s="879" t="s">
        <v>574</v>
      </c>
      <c r="D25" s="880"/>
      <c r="E25" s="878">
        <v>1.1000000000000001</v>
      </c>
      <c r="F25" s="881"/>
      <c r="G25" s="882"/>
      <c r="H25" s="874"/>
      <c r="I25" s="874"/>
    </row>
    <row r="26" spans="1:9" s="883" customFormat="1" ht="19.5" customHeight="1">
      <c r="A26" s="3329"/>
      <c r="B26" s="3329"/>
      <c r="C26" s="879" t="s">
        <v>575</v>
      </c>
      <c r="D26" s="880"/>
      <c r="E26" s="878">
        <v>1.1000000000000001</v>
      </c>
      <c r="F26" s="881"/>
      <c r="G26" s="882"/>
      <c r="H26" s="874"/>
      <c r="I26" s="874"/>
    </row>
    <row r="27" spans="1:9" s="883" customFormat="1" ht="19.5" customHeight="1">
      <c r="A27" s="3329"/>
      <c r="B27" s="3329"/>
      <c r="C27" s="879" t="s">
        <v>576</v>
      </c>
      <c r="D27" s="880"/>
      <c r="E27" s="878">
        <v>0.9</v>
      </c>
      <c r="F27" s="881" t="s">
        <v>577</v>
      </c>
      <c r="G27" s="882"/>
      <c r="H27" s="874"/>
      <c r="I27" s="874"/>
    </row>
    <row r="28" spans="1:9" s="883" customFormat="1" ht="19.5" customHeight="1">
      <c r="A28" s="3329"/>
      <c r="B28" s="3329"/>
      <c r="C28" s="879" t="s">
        <v>578</v>
      </c>
      <c r="D28" s="880"/>
      <c r="E28" s="878">
        <v>0.9</v>
      </c>
      <c r="F28" s="881" t="s">
        <v>579</v>
      </c>
      <c r="G28" s="882"/>
      <c r="H28" s="874"/>
      <c r="I28" s="874"/>
    </row>
    <row r="29" spans="1:9" s="883" customFormat="1" ht="19.5" customHeight="1">
      <c r="A29" s="3329"/>
      <c r="B29" s="3329"/>
      <c r="C29" s="879" t="s">
        <v>580</v>
      </c>
      <c r="D29" s="880"/>
      <c r="E29" s="878">
        <v>0.9</v>
      </c>
      <c r="F29" s="881" t="s">
        <v>581</v>
      </c>
      <c r="G29" s="882"/>
      <c r="H29" s="874"/>
      <c r="I29" s="874"/>
    </row>
    <row r="30" spans="1:9" s="883" customFormat="1" ht="19.5" customHeight="1">
      <c r="A30" s="3329"/>
      <c r="B30" s="3329"/>
      <c r="C30" s="879" t="s">
        <v>582</v>
      </c>
      <c r="D30" s="880"/>
      <c r="E30" s="878">
        <v>0.9</v>
      </c>
      <c r="F30" s="881" t="s">
        <v>583</v>
      </c>
      <c r="G30" s="882"/>
      <c r="H30" s="874"/>
      <c r="I30" s="874"/>
    </row>
    <row r="31" spans="1:9" s="883" customFormat="1" ht="19.5" customHeight="1">
      <c r="A31" s="3329"/>
      <c r="B31" s="3329"/>
      <c r="C31" s="879" t="s">
        <v>584</v>
      </c>
      <c r="D31" s="880"/>
      <c r="E31" s="878">
        <v>0.8</v>
      </c>
      <c r="F31" s="881" t="s">
        <v>585</v>
      </c>
      <c r="G31" s="882"/>
      <c r="H31" s="874"/>
      <c r="I31" s="874"/>
    </row>
    <row r="32" spans="1:9" s="883" customFormat="1" ht="19.5" customHeight="1">
      <c r="A32" s="3329"/>
      <c r="B32" s="3329"/>
      <c r="C32" s="879" t="s">
        <v>586</v>
      </c>
      <c r="D32" s="880"/>
      <c r="E32" s="878">
        <v>0.8</v>
      </c>
      <c r="F32" s="881" t="s">
        <v>587</v>
      </c>
      <c r="G32" s="882"/>
      <c r="H32" s="874"/>
      <c r="I32" s="874"/>
    </row>
    <row r="33" spans="1:9" s="883" customFormat="1" ht="19.5" customHeight="1">
      <c r="A33" s="3329" t="s">
        <v>185</v>
      </c>
      <c r="B33" s="878" t="s">
        <v>560</v>
      </c>
      <c r="C33" s="879" t="s">
        <v>588</v>
      </c>
      <c r="D33" s="880"/>
      <c r="E33" s="878">
        <v>1</v>
      </c>
      <c r="F33" s="881" t="s">
        <v>589</v>
      </c>
      <c r="G33" s="882"/>
      <c r="H33" s="874"/>
      <c r="I33" s="874"/>
    </row>
    <row r="34" spans="1:9" s="883" customFormat="1" ht="19.5" customHeight="1">
      <c r="A34" s="3329"/>
      <c r="B34" s="878" t="s">
        <v>563</v>
      </c>
      <c r="C34" s="879" t="s">
        <v>590</v>
      </c>
      <c r="D34" s="880"/>
      <c r="E34" s="878">
        <v>1.5</v>
      </c>
      <c r="F34" s="881" t="s">
        <v>591</v>
      </c>
      <c r="G34" s="882"/>
      <c r="H34" s="874"/>
      <c r="I34" s="874"/>
    </row>
    <row r="35" spans="1:9" s="883" customFormat="1" ht="19.5" customHeight="1">
      <c r="A35" s="3329" t="s">
        <v>186</v>
      </c>
      <c r="B35" s="878" t="s">
        <v>560</v>
      </c>
      <c r="C35" s="879" t="s">
        <v>592</v>
      </c>
      <c r="D35" s="880"/>
      <c r="E35" s="878">
        <v>1</v>
      </c>
      <c r="F35" s="881" t="s">
        <v>593</v>
      </c>
      <c r="G35" s="882"/>
      <c r="H35" s="874"/>
      <c r="I35" s="874"/>
    </row>
    <row r="36" spans="1:9" s="883" customFormat="1" ht="19.5" customHeight="1">
      <c r="A36" s="3329"/>
      <c r="B36" s="3329" t="s">
        <v>563</v>
      </c>
      <c r="C36" s="879" t="s">
        <v>594</v>
      </c>
      <c r="D36" s="880"/>
      <c r="E36" s="878">
        <v>1</v>
      </c>
      <c r="F36" s="881" t="s">
        <v>595</v>
      </c>
      <c r="G36" s="882"/>
      <c r="H36" s="874"/>
      <c r="I36" s="874"/>
    </row>
    <row r="37" spans="1:9" s="883" customFormat="1" ht="19.5" customHeight="1">
      <c r="A37" s="3329"/>
      <c r="B37" s="3329"/>
      <c r="C37" s="879" t="s">
        <v>596</v>
      </c>
      <c r="D37" s="880"/>
      <c r="E37" s="878">
        <v>1.5</v>
      </c>
      <c r="F37" s="881" t="s">
        <v>597</v>
      </c>
      <c r="G37" s="882"/>
      <c r="H37" s="874"/>
      <c r="I37" s="874"/>
    </row>
    <row r="38" spans="1:9" s="883" customFormat="1" ht="19.5" customHeight="1">
      <c r="A38" s="3329"/>
      <c r="B38" s="3329"/>
      <c r="C38" s="879" t="s">
        <v>598</v>
      </c>
      <c r="D38" s="880"/>
      <c r="E38" s="878">
        <v>1</v>
      </c>
      <c r="F38" s="881" t="s">
        <v>599</v>
      </c>
      <c r="G38" s="882"/>
      <c r="H38" s="874"/>
      <c r="I38" s="874"/>
    </row>
    <row r="39" spans="1:9" s="883" customFormat="1" ht="19.5" customHeight="1">
      <c r="A39" s="3329"/>
      <c r="B39" s="332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29" t="s">
        <v>614</v>
      </c>
      <c r="C61" s="814" t="s">
        <v>615</v>
      </c>
      <c r="D61" s="814" t="s">
        <v>616</v>
      </c>
      <c r="E61" s="891">
        <v>0.5</v>
      </c>
      <c r="F61" s="878">
        <v>80</v>
      </c>
    </row>
    <row r="62" spans="1:8" s="874" customFormat="1" ht="24">
      <c r="A62" s="878">
        <v>2</v>
      </c>
      <c r="B62" s="3329"/>
      <c r="C62" s="814" t="s">
        <v>617</v>
      </c>
      <c r="D62" s="814" t="s">
        <v>618</v>
      </c>
      <c r="E62" s="891">
        <v>0.5</v>
      </c>
      <c r="F62" s="878">
        <v>80</v>
      </c>
    </row>
    <row r="63" spans="1:8" s="874" customFormat="1" ht="36">
      <c r="A63" s="878">
        <v>3</v>
      </c>
      <c r="B63" s="3329"/>
      <c r="C63" s="814" t="s">
        <v>619</v>
      </c>
      <c r="D63" s="814" t="s">
        <v>620</v>
      </c>
      <c r="E63" s="891">
        <v>0.5</v>
      </c>
      <c r="F63" s="878">
        <v>80</v>
      </c>
    </row>
    <row r="64" spans="1:8" s="874" customFormat="1" ht="36">
      <c r="A64" s="878">
        <v>4</v>
      </c>
      <c r="B64" s="3329"/>
      <c r="C64" s="814" t="s">
        <v>621</v>
      </c>
      <c r="D64" s="814" t="s">
        <v>622</v>
      </c>
      <c r="E64" s="891">
        <v>0.4</v>
      </c>
      <c r="F64" s="878">
        <v>60</v>
      </c>
    </row>
    <row r="65" spans="1:6" s="874" customFormat="1" ht="36">
      <c r="A65" s="878">
        <v>5</v>
      </c>
      <c r="B65" s="3329"/>
      <c r="C65" s="814" t="s">
        <v>623</v>
      </c>
      <c r="D65" s="814" t="s">
        <v>624</v>
      </c>
      <c r="E65" s="891">
        <v>0.2</v>
      </c>
      <c r="F65" s="878">
        <v>30</v>
      </c>
    </row>
    <row r="66" spans="1:6" s="874" customFormat="1" ht="36">
      <c r="A66" s="878">
        <v>6</v>
      </c>
      <c r="B66" s="3329"/>
      <c r="C66" s="814" t="s">
        <v>625</v>
      </c>
      <c r="D66" s="814" t="s">
        <v>626</v>
      </c>
      <c r="E66" s="891">
        <v>0.3</v>
      </c>
      <c r="F66" s="878">
        <v>50</v>
      </c>
    </row>
    <row r="67" spans="1:6" s="874" customFormat="1" ht="36">
      <c r="A67" s="878">
        <v>7</v>
      </c>
      <c r="B67" s="3329"/>
      <c r="C67" s="814" t="s">
        <v>627</v>
      </c>
      <c r="D67" s="814" t="s">
        <v>628</v>
      </c>
      <c r="E67" s="891">
        <v>0.2</v>
      </c>
      <c r="F67" s="878">
        <v>30</v>
      </c>
    </row>
    <row r="68" spans="1:6" s="874" customFormat="1" ht="36">
      <c r="A68" s="878">
        <v>8</v>
      </c>
      <c r="B68" s="3329"/>
      <c r="C68" s="814" t="s">
        <v>629</v>
      </c>
      <c r="D68" s="814" t="s">
        <v>630</v>
      </c>
      <c r="E68" s="891">
        <v>0.2</v>
      </c>
      <c r="F68" s="878">
        <v>30</v>
      </c>
    </row>
    <row r="69" spans="1:6" s="874" customFormat="1" ht="36">
      <c r="A69" s="878">
        <v>9</v>
      </c>
      <c r="B69" s="3329"/>
      <c r="C69" s="814" t="s">
        <v>631</v>
      </c>
      <c r="D69" s="814" t="s">
        <v>632</v>
      </c>
      <c r="E69" s="891">
        <v>0.2</v>
      </c>
      <c r="F69" s="878">
        <v>30</v>
      </c>
    </row>
    <row r="70" spans="1:6" s="874" customFormat="1" ht="48">
      <c r="A70" s="878">
        <v>10</v>
      </c>
      <c r="B70" s="3329"/>
      <c r="C70" s="814" t="s">
        <v>633</v>
      </c>
      <c r="D70" s="814" t="s">
        <v>634</v>
      </c>
      <c r="E70" s="891">
        <v>0.2</v>
      </c>
      <c r="F70" s="878">
        <v>30</v>
      </c>
    </row>
    <row r="71" spans="1:6" s="874" customFormat="1" ht="48">
      <c r="A71" s="878">
        <v>11</v>
      </c>
      <c r="B71" s="3329"/>
      <c r="C71" s="814" t="s">
        <v>635</v>
      </c>
      <c r="D71" s="814" t="s">
        <v>636</v>
      </c>
      <c r="E71" s="891">
        <v>0.2</v>
      </c>
      <c r="F71" s="878">
        <v>30</v>
      </c>
    </row>
    <row r="72" spans="1:6" s="874" customFormat="1" ht="36">
      <c r="A72" s="878">
        <v>12</v>
      </c>
      <c r="B72" s="3329"/>
      <c r="C72" s="814" t="s">
        <v>637</v>
      </c>
      <c r="D72" s="814" t="s">
        <v>638</v>
      </c>
      <c r="E72" s="891">
        <v>0.5</v>
      </c>
      <c r="F72" s="878">
        <v>80</v>
      </c>
    </row>
    <row r="73" spans="1:6" s="874" customFormat="1" ht="24">
      <c r="A73" s="878">
        <v>13</v>
      </c>
      <c r="B73" s="3329"/>
      <c r="C73" s="814" t="s">
        <v>639</v>
      </c>
      <c r="D73" s="814" t="s">
        <v>640</v>
      </c>
      <c r="E73" s="891">
        <v>0.4</v>
      </c>
      <c r="F73" s="878">
        <v>60</v>
      </c>
    </row>
    <row r="74" spans="1:6" s="874" customFormat="1" ht="24">
      <c r="A74" s="878">
        <v>14</v>
      </c>
      <c r="B74" s="3329"/>
      <c r="C74" s="814" t="s">
        <v>641</v>
      </c>
      <c r="D74" s="814" t="s">
        <v>642</v>
      </c>
      <c r="E74" s="891">
        <v>0.2</v>
      </c>
      <c r="F74" s="878">
        <v>30</v>
      </c>
    </row>
    <row r="75" spans="1:6" s="874" customFormat="1" ht="24">
      <c r="A75" s="878">
        <v>15</v>
      </c>
      <c r="B75" s="3329"/>
      <c r="C75" s="814" t="s">
        <v>643</v>
      </c>
      <c r="D75" s="814" t="s">
        <v>644</v>
      </c>
      <c r="E75" s="891">
        <v>0.2</v>
      </c>
      <c r="F75" s="878">
        <v>30</v>
      </c>
    </row>
    <row r="76" spans="1:6" s="874" customFormat="1" ht="24">
      <c r="A76" s="878">
        <v>16</v>
      </c>
      <c r="B76" s="3329" t="s">
        <v>645</v>
      </c>
      <c r="C76" s="814" t="s">
        <v>646</v>
      </c>
      <c r="D76" s="814" t="s">
        <v>647</v>
      </c>
      <c r="E76" s="891">
        <v>0.5</v>
      </c>
      <c r="F76" s="878">
        <v>80</v>
      </c>
    </row>
    <row r="77" spans="1:6" s="874" customFormat="1" ht="24">
      <c r="A77" s="878">
        <v>17</v>
      </c>
      <c r="B77" s="3329"/>
      <c r="C77" s="814" t="s">
        <v>648</v>
      </c>
      <c r="D77" s="814" t="s">
        <v>649</v>
      </c>
      <c r="E77" s="891">
        <v>0.5</v>
      </c>
      <c r="F77" s="878">
        <v>80</v>
      </c>
    </row>
    <row r="78" spans="1:6" s="874" customFormat="1" ht="24">
      <c r="A78" s="878">
        <v>18</v>
      </c>
      <c r="B78" s="3329"/>
      <c r="C78" s="814" t="s">
        <v>650</v>
      </c>
      <c r="D78" s="814" t="s">
        <v>651</v>
      </c>
      <c r="E78" s="891">
        <v>0.2</v>
      </c>
      <c r="F78" s="878">
        <v>30</v>
      </c>
    </row>
    <row r="79" spans="1:6" s="874" customFormat="1" ht="24">
      <c r="A79" s="878">
        <v>19</v>
      </c>
      <c r="B79" s="3329"/>
      <c r="C79" s="814" t="s">
        <v>652</v>
      </c>
      <c r="D79" s="814" t="s">
        <v>653</v>
      </c>
      <c r="E79" s="891">
        <v>0.5</v>
      </c>
      <c r="F79" s="878">
        <v>80</v>
      </c>
    </row>
    <row r="80" spans="1:6" s="874" customFormat="1" ht="36">
      <c r="A80" s="878">
        <v>20</v>
      </c>
      <c r="B80" s="3329"/>
      <c r="C80" s="814" t="s">
        <v>654</v>
      </c>
      <c r="D80" s="814" t="s">
        <v>655</v>
      </c>
      <c r="E80" s="891">
        <v>0.2</v>
      </c>
      <c r="F80" s="878">
        <v>30</v>
      </c>
    </row>
    <row r="81" spans="1:6" s="874" customFormat="1" ht="36">
      <c r="A81" s="878">
        <v>21</v>
      </c>
      <c r="B81" s="3329"/>
      <c r="C81" s="814" t="s">
        <v>656</v>
      </c>
      <c r="D81" s="814" t="s">
        <v>657</v>
      </c>
      <c r="E81" s="891">
        <v>0.2</v>
      </c>
      <c r="F81" s="878">
        <v>30</v>
      </c>
    </row>
    <row r="82" spans="1:6" s="874" customFormat="1" ht="48">
      <c r="A82" s="878">
        <v>22</v>
      </c>
      <c r="B82" s="3329"/>
      <c r="C82" s="814" t="s">
        <v>658</v>
      </c>
      <c r="D82" s="814" t="s">
        <v>659</v>
      </c>
      <c r="E82" s="891">
        <v>0.2</v>
      </c>
      <c r="F82" s="878">
        <v>30</v>
      </c>
    </row>
    <row r="83" spans="1:6" s="874" customFormat="1" ht="48">
      <c r="A83" s="878">
        <v>23</v>
      </c>
      <c r="B83" s="3329"/>
      <c r="C83" s="814" t="s">
        <v>660</v>
      </c>
      <c r="D83" s="814" t="s">
        <v>661</v>
      </c>
      <c r="E83" s="891">
        <v>0.2</v>
      </c>
      <c r="F83" s="878">
        <v>30</v>
      </c>
    </row>
    <row r="84" spans="1:6" s="874" customFormat="1" ht="36">
      <c r="A84" s="878">
        <v>24</v>
      </c>
      <c r="B84" s="3329"/>
      <c r="C84" s="814" t="s">
        <v>662</v>
      </c>
      <c r="D84" s="814" t="s">
        <v>663</v>
      </c>
      <c r="E84" s="891">
        <v>0.2</v>
      </c>
      <c r="F84" s="878">
        <v>30</v>
      </c>
    </row>
    <row r="85" spans="1:6" s="874" customFormat="1" ht="36">
      <c r="A85" s="878">
        <v>25</v>
      </c>
      <c r="B85" s="3329"/>
      <c r="C85" s="814" t="s">
        <v>664</v>
      </c>
      <c r="D85" s="814" t="s">
        <v>665</v>
      </c>
      <c r="E85" s="891">
        <v>0.5</v>
      </c>
      <c r="F85" s="878">
        <v>80</v>
      </c>
    </row>
    <row r="86" spans="1:6" s="874" customFormat="1" ht="36">
      <c r="A86" s="878">
        <v>26</v>
      </c>
      <c r="B86" s="3329"/>
      <c r="C86" s="814" t="s">
        <v>666</v>
      </c>
      <c r="D86" s="814" t="s">
        <v>667</v>
      </c>
      <c r="E86" s="891">
        <v>0.2</v>
      </c>
      <c r="F86" s="878">
        <v>30</v>
      </c>
    </row>
    <row r="87" spans="1:6" s="874" customFormat="1" ht="36">
      <c r="A87" s="878">
        <v>27</v>
      </c>
      <c r="B87" s="3329"/>
      <c r="C87" s="814" t="s">
        <v>668</v>
      </c>
      <c r="D87" s="814" t="s">
        <v>669</v>
      </c>
      <c r="E87" s="891">
        <v>0.2</v>
      </c>
      <c r="F87" s="878">
        <v>30</v>
      </c>
    </row>
    <row r="88" spans="1:6" s="874" customFormat="1" ht="36">
      <c r="A88" s="878">
        <v>28</v>
      </c>
      <c r="B88" s="3329"/>
      <c r="C88" s="814" t="s">
        <v>670</v>
      </c>
      <c r="D88" s="814" t="s">
        <v>671</v>
      </c>
      <c r="E88" s="891">
        <v>0.2</v>
      </c>
      <c r="F88" s="878">
        <v>30</v>
      </c>
    </row>
    <row r="89" spans="1:6" s="874" customFormat="1" ht="24">
      <c r="A89" s="878">
        <v>29</v>
      </c>
      <c r="B89" s="3329"/>
      <c r="C89" s="814" t="s">
        <v>672</v>
      </c>
      <c r="D89" s="814" t="s">
        <v>673</v>
      </c>
      <c r="E89" s="891">
        <v>0.2</v>
      </c>
      <c r="F89" s="878">
        <v>30</v>
      </c>
    </row>
    <row r="90" spans="1:6" s="874" customFormat="1" ht="24">
      <c r="A90" s="878">
        <v>30</v>
      </c>
      <c r="B90" s="3329"/>
      <c r="C90" s="814" t="s">
        <v>674</v>
      </c>
      <c r="D90" s="814" t="s">
        <v>675</v>
      </c>
      <c r="E90" s="891">
        <v>0.2</v>
      </c>
      <c r="F90" s="878">
        <v>30</v>
      </c>
    </row>
    <row r="91" spans="1:6" s="874" customFormat="1" ht="36">
      <c r="A91" s="878">
        <v>31</v>
      </c>
      <c r="B91" s="3329"/>
      <c r="C91" s="814" t="s">
        <v>676</v>
      </c>
      <c r="D91" s="814" t="s">
        <v>677</v>
      </c>
      <c r="E91" s="891">
        <v>0.2</v>
      </c>
      <c r="F91" s="878">
        <v>30</v>
      </c>
    </row>
    <row r="92" spans="1:6" s="874" customFormat="1" ht="24">
      <c r="A92" s="878">
        <v>32</v>
      </c>
      <c r="B92" s="3329" t="s">
        <v>678</v>
      </c>
      <c r="C92" s="878" t="s">
        <v>679</v>
      </c>
      <c r="D92" s="814" t="s">
        <v>680</v>
      </c>
      <c r="E92" s="891">
        <v>0.2</v>
      </c>
      <c r="F92" s="878">
        <v>30</v>
      </c>
    </row>
    <row r="93" spans="1:6" s="874" customFormat="1" ht="36">
      <c r="A93" s="878">
        <v>33</v>
      </c>
      <c r="B93" s="3329"/>
      <c r="C93" s="878" t="s">
        <v>681</v>
      </c>
      <c r="D93" s="814" t="s">
        <v>682</v>
      </c>
      <c r="E93" s="891">
        <v>0.2</v>
      </c>
      <c r="F93" s="878">
        <v>30</v>
      </c>
    </row>
    <row r="94" spans="1:6" s="874" customFormat="1" ht="48">
      <c r="A94" s="878">
        <v>34</v>
      </c>
      <c r="B94" s="3329"/>
      <c r="C94" s="878" t="s">
        <v>683</v>
      </c>
      <c r="D94" s="814" t="s">
        <v>684</v>
      </c>
      <c r="E94" s="891">
        <v>0.2</v>
      </c>
      <c r="F94" s="878">
        <v>30</v>
      </c>
    </row>
    <row r="95" spans="1:6" s="874" customFormat="1" ht="36">
      <c r="A95" s="878">
        <v>35</v>
      </c>
      <c r="B95" s="3329"/>
      <c r="C95" s="878" t="s">
        <v>685</v>
      </c>
      <c r="D95" s="814" t="s">
        <v>686</v>
      </c>
      <c r="E95" s="891">
        <v>0.2</v>
      </c>
      <c r="F95" s="878">
        <v>30</v>
      </c>
    </row>
    <row r="96" spans="1:6" s="874" customFormat="1" ht="48">
      <c r="A96" s="878">
        <v>36</v>
      </c>
      <c r="B96" s="3329"/>
      <c r="C96" s="814" t="s">
        <v>687</v>
      </c>
      <c r="D96" s="814" t="s">
        <v>688</v>
      </c>
      <c r="E96" s="891">
        <v>0.2</v>
      </c>
      <c r="F96" s="878">
        <v>30</v>
      </c>
    </row>
    <row r="97" spans="1:6" s="874" customFormat="1" ht="36">
      <c r="A97" s="878">
        <v>37</v>
      </c>
      <c r="B97" s="3329"/>
      <c r="C97" s="878" t="s">
        <v>689</v>
      </c>
      <c r="D97" s="814" t="s">
        <v>690</v>
      </c>
      <c r="E97" s="891">
        <v>0.2</v>
      </c>
      <c r="F97" s="878">
        <v>30</v>
      </c>
    </row>
    <row r="98" spans="1:6" s="874" customFormat="1" ht="36">
      <c r="A98" s="878">
        <v>38</v>
      </c>
      <c r="B98" s="3329"/>
      <c r="C98" s="878" t="s">
        <v>691</v>
      </c>
      <c r="D98" s="814" t="s">
        <v>692</v>
      </c>
      <c r="E98" s="891">
        <v>0.2</v>
      </c>
      <c r="F98" s="878">
        <v>30</v>
      </c>
    </row>
    <row r="99" spans="1:6" s="874" customFormat="1" ht="36">
      <c r="A99" s="878">
        <v>39</v>
      </c>
      <c r="B99" s="3329" t="s">
        <v>693</v>
      </c>
      <c r="C99" s="878" t="s">
        <v>694</v>
      </c>
      <c r="D99" s="814" t="s">
        <v>695</v>
      </c>
      <c r="E99" s="891">
        <v>0.3</v>
      </c>
      <c r="F99" s="878">
        <v>50</v>
      </c>
    </row>
    <row r="100" spans="1:6" s="874" customFormat="1" ht="24">
      <c r="A100" s="878">
        <v>40</v>
      </c>
      <c r="B100" s="3329"/>
      <c r="C100" s="878" t="s">
        <v>696</v>
      </c>
      <c r="D100" s="814" t="s">
        <v>697</v>
      </c>
      <c r="E100" s="891">
        <v>0.2</v>
      </c>
      <c r="F100" s="878">
        <v>30</v>
      </c>
    </row>
    <row r="101" spans="1:6" s="874" customFormat="1" ht="36">
      <c r="A101" s="878">
        <v>41</v>
      </c>
      <c r="B101" s="332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29" t="s">
        <v>708</v>
      </c>
      <c r="C105" s="878" t="s">
        <v>709</v>
      </c>
      <c r="D105" s="814" t="s">
        <v>710</v>
      </c>
      <c r="E105" s="891">
        <v>0.2</v>
      </c>
      <c r="F105" s="878">
        <v>30</v>
      </c>
    </row>
    <row r="106" spans="1:6" s="874" customFormat="1" ht="36">
      <c r="A106" s="878">
        <v>46</v>
      </c>
      <c r="B106" s="3329"/>
      <c r="C106" s="878" t="s">
        <v>711</v>
      </c>
      <c r="D106" s="814" t="s">
        <v>712</v>
      </c>
      <c r="E106" s="891">
        <v>0.2</v>
      </c>
      <c r="F106" s="878">
        <v>30</v>
      </c>
    </row>
    <row r="107" spans="1:6" s="874" customFormat="1" ht="36">
      <c r="A107" s="878">
        <v>47</v>
      </c>
      <c r="B107" s="3329" t="s">
        <v>713</v>
      </c>
      <c r="C107" s="878" t="s">
        <v>714</v>
      </c>
      <c r="D107" s="814" t="s">
        <v>715</v>
      </c>
      <c r="E107" s="891">
        <v>0.3</v>
      </c>
      <c r="F107" s="878">
        <v>50</v>
      </c>
    </row>
    <row r="108" spans="1:6" s="874" customFormat="1" ht="36">
      <c r="A108" s="878">
        <v>48</v>
      </c>
      <c r="B108" s="332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29" t="s">
        <v>724</v>
      </c>
      <c r="C111" s="878" t="s">
        <v>725</v>
      </c>
      <c r="D111" s="814" t="s">
        <v>726</v>
      </c>
      <c r="E111" s="891">
        <v>0.2</v>
      </c>
      <c r="F111" s="878">
        <v>30</v>
      </c>
    </row>
    <row r="112" spans="1:6" s="874" customFormat="1" ht="24">
      <c r="A112" s="878">
        <v>52</v>
      </c>
      <c r="B112" s="3329"/>
      <c r="C112" s="878" t="s">
        <v>727</v>
      </c>
      <c r="D112" s="814" t="s">
        <v>728</v>
      </c>
      <c r="E112" s="891">
        <v>0.2</v>
      </c>
      <c r="F112" s="878">
        <v>30</v>
      </c>
    </row>
    <row r="113" spans="1:6" s="874" customFormat="1" ht="24">
      <c r="A113" s="878">
        <v>53</v>
      </c>
      <c r="B113" s="332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29" t="s">
        <v>737</v>
      </c>
      <c r="C116" s="878" t="s">
        <v>738</v>
      </c>
      <c r="D116" s="814" t="s">
        <v>739</v>
      </c>
      <c r="E116" s="891">
        <v>0.2</v>
      </c>
      <c r="F116" s="878">
        <v>30</v>
      </c>
    </row>
    <row r="117" spans="1:6" ht="36">
      <c r="A117" s="878">
        <v>57</v>
      </c>
      <c r="B117" s="332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2952</v>
      </c>
    </row>
    <row r="2" spans="1:5" ht="15.75">
      <c r="A2" s="2906" t="s">
        <v>2944</v>
      </c>
      <c r="B2" s="2907" t="e">
        <f ca="1">SUMIF(B6:B13,"&lt;&gt;#ref!",B6:B13)</f>
        <v>#DIV/0!</v>
      </c>
      <c r="C2" s="2906" t="s">
        <v>2945</v>
      </c>
      <c r="D2" s="2906" t="s">
        <v>2946</v>
      </c>
      <c r="E2" s="2907">
        <f ca="1">SUMIF(E6:E13,"&lt;&gt;#ref!",E6:E13)</f>
        <v>0</v>
      </c>
    </row>
    <row r="3" spans="1:5" ht="15.75">
      <c r="A3" s="2906" t="s">
        <v>2947</v>
      </c>
      <c r="B3" s="2907" t="e">
        <f ca="1">ROUND(B2*10000/E2,0)</f>
        <v>#DIV/0!</v>
      </c>
      <c r="C3" s="2906" t="s">
        <v>2953</v>
      </c>
      <c r="D3" s="2908"/>
      <c r="E3" s="2908"/>
    </row>
    <row r="4" spans="1:5" ht="15.75">
      <c r="A4" s="2909"/>
      <c r="B4" s="2908"/>
      <c r="C4" s="2908"/>
      <c r="D4" s="2908"/>
      <c r="E4" s="2908"/>
    </row>
    <row r="5" spans="1:5" ht="28.5">
      <c r="A5" s="2910" t="s">
        <v>2948</v>
      </c>
      <c r="B5" s="2906" t="s">
        <v>2949</v>
      </c>
      <c r="C5" s="2907"/>
      <c r="D5" s="2908"/>
      <c r="E5" s="2906" t="s">
        <v>2950</v>
      </c>
    </row>
    <row r="6" spans="1:5" ht="15.75">
      <c r="A6" s="2911" t="s">
        <v>2951</v>
      </c>
      <c r="B6" s="2907" t="e">
        <f ca="1">SUMIF(INDIRECT("'"&amp;A6&amp;"'"&amp;"!A:A"),"总价",INDIRECT("'"&amp;A6&amp;"'"&amp;"!B:B"))</f>
        <v>#DIV/0!</v>
      </c>
      <c r="C6" s="2906" t="s">
        <v>2945</v>
      </c>
      <c r="D6" s="2908"/>
      <c r="E6" s="2571">
        <f ca="1">SUMIF(INDIRECT("'"&amp;A6&amp;"'"&amp;"!C:C"),"建筑面积",INDIRECT("'"&amp;A6&amp;"'"&amp;"!D:D"))</f>
        <v>0</v>
      </c>
    </row>
    <row r="7" spans="1:5" ht="15.75">
      <c r="A7" s="2911"/>
      <c r="B7" s="2907" t="e">
        <f ca="1">SUMIF(INDIRECT("'"&amp;A7&amp;"'"&amp;"!A:A"),"总价",INDIRECT("'"&amp;A7&amp;"'"&amp;"!B:B"))</f>
        <v>#REF!</v>
      </c>
      <c r="C7" s="2906" t="s">
        <v>2945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2945</v>
      </c>
      <c r="D8" s="2908"/>
      <c r="E8" s="2571" t="e">
        <f t="shared" ca="1" si="0"/>
        <v>#REF!</v>
      </c>
    </row>
    <row r="9" spans="1:5" ht="15.75">
      <c r="A9" s="2911"/>
      <c r="B9" s="2907" t="e">
        <f t="shared" ca="1" si="1"/>
        <v>#REF!</v>
      </c>
      <c r="C9" s="2906" t="s">
        <v>2945</v>
      </c>
      <c r="D9" s="2908"/>
      <c r="E9" s="2571" t="e">
        <f t="shared" ca="1" si="0"/>
        <v>#REF!</v>
      </c>
    </row>
    <row r="10" spans="1:5" ht="15.75">
      <c r="A10" s="2911"/>
      <c r="B10" s="2907" t="e">
        <f t="shared" ca="1" si="1"/>
        <v>#REF!</v>
      </c>
      <c r="C10" s="2906" t="s">
        <v>2945</v>
      </c>
      <c r="D10" s="2908"/>
      <c r="E10" s="2571" t="e">
        <f t="shared" ca="1" si="0"/>
        <v>#REF!</v>
      </c>
    </row>
    <row r="11" spans="1:5" ht="15.75">
      <c r="A11" s="2911"/>
      <c r="B11" s="2907" t="e">
        <f t="shared" ca="1" si="1"/>
        <v>#REF!</v>
      </c>
      <c r="C11" s="2906" t="s">
        <v>2945</v>
      </c>
      <c r="D11" s="2908"/>
      <c r="E11" s="2571" t="e">
        <f t="shared" ca="1" si="0"/>
        <v>#REF!</v>
      </c>
    </row>
    <row r="12" spans="1:5" ht="15.75">
      <c r="A12" s="2911"/>
      <c r="B12" s="2907" t="e">
        <f t="shared" ca="1" si="1"/>
        <v>#REF!</v>
      </c>
      <c r="C12" s="2906" t="s">
        <v>2945</v>
      </c>
      <c r="D12" s="2908"/>
      <c r="E12" s="2571" t="e">
        <f t="shared" ca="1" si="0"/>
        <v>#REF!</v>
      </c>
    </row>
    <row r="13" spans="1:5" ht="15.75">
      <c r="A13" s="2911"/>
      <c r="B13" s="2907" t="e">
        <f t="shared" ca="1" si="1"/>
        <v>#REF!</v>
      </c>
      <c r="C13" s="2906" t="s">
        <v>2945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5" t="s">
        <v>1142</v>
      </c>
      <c r="C1" s="3335"/>
      <c r="D1" s="3335"/>
      <c r="E1" s="3335"/>
      <c r="F1" s="3335"/>
      <c r="G1" s="3334" t="s">
        <v>1143</v>
      </c>
      <c r="H1" s="3334"/>
      <c r="I1" s="3334"/>
      <c r="J1" s="3334"/>
      <c r="K1" s="3334"/>
      <c r="L1" s="3334"/>
      <c r="N1" s="3334" t="s">
        <v>1144</v>
      </c>
      <c r="O1" s="3334"/>
      <c r="P1" s="3334"/>
      <c r="Q1" s="3334"/>
      <c r="R1" s="1445"/>
      <c r="S1" s="3334" t="s">
        <v>1145</v>
      </c>
      <c r="T1" s="3334"/>
      <c r="U1" s="3334"/>
      <c r="V1" s="3334"/>
      <c r="X1" s="3333" t="s">
        <v>1146</v>
      </c>
      <c r="Y1" s="3334"/>
      <c r="Z1" s="3334"/>
      <c r="AA1" s="3334"/>
      <c r="AB1" s="3334"/>
      <c r="AD1" s="3333" t="s">
        <v>1147</v>
      </c>
      <c r="AE1" s="3334"/>
      <c r="AF1" s="3334"/>
      <c r="AG1" s="3334"/>
      <c r="AH1" s="3334"/>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22" customFormat="1" ht="14.25">
      <c r="A3" s="2931" t="s">
        <v>2987</v>
      </c>
      <c r="B3" s="2923"/>
      <c r="C3" s="2923"/>
      <c r="D3" s="2924"/>
      <c r="E3" s="2924"/>
      <c r="F3" s="2923"/>
      <c r="G3" s="2925"/>
      <c r="H3" s="2926"/>
      <c r="I3" s="2927">
        <f>ROUND(AVERAGE($I4:$I25),2)</f>
        <v>2.13</v>
      </c>
      <c r="J3" s="2927">
        <f>ROUND(AVERAGE($J4:$J25),2)</f>
        <v>1.51</v>
      </c>
      <c r="K3" s="2927">
        <f>ROUND(AVERAGE($K4:$K25),2)</f>
        <v>2.34</v>
      </c>
      <c r="L3" s="2927">
        <f>ROUND(AVERAGE($L4:$L25),2)</f>
        <v>1.42</v>
      </c>
      <c r="N3" s="2925"/>
      <c r="O3" s="2928"/>
      <c r="P3" s="2928"/>
      <c r="Q3" s="2928"/>
      <c r="R3" s="2928"/>
      <c r="S3" s="2925"/>
      <c r="T3" s="2928"/>
      <c r="U3" s="2928"/>
      <c r="V3" s="2928"/>
      <c r="W3" s="2920"/>
      <c r="X3" s="2929">
        <f>ROUND(SUMPRODUCT(PRODUCT(1+N3:N$24)),4)</f>
        <v>1.5099</v>
      </c>
      <c r="Y3" s="2929">
        <f>ROUND(SUMPRODUCT(PRODUCT(1+O3:O$24)),4)</f>
        <v>1.3372999999999999</v>
      </c>
      <c r="Z3" s="2929">
        <f t="shared" ref="Z3:Z22" si="0">Y3</f>
        <v>1.3372999999999999</v>
      </c>
      <c r="AA3" s="2929">
        <f>ROUND(SUMPRODUCT(PRODUCT(1+P3:P$24)),4)</f>
        <v>1.5683</v>
      </c>
      <c r="AB3" s="2929">
        <f>ROUND(SUMPRODUCT(PRODUCT(1+Q3:Q$24)),4)</f>
        <v>1.3255999999999999</v>
      </c>
      <c r="AD3" s="2930">
        <f>ROUND(AVERAGE(I3:I$25)/100,4)</f>
        <v>2.1299999999999999E-2</v>
      </c>
      <c r="AE3" s="2930">
        <f>ROUND(AVERAGE(J3:J$25)/100,4)</f>
        <v>1.5100000000000001E-2</v>
      </c>
      <c r="AF3" s="2930">
        <f t="shared" ref="AF3:AF23" si="1">AE3</f>
        <v>1.5100000000000001E-2</v>
      </c>
      <c r="AG3" s="2930">
        <f>ROUND(AVERAGE(K3:K$25)/100,4)</f>
        <v>2.3400000000000001E-2</v>
      </c>
      <c r="AH3" s="2930">
        <f>ROUND(AVERAGE(L3:L$25)/100,4)</f>
        <v>1.4200000000000001E-2</v>
      </c>
    </row>
    <row r="4" spans="1:34" s="1452" customFormat="1" ht="14.25">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3000</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5">
        <v>2019</v>
      </c>
      <c r="H5" s="1728">
        <v>1</v>
      </c>
      <c r="I5" s="2918">
        <v>0</v>
      </c>
      <c r="J5" s="2918">
        <v>0</v>
      </c>
      <c r="K5" s="2918">
        <v>0</v>
      </c>
      <c r="L5" s="2918">
        <v>0</v>
      </c>
      <c r="N5" s="1466">
        <f>I5/100</f>
        <v>0</v>
      </c>
      <c r="O5" s="1466">
        <f t="shared" ref="O5" si="7">J5/100</f>
        <v>0</v>
      </c>
      <c r="P5" s="1466">
        <f t="shared" ref="P5" si="8">K5/100</f>
        <v>0</v>
      </c>
      <c r="Q5" s="1466">
        <f t="shared" ref="Q5" si="9">L5/100</f>
        <v>0</v>
      </c>
      <c r="R5" s="1730"/>
      <c r="S5" s="1731"/>
      <c r="T5" s="1730"/>
      <c r="U5" s="1730"/>
      <c r="V5" s="1730"/>
      <c r="W5" s="2921" t="s">
        <v>2988</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3001</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331">
        <v>2018</v>
      </c>
      <c r="H6" s="1463">
        <v>4</v>
      </c>
      <c r="I6" s="2952">
        <v>0.96</v>
      </c>
      <c r="J6" s="2952">
        <v>1.03</v>
      </c>
      <c r="K6" s="2952">
        <v>0.92</v>
      </c>
      <c r="L6" s="2953">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5" customFormat="1" ht="14.45" customHeight="1">
      <c r="A7" s="1460" t="s">
        <v>2994</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331"/>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5" customFormat="1" ht="14.45" customHeight="1">
      <c r="A8" s="1460" t="s">
        <v>2993</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331"/>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5" customFormat="1" ht="15" customHeight="1" thickBot="1">
      <c r="A9" s="1460" t="s">
        <v>2986</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340"/>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60" t="s">
        <v>2983</v>
      </c>
      <c r="B10" s="1468">
        <v>439</v>
      </c>
      <c r="C10" s="1468">
        <v>327</v>
      </c>
      <c r="D10" s="1468">
        <f>C10</f>
        <v>327</v>
      </c>
      <c r="E10" s="1468">
        <v>627</v>
      </c>
      <c r="F10" s="1469">
        <v>283</v>
      </c>
      <c r="G10" s="3336">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5" customHeight="1">
      <c r="A11" s="1460" t="s">
        <v>2984</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331"/>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60" t="s">
        <v>1378</v>
      </c>
      <c r="B12" s="1476">
        <f t="shared" si="60"/>
        <v>419.31181600000002</v>
      </c>
      <c r="C12" s="1476">
        <f t="shared" si="61"/>
        <v>313.95436800000004</v>
      </c>
      <c r="D12" s="1476">
        <f t="shared" si="62"/>
        <v>313.95436800000004</v>
      </c>
      <c r="E12" s="1476">
        <f t="shared" si="63"/>
        <v>596.63028431999999</v>
      </c>
      <c r="F12" s="1476">
        <f t="shared" si="64"/>
        <v>274.74220703999998</v>
      </c>
      <c r="G12" s="3331"/>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2"/>
      <c r="AD12" s="1787">
        <f>ROUND(AVERAGE(I12:I$25)/100,4)</f>
        <v>2.46E-2</v>
      </c>
      <c r="AE12" s="1787">
        <f>ROUND(AVERAGE(J12:J$25)/100,4)</f>
        <v>1.6E-2</v>
      </c>
      <c r="AF12" s="1787">
        <f t="shared" si="1"/>
        <v>1.6E-2</v>
      </c>
      <c r="AG12" s="1787">
        <f>ROUND(AVERAGE(K12:K$25)/100,4)</f>
        <v>2.75E-2</v>
      </c>
      <c r="AH12" s="1787">
        <f>ROUND(AVERAGE(L12:L$25)/100,4)</f>
        <v>1.37E-2</v>
      </c>
    </row>
    <row r="13" spans="1:34" s="1465" customFormat="1" ht="15" customHeight="1" thickBot="1">
      <c r="A13" s="1460" t="s">
        <v>1153</v>
      </c>
      <c r="B13" s="1476">
        <f>B14*(1+N13)</f>
        <v>405.524</v>
      </c>
      <c r="C13" s="1476">
        <f>C14*(1+O13)</f>
        <v>307.79840000000002</v>
      </c>
      <c r="D13" s="1476">
        <f>C13</f>
        <v>307.79840000000002</v>
      </c>
      <c r="E13" s="1476">
        <f>E14*(1+P13)</f>
        <v>574.67759999999998</v>
      </c>
      <c r="F13" s="1476">
        <f>F14*(1+Q13)</f>
        <v>270.20280000000002</v>
      </c>
      <c r="G13" s="3340"/>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60" t="s">
        <v>154</v>
      </c>
      <c r="B14" s="1468">
        <v>392</v>
      </c>
      <c r="C14" s="1468">
        <v>302</v>
      </c>
      <c r="D14" s="1468">
        <f>C14</f>
        <v>302</v>
      </c>
      <c r="E14" s="1468">
        <v>553</v>
      </c>
      <c r="F14" s="1469">
        <v>266</v>
      </c>
      <c r="G14" s="3336">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331"/>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331"/>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5"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332"/>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5" thickBot="1">
      <c r="A18" s="1460" t="s">
        <v>151</v>
      </c>
      <c r="B18" s="1468">
        <v>333</v>
      </c>
      <c r="C18" s="1468">
        <v>277</v>
      </c>
      <c r="D18" s="1468">
        <f t="shared" si="74"/>
        <v>277</v>
      </c>
      <c r="E18" s="1468">
        <v>459</v>
      </c>
      <c r="F18" s="1469">
        <v>249</v>
      </c>
      <c r="G18" s="3330">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331"/>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331"/>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332"/>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5" thickBot="1">
      <c r="A22" s="1460" t="s">
        <v>147</v>
      </c>
      <c r="B22" s="1489">
        <v>318</v>
      </c>
      <c r="C22" s="1489">
        <v>268</v>
      </c>
      <c r="D22" s="1489">
        <f t="shared" si="74"/>
        <v>268</v>
      </c>
      <c r="E22" s="1489">
        <v>437</v>
      </c>
      <c r="F22" s="1490">
        <v>237</v>
      </c>
      <c r="G22" s="3330">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331"/>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5"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331"/>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5"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332"/>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1154</v>
      </c>
      <c r="X25" s="1504">
        <v>1</v>
      </c>
      <c r="Y25" s="1504">
        <v>1</v>
      </c>
      <c r="Z25" s="1504">
        <v>1</v>
      </c>
      <c r="AA25" s="1504">
        <v>1</v>
      </c>
      <c r="AB25" s="1504">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60" t="s">
        <v>1155</v>
      </c>
      <c r="B26" s="1468">
        <v>299</v>
      </c>
      <c r="C26" s="1468">
        <v>252</v>
      </c>
      <c r="D26" s="1468">
        <f t="shared" si="74"/>
        <v>252</v>
      </c>
      <c r="E26" s="1468">
        <v>409</v>
      </c>
      <c r="F26" s="1469">
        <v>227</v>
      </c>
      <c r="G26" s="3337">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1156</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338"/>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1157</v>
      </c>
      <c r="B28" s="1476">
        <f t="shared" si="83"/>
        <v>288.2649053828776</v>
      </c>
      <c r="C28" s="1476">
        <f t="shared" si="83"/>
        <v>243.64564425013293</v>
      </c>
      <c r="D28" s="1476">
        <f t="shared" si="74"/>
        <v>243.64564425013293</v>
      </c>
      <c r="E28" s="1476">
        <f t="shared" si="84"/>
        <v>393.31080825986544</v>
      </c>
      <c r="F28" s="1476">
        <f t="shared" si="84"/>
        <v>223.07903790551154</v>
      </c>
      <c r="G28" s="3338"/>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1158</v>
      </c>
      <c r="B29" s="1476">
        <f t="shared" si="83"/>
        <v>282.50186729015837</v>
      </c>
      <c r="C29" s="1476">
        <f t="shared" si="83"/>
        <v>238.09796174155468</v>
      </c>
      <c r="D29" s="1476">
        <f t="shared" si="74"/>
        <v>238.09796174155468</v>
      </c>
      <c r="E29" s="1476">
        <f t="shared" si="84"/>
        <v>385.33438646014054</v>
      </c>
      <c r="F29" s="1476">
        <f t="shared" si="84"/>
        <v>221.55034055567739</v>
      </c>
      <c r="G29" s="3339"/>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5" thickBot="1">
      <c r="A30" s="1460" t="s">
        <v>1159</v>
      </c>
      <c r="B30" s="1510">
        <v>278</v>
      </c>
      <c r="C30" s="1510">
        <v>234</v>
      </c>
      <c r="D30" s="1510">
        <f t="shared" si="74"/>
        <v>234</v>
      </c>
      <c r="E30" s="1510">
        <v>379</v>
      </c>
      <c r="F30" s="1511">
        <v>220</v>
      </c>
      <c r="G30" s="3330">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1160</v>
      </c>
      <c r="B31" s="1476">
        <f>B30/(1+N30)</f>
        <v>275.49301357645425</v>
      </c>
      <c r="C31" s="1476">
        <f>C30/(1+O30)</f>
        <v>232.41954707985698</v>
      </c>
      <c r="D31" s="1476">
        <f t="shared" si="74"/>
        <v>232.41954707985698</v>
      </c>
      <c r="E31" s="1476">
        <f t="shared" ref="E31:F33" si="85">E30/(1+P30)</f>
        <v>375.32184591008121</v>
      </c>
      <c r="F31" s="1476">
        <f t="shared" si="85"/>
        <v>218.03766105054513</v>
      </c>
      <c r="G31" s="3331"/>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1161</v>
      </c>
      <c r="B32" s="1476">
        <f>B31/(1+N31)</f>
        <v>275.24529281292263</v>
      </c>
      <c r="C32" s="1476">
        <f>C31/(1+O31)</f>
        <v>231.74747938962707</v>
      </c>
      <c r="D32" s="1476">
        <f t="shared" si="74"/>
        <v>231.74747938962707</v>
      </c>
      <c r="E32" s="1476">
        <f t="shared" si="85"/>
        <v>375.35938184826603</v>
      </c>
      <c r="F32" s="1476">
        <f t="shared" si="85"/>
        <v>216.78033510692495</v>
      </c>
      <c r="G32" s="3331"/>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5" thickBot="1">
      <c r="A33" s="1460" t="s">
        <v>1162</v>
      </c>
      <c r="B33" s="1476">
        <f>B32/(1+N32)</f>
        <v>275.19025476197027</v>
      </c>
      <c r="C33" s="1512">
        <v>232</v>
      </c>
      <c r="D33" s="1512">
        <f t="shared" si="74"/>
        <v>232</v>
      </c>
      <c r="E33" s="1476">
        <f t="shared" si="85"/>
        <v>375.65990977608692</v>
      </c>
      <c r="F33" s="1476">
        <f t="shared" si="85"/>
        <v>214.12518283971252</v>
      </c>
      <c r="G33" s="3332"/>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5" thickBot="1">
      <c r="A34" s="1460" t="s">
        <v>1163</v>
      </c>
      <c r="B34" s="1468">
        <v>275</v>
      </c>
      <c r="C34" s="1468">
        <v>232</v>
      </c>
      <c r="D34" s="1468">
        <f t="shared" si="74"/>
        <v>232</v>
      </c>
      <c r="E34" s="1468">
        <v>376</v>
      </c>
      <c r="F34" s="1469">
        <v>213</v>
      </c>
      <c r="G34" s="3330">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1164</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331">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1165</v>
      </c>
      <c r="B36" s="1476">
        <f t="shared" si="86"/>
        <v>275.19335084830601</v>
      </c>
      <c r="C36" s="1476">
        <f t="shared" si="86"/>
        <v>230.18088050139744</v>
      </c>
      <c r="D36" s="1476">
        <f t="shared" si="74"/>
        <v>230.18088050139744</v>
      </c>
      <c r="E36" s="1476">
        <f t="shared" si="87"/>
        <v>377.58482925212331</v>
      </c>
      <c r="F36" s="1476">
        <f t="shared" si="87"/>
        <v>210.90687997847917</v>
      </c>
      <c r="G36" s="3331">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5" thickBot="1">
      <c r="A37" s="1460" t="s">
        <v>1166</v>
      </c>
      <c r="B37" s="1476">
        <f t="shared" si="86"/>
        <v>276.29854502841971</v>
      </c>
      <c r="C37" s="1476">
        <f t="shared" si="86"/>
        <v>229.79023709833027</v>
      </c>
      <c r="D37" s="1476">
        <f t="shared" si="74"/>
        <v>229.79023709833027</v>
      </c>
      <c r="E37" s="1476">
        <f t="shared" si="87"/>
        <v>379.78759731655936</v>
      </c>
      <c r="F37" s="1476">
        <f t="shared" si="87"/>
        <v>211.32953905659235</v>
      </c>
      <c r="G37" s="3332">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5" thickBot="1">
      <c r="A38" s="1460" t="s">
        <v>1167</v>
      </c>
      <c r="B38" s="1468">
        <v>269</v>
      </c>
      <c r="C38" s="1468">
        <v>221</v>
      </c>
      <c r="D38" s="1468">
        <f t="shared" si="74"/>
        <v>221</v>
      </c>
      <c r="E38" s="1468">
        <v>373</v>
      </c>
      <c r="F38" s="1469">
        <v>196</v>
      </c>
      <c r="G38" s="3330">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1168</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331">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1169</v>
      </c>
      <c r="B40" s="1476">
        <f t="shared" si="88"/>
        <v>242.95398227588385</v>
      </c>
      <c r="C40" s="1476">
        <f t="shared" si="88"/>
        <v>199.59137053614126</v>
      </c>
      <c r="D40" s="1476">
        <f t="shared" si="74"/>
        <v>199.59137053614126</v>
      </c>
      <c r="E40" s="1476">
        <f t="shared" si="89"/>
        <v>335.92189522342125</v>
      </c>
      <c r="F40" s="1476">
        <f t="shared" si="89"/>
        <v>183.10139991109489</v>
      </c>
      <c r="G40" s="3331">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5" thickBot="1">
      <c r="A41" s="1460" t="s">
        <v>1170</v>
      </c>
      <c r="B41" s="1476">
        <f t="shared" si="88"/>
        <v>232.06990378821649</v>
      </c>
      <c r="C41" s="1476">
        <f t="shared" si="88"/>
        <v>192.74878854286936</v>
      </c>
      <c r="D41" s="1476">
        <f t="shared" si="74"/>
        <v>192.74878854286936</v>
      </c>
      <c r="E41" s="1476">
        <f t="shared" si="89"/>
        <v>319.71247284992984</v>
      </c>
      <c r="F41" s="1476">
        <f t="shared" si="89"/>
        <v>175.67053622862409</v>
      </c>
      <c r="G41" s="3332">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5" thickBot="1">
      <c r="A42" s="1460" t="s">
        <v>1171</v>
      </c>
      <c r="B42" s="1468">
        <v>220</v>
      </c>
      <c r="C42" s="1468">
        <v>187</v>
      </c>
      <c r="D42" s="1468">
        <f t="shared" si="74"/>
        <v>187</v>
      </c>
      <c r="E42" s="1468">
        <v>301</v>
      </c>
      <c r="F42" s="1469">
        <v>168</v>
      </c>
      <c r="G42" s="3330">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1172</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331">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1173</v>
      </c>
      <c r="B44" s="1476">
        <f t="shared" si="90"/>
        <v>210.630522469011</v>
      </c>
      <c r="C44" s="1476">
        <f t="shared" si="90"/>
        <v>181.69567812247232</v>
      </c>
      <c r="D44" s="1476">
        <f t="shared" si="74"/>
        <v>181.69567812247232</v>
      </c>
      <c r="E44" s="1476">
        <f t="shared" si="91"/>
        <v>286.13517466736738</v>
      </c>
      <c r="F44" s="1476">
        <f t="shared" si="91"/>
        <v>165.47535084591149</v>
      </c>
      <c r="G44" s="3331">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1174</v>
      </c>
      <c r="B45" s="1476">
        <f t="shared" si="90"/>
        <v>208.83454537875372</v>
      </c>
      <c r="C45" s="1476">
        <f t="shared" si="90"/>
        <v>183.77230517090351</v>
      </c>
      <c r="D45" s="1476">
        <f t="shared" si="74"/>
        <v>183.77230517090351</v>
      </c>
      <c r="E45" s="1476">
        <f t="shared" si="91"/>
        <v>281.10342338870947</v>
      </c>
      <c r="F45" s="1476">
        <f t="shared" si="91"/>
        <v>168.97309388942256</v>
      </c>
      <c r="G45" s="3332">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5" thickBot="1">
      <c r="A46" s="1460" t="s">
        <v>1175</v>
      </c>
      <c r="B46" s="1510">
        <v>214</v>
      </c>
      <c r="C46" s="1510">
        <v>188</v>
      </c>
      <c r="D46" s="1510">
        <f t="shared" si="74"/>
        <v>188</v>
      </c>
      <c r="E46" s="1510">
        <v>289</v>
      </c>
      <c r="F46" s="1511">
        <v>166</v>
      </c>
      <c r="G46" s="3330">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1176</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331">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1177</v>
      </c>
      <c r="B48" s="1476">
        <f t="shared" si="92"/>
        <v>206.31694671589116</v>
      </c>
      <c r="C48" s="1476">
        <f t="shared" si="92"/>
        <v>183.61041121036101</v>
      </c>
      <c r="D48" s="1476">
        <f t="shared" si="74"/>
        <v>183.61041121036101</v>
      </c>
      <c r="E48" s="1476">
        <f t="shared" si="93"/>
        <v>276.66850301795557</v>
      </c>
      <c r="F48" s="1476">
        <f t="shared" si="93"/>
        <v>165.1360938278614</v>
      </c>
      <c r="G48" s="3331">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5" thickBot="1">
      <c r="A49" s="1460" t="s">
        <v>1178</v>
      </c>
      <c r="B49" s="1513">
        <f t="shared" si="92"/>
        <v>196.62341248059772</v>
      </c>
      <c r="C49" s="1513">
        <f t="shared" si="92"/>
        <v>170.99125648199012</v>
      </c>
      <c r="D49" s="1513">
        <f t="shared" si="74"/>
        <v>170.99125648199012</v>
      </c>
      <c r="E49" s="1513">
        <f t="shared" si="93"/>
        <v>266.07857570490052</v>
      </c>
      <c r="F49" s="1513">
        <f t="shared" si="93"/>
        <v>154.53499328828505</v>
      </c>
      <c r="G49" s="3332">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5" thickBot="1">
      <c r="A50" s="1460" t="s">
        <v>1179</v>
      </c>
      <c r="B50" s="1468">
        <v>188</v>
      </c>
      <c r="C50" s="1468">
        <v>165</v>
      </c>
      <c r="D50" s="1468">
        <f t="shared" si="74"/>
        <v>165</v>
      </c>
      <c r="E50" s="1468">
        <v>254</v>
      </c>
      <c r="F50" s="1469">
        <v>148</v>
      </c>
      <c r="G50" s="3330">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1180</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331">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1181</v>
      </c>
      <c r="B52" s="1476">
        <f t="shared" si="96"/>
        <v>168.82017748715555</v>
      </c>
      <c r="C52" s="1476">
        <f t="shared" si="96"/>
        <v>148.06267029972753</v>
      </c>
      <c r="D52" s="1476">
        <f t="shared" si="74"/>
        <v>148.06267029972753</v>
      </c>
      <c r="E52" s="1476">
        <f t="shared" si="97"/>
        <v>216.46288379323747</v>
      </c>
      <c r="F52" s="1476">
        <f t="shared" si="97"/>
        <v>134.23529411764704</v>
      </c>
      <c r="G52" s="3331">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1182</v>
      </c>
      <c r="B53" s="1476">
        <f t="shared" si="96"/>
        <v>163.84913591779542</v>
      </c>
      <c r="C53" s="1476">
        <f t="shared" si="96"/>
        <v>145.0283378746594</v>
      </c>
      <c r="D53" s="1476">
        <f t="shared" si="74"/>
        <v>145.0283378746594</v>
      </c>
      <c r="E53" s="1476">
        <f t="shared" si="97"/>
        <v>204.95180722891567</v>
      </c>
      <c r="F53" s="1476">
        <f t="shared" si="97"/>
        <v>125.95920303605313</v>
      </c>
      <c r="G53" s="3332">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5" thickBot="1">
      <c r="A54" s="1460" t="s">
        <v>1183</v>
      </c>
      <c r="B54" s="1489">
        <v>159</v>
      </c>
      <c r="C54" s="1489">
        <v>141</v>
      </c>
      <c r="D54" s="1489">
        <f t="shared" si="74"/>
        <v>141</v>
      </c>
      <c r="E54" s="1489">
        <v>195</v>
      </c>
      <c r="F54" s="1490">
        <v>122</v>
      </c>
      <c r="G54" s="3330">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1184</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331">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1185</v>
      </c>
      <c r="B56" s="1476">
        <f t="shared" si="100"/>
        <v>146.57412060301507</v>
      </c>
      <c r="C56" s="1476">
        <f t="shared" si="100"/>
        <v>136.46831955922866</v>
      </c>
      <c r="D56" s="1476">
        <f t="shared" si="74"/>
        <v>136.46831955922866</v>
      </c>
      <c r="E56" s="1476">
        <f t="shared" si="101"/>
        <v>166.73864894795128</v>
      </c>
      <c r="F56" s="1476">
        <f t="shared" si="101"/>
        <v>115.05882352941177</v>
      </c>
      <c r="G56" s="3331">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1186</v>
      </c>
      <c r="B57" s="1476">
        <f t="shared" si="100"/>
        <v>144.04145728643215</v>
      </c>
      <c r="C57" s="1476">
        <f t="shared" si="100"/>
        <v>136.12396694214877</v>
      </c>
      <c r="D57" s="1476">
        <f t="shared" si="74"/>
        <v>136.12396694214877</v>
      </c>
      <c r="E57" s="1476">
        <f t="shared" si="101"/>
        <v>158.32225913621264</v>
      </c>
      <c r="F57" s="1476">
        <f t="shared" si="101"/>
        <v>114.04278074866311</v>
      </c>
      <c r="G57" s="3332">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5" thickBot="1">
      <c r="A58" s="1460" t="s">
        <v>1187</v>
      </c>
      <c r="B58" s="1489">
        <v>138</v>
      </c>
      <c r="C58" s="1489">
        <v>131</v>
      </c>
      <c r="D58" s="1489">
        <f t="shared" si="74"/>
        <v>131</v>
      </c>
      <c r="E58" s="1489">
        <v>155</v>
      </c>
      <c r="F58" s="1490">
        <v>114</v>
      </c>
      <c r="G58" s="3330">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1188</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331">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1189</v>
      </c>
      <c r="B60" s="1476">
        <f t="shared" si="104"/>
        <v>124.29032258064517</v>
      </c>
      <c r="C60" s="1476">
        <f t="shared" si="104"/>
        <v>123.8968609865471</v>
      </c>
      <c r="D60" s="1476">
        <f t="shared" si="74"/>
        <v>123.8968609865471</v>
      </c>
      <c r="E60" s="1476">
        <f t="shared" si="105"/>
        <v>138.00507614213197</v>
      </c>
      <c r="F60" s="1476">
        <f t="shared" si="105"/>
        <v>107.96106557377048</v>
      </c>
      <c r="G60" s="3331">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1190</v>
      </c>
      <c r="B61" s="1476">
        <f t="shared" si="104"/>
        <v>122.57204301075269</v>
      </c>
      <c r="C61" s="1476">
        <f t="shared" si="104"/>
        <v>123.4932735426009</v>
      </c>
      <c r="D61" s="1476">
        <f t="shared" si="74"/>
        <v>123.4932735426009</v>
      </c>
      <c r="E61" s="1476">
        <f t="shared" si="105"/>
        <v>129.82233502538071</v>
      </c>
      <c r="F61" s="1476">
        <f t="shared" si="105"/>
        <v>107.39446721311475</v>
      </c>
      <c r="G61" s="3332">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5" thickBot="1">
      <c r="A62" s="1460" t="s">
        <v>1191</v>
      </c>
      <c r="B62" s="1510">
        <v>121</v>
      </c>
      <c r="C62" s="1510">
        <v>122</v>
      </c>
      <c r="D62" s="1510">
        <f t="shared" si="74"/>
        <v>122</v>
      </c>
      <c r="E62" s="1510">
        <v>124</v>
      </c>
      <c r="F62" s="1511">
        <v>107</v>
      </c>
      <c r="G62" s="3330">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1192</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331">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1193</v>
      </c>
      <c r="B64" s="1476">
        <f t="shared" si="108"/>
        <v>116.99099099099099</v>
      </c>
      <c r="C64" s="1476">
        <f t="shared" si="108"/>
        <v>118.84848484848486</v>
      </c>
      <c r="D64" s="1476">
        <f t="shared" si="74"/>
        <v>118.84848484848486</v>
      </c>
      <c r="E64" s="1476">
        <f t="shared" si="109"/>
        <v>117.60960960960961</v>
      </c>
      <c r="F64" s="1476">
        <f t="shared" si="109"/>
        <v>104</v>
      </c>
      <c r="G64" s="3331">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5" thickBot="1">
      <c r="A65" s="1460" t="s">
        <v>1194</v>
      </c>
      <c r="B65" s="1513">
        <f t="shared" si="108"/>
        <v>112.48648648648648</v>
      </c>
      <c r="C65" s="1513">
        <f t="shared" si="108"/>
        <v>115.21212121212122</v>
      </c>
      <c r="D65" s="1513">
        <f t="shared" si="74"/>
        <v>115.21212121212122</v>
      </c>
      <c r="E65" s="1513">
        <f t="shared" si="109"/>
        <v>110.4024024024024</v>
      </c>
      <c r="F65" s="1513">
        <f t="shared" si="109"/>
        <v>104</v>
      </c>
      <c r="G65" s="3332">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5" thickBot="1">
      <c r="A66" s="1460" t="s">
        <v>1195</v>
      </c>
      <c r="B66" s="1531">
        <v>111</v>
      </c>
      <c r="C66" s="1531">
        <v>114</v>
      </c>
      <c r="D66" s="1531">
        <f t="shared" si="74"/>
        <v>114</v>
      </c>
      <c r="E66" s="1531">
        <v>108</v>
      </c>
      <c r="F66" s="1532">
        <v>104</v>
      </c>
      <c r="G66" s="3330">
        <v>2003</v>
      </c>
      <c r="H66" s="1521">
        <v>4</v>
      </c>
      <c r="I66" s="1533"/>
      <c r="J66" s="1533"/>
      <c r="K66" s="1533"/>
      <c r="L66" s="1533"/>
      <c r="N66" s="1534"/>
      <c r="O66" s="1533"/>
      <c r="P66" s="1533"/>
      <c r="Q66" s="1533"/>
      <c r="S66" s="1534"/>
      <c r="T66" s="1533"/>
      <c r="U66" s="1533"/>
      <c r="V66" s="1533"/>
      <c r="X66" s="1525"/>
      <c r="Y66" s="1525"/>
      <c r="Z66" s="1525"/>
    </row>
    <row r="67" spans="1:26">
      <c r="A67" s="1460" t="s">
        <v>1196</v>
      </c>
      <c r="B67" s="1535">
        <f t="shared" ref="B67:C69" si="110">B68+(B$66-B$70)/4</f>
        <v>109.75</v>
      </c>
      <c r="C67" s="1535">
        <f t="shared" si="110"/>
        <v>112.25</v>
      </c>
      <c r="D67" s="1535">
        <f t="shared" si="74"/>
        <v>112.25</v>
      </c>
      <c r="E67" s="1535">
        <f t="shared" ref="E67:F69" si="111">E68+(E$66-E$70)/4</f>
        <v>107.25</v>
      </c>
      <c r="F67" s="1535">
        <f t="shared" si="111"/>
        <v>103.5</v>
      </c>
      <c r="G67" s="3331">
        <v>2003</v>
      </c>
      <c r="H67" s="1486">
        <v>3</v>
      </c>
      <c r="I67" s="1533"/>
      <c r="J67" s="1533"/>
      <c r="K67" s="1533"/>
      <c r="L67" s="1533"/>
      <c r="X67" s="1525"/>
      <c r="Y67" s="1525"/>
      <c r="Z67" s="1525"/>
    </row>
    <row r="68" spans="1:26">
      <c r="A68" s="1460" t="s">
        <v>1197</v>
      </c>
      <c r="B68" s="1535">
        <f t="shared" si="110"/>
        <v>108.5</v>
      </c>
      <c r="C68" s="1535">
        <f t="shared" si="110"/>
        <v>110.5</v>
      </c>
      <c r="D68" s="1535">
        <f t="shared" si="74"/>
        <v>110.5</v>
      </c>
      <c r="E68" s="1535">
        <f t="shared" si="111"/>
        <v>106.5</v>
      </c>
      <c r="F68" s="1535">
        <f t="shared" si="111"/>
        <v>103</v>
      </c>
      <c r="G68" s="3331">
        <v>2003</v>
      </c>
      <c r="H68" s="1464">
        <v>2</v>
      </c>
      <c r="I68" s="1533"/>
      <c r="J68" s="1533"/>
      <c r="K68" s="1533"/>
      <c r="L68" s="1533"/>
      <c r="X68" s="1525"/>
      <c r="Y68" s="1525"/>
      <c r="Z68" s="1525"/>
    </row>
    <row r="69" spans="1:26" ht="13.5" thickBot="1">
      <c r="A69" s="1460" t="s">
        <v>1198</v>
      </c>
      <c r="B69" s="1535">
        <f t="shared" si="110"/>
        <v>107.25</v>
      </c>
      <c r="C69" s="1535">
        <f t="shared" si="110"/>
        <v>108.75</v>
      </c>
      <c r="D69" s="1535">
        <f t="shared" si="74"/>
        <v>108.75</v>
      </c>
      <c r="E69" s="1535">
        <f t="shared" si="111"/>
        <v>105.75</v>
      </c>
      <c r="F69" s="1535">
        <f t="shared" si="111"/>
        <v>102.5</v>
      </c>
      <c r="G69" s="3332">
        <v>2003</v>
      </c>
      <c r="H69" s="1536">
        <v>1</v>
      </c>
      <c r="I69" s="1533"/>
      <c r="J69" s="1533"/>
      <c r="K69" s="1533"/>
      <c r="L69" s="1533"/>
      <c r="S69" s="1471"/>
      <c r="T69" s="1472"/>
      <c r="U69" s="1472"/>
      <c r="X69" s="1525"/>
      <c r="Y69" s="1525"/>
      <c r="Z69" s="1525"/>
    </row>
    <row r="70" spans="1:26" ht="13.5" thickBot="1">
      <c r="A70" s="1460" t="s">
        <v>1199</v>
      </c>
      <c r="B70" s="1537">
        <v>106</v>
      </c>
      <c r="C70" s="1537">
        <v>107</v>
      </c>
      <c r="D70" s="1537">
        <f t="shared" si="74"/>
        <v>107</v>
      </c>
      <c r="E70" s="1537">
        <v>105</v>
      </c>
      <c r="F70" s="1538">
        <v>102</v>
      </c>
      <c r="G70" s="3330">
        <v>2002</v>
      </c>
      <c r="H70" s="1481">
        <v>4</v>
      </c>
      <c r="I70" s="1533"/>
      <c r="J70" s="1533"/>
      <c r="K70" s="1533"/>
      <c r="L70" s="1533"/>
      <c r="N70" s="1534"/>
      <c r="O70" s="1533"/>
      <c r="P70" s="1533"/>
      <c r="Q70" s="1533"/>
      <c r="S70" s="1534"/>
      <c r="T70" s="1533"/>
      <c r="U70" s="1533"/>
      <c r="V70" s="1533"/>
      <c r="X70" s="1525"/>
      <c r="Y70" s="1525"/>
      <c r="Z70" s="1525"/>
    </row>
    <row r="71" spans="1:26">
      <c r="A71" s="1460" t="s">
        <v>1200</v>
      </c>
      <c r="B71" s="1535">
        <f t="shared" ref="B71:C73" si="112">B72+(B$70-B$74)/4</f>
        <v>105</v>
      </c>
      <c r="C71" s="1535">
        <f t="shared" si="112"/>
        <v>106</v>
      </c>
      <c r="D71" s="1535">
        <f t="shared" si="74"/>
        <v>106</v>
      </c>
      <c r="E71" s="1535">
        <f t="shared" ref="E71:F73" si="113">E72+(E$70-E$74)/4</f>
        <v>104.5</v>
      </c>
      <c r="F71" s="1535">
        <f t="shared" si="113"/>
        <v>101.5</v>
      </c>
      <c r="G71" s="3331">
        <v>2002</v>
      </c>
      <c r="H71" s="1486">
        <v>3</v>
      </c>
      <c r="I71" s="1533"/>
      <c r="J71" s="1533"/>
      <c r="K71" s="1533"/>
      <c r="L71" s="1533"/>
      <c r="X71" s="1525"/>
      <c r="Y71" s="1525"/>
      <c r="Z71" s="1525"/>
    </row>
    <row r="72" spans="1:26">
      <c r="A72" s="1460" t="s">
        <v>1201</v>
      </c>
      <c r="B72" s="1535">
        <f t="shared" si="112"/>
        <v>104</v>
      </c>
      <c r="C72" s="1535">
        <f t="shared" si="112"/>
        <v>105</v>
      </c>
      <c r="D72" s="1535">
        <f t="shared" si="74"/>
        <v>105</v>
      </c>
      <c r="E72" s="1535">
        <f t="shared" si="113"/>
        <v>104</v>
      </c>
      <c r="F72" s="1535">
        <f t="shared" si="113"/>
        <v>101</v>
      </c>
      <c r="G72" s="3331">
        <v>2002</v>
      </c>
      <c r="H72" s="1464">
        <v>2</v>
      </c>
      <c r="I72" s="1533"/>
      <c r="J72" s="1533"/>
      <c r="K72" s="1533"/>
      <c r="L72" s="1533"/>
      <c r="X72" s="1525"/>
      <c r="Y72" s="1525"/>
      <c r="Z72" s="1525"/>
    </row>
    <row r="73" spans="1:26" s="1497" customFormat="1" ht="13.5" thickBot="1">
      <c r="A73" s="1493" t="s">
        <v>1202</v>
      </c>
      <c r="B73" s="1539">
        <f t="shared" si="112"/>
        <v>103</v>
      </c>
      <c r="C73" s="1539">
        <f t="shared" si="112"/>
        <v>104</v>
      </c>
      <c r="D73" s="1539">
        <f t="shared" si="74"/>
        <v>104</v>
      </c>
      <c r="E73" s="1539">
        <f t="shared" si="113"/>
        <v>103.5</v>
      </c>
      <c r="F73" s="1539">
        <f t="shared" si="113"/>
        <v>100.5</v>
      </c>
      <c r="G73" s="3332">
        <v>2002</v>
      </c>
      <c r="H73" s="1540">
        <v>1</v>
      </c>
      <c r="I73" s="1541"/>
      <c r="J73" s="1541"/>
      <c r="K73" s="1541"/>
      <c r="L73" s="1541"/>
      <c r="N73" s="1542"/>
      <c r="S73" s="1542"/>
      <c r="X73" s="1543"/>
      <c r="Y73" s="1543"/>
      <c r="Z73" s="1543"/>
    </row>
    <row r="74" spans="1:26" ht="13.5"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1203</v>
      </c>
      <c r="G76" s="1549"/>
      <c r="N76" s="1549"/>
      <c r="S76" s="1549"/>
    </row>
    <row r="77" spans="1:26" s="1548" customFormat="1">
      <c r="A77" s="1548" t="s">
        <v>1204</v>
      </c>
      <c r="G77" s="1549"/>
      <c r="N77" s="1549"/>
      <c r="S77" s="1549"/>
    </row>
    <row r="78" spans="1:26" s="1548" customFormat="1">
      <c r="A78" s="1548" t="s">
        <v>1205</v>
      </c>
      <c r="G78" s="1549"/>
      <c r="I78" s="1550"/>
      <c r="J78" s="1550"/>
      <c r="K78" s="1550"/>
      <c r="L78" s="1550"/>
      <c r="N78" s="1551"/>
      <c r="O78" s="1550"/>
      <c r="P78" s="1550"/>
      <c r="Q78" s="1550"/>
      <c r="S78" s="1551"/>
      <c r="T78" s="1550"/>
      <c r="U78" s="1550"/>
      <c r="V78" s="1550"/>
    </row>
    <row r="79" spans="1:26" s="1548" customFormat="1">
      <c r="A79" s="1548" t="s">
        <v>1206</v>
      </c>
      <c r="G79" s="1549"/>
      <c r="N79" s="1549"/>
      <c r="S79" s="1549"/>
    </row>
    <row r="86" spans="7:22" ht="13.5" thickBot="1"/>
    <row r="87" spans="7:22">
      <c r="G87" s="1470"/>
      <c r="S87" s="1552" t="s">
        <v>1207</v>
      </c>
      <c r="T87" s="1553" t="s">
        <v>1208</v>
      </c>
      <c r="U87" s="1553" t="s">
        <v>1209</v>
      </c>
      <c r="V87" s="1553" t="s">
        <v>1210</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5"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2954</v>
      </c>
      <c r="C1" s="3342" t="s">
        <v>2955</v>
      </c>
      <c r="D1" s="3343"/>
      <c r="E1" s="3343"/>
      <c r="F1" s="3343"/>
      <c r="G1" s="3343"/>
      <c r="H1" s="3343"/>
      <c r="I1" s="3343"/>
      <c r="J1" s="3343"/>
      <c r="K1" s="3343"/>
      <c r="L1" s="3343"/>
      <c r="M1" s="3343"/>
      <c r="N1" s="3343"/>
      <c r="O1" s="3343"/>
      <c r="P1" s="3343"/>
      <c r="Q1" s="3343"/>
      <c r="R1" s="3343"/>
      <c r="S1" s="3344"/>
      <c r="T1" s="1203" t="s">
        <v>2956</v>
      </c>
    </row>
    <row r="2" spans="1:45" s="706" customFormat="1">
      <c r="A2" s="1204"/>
      <c r="B2" s="702" t="s">
        <v>2957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2958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2959</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2960</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2961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2962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2963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2964</v>
      </c>
      <c r="B17" s="2913" t="s">
        <v>2965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4" t="s">
        <v>2966</v>
      </c>
      <c r="E19" s="1790"/>
      <c r="F19" s="1790"/>
      <c r="G19" s="1790"/>
      <c r="H19" s="1279"/>
      <c r="I19" s="167"/>
      <c r="J19" s="167"/>
      <c r="K19" s="167"/>
      <c r="L19" s="167"/>
      <c r="M19" s="167"/>
      <c r="N19" s="167"/>
      <c r="O19" s="167"/>
      <c r="P19" s="167"/>
      <c r="Q19" s="167"/>
      <c r="R19" s="787"/>
      <c r="S19" s="137"/>
    </row>
    <row r="20" spans="1:45" ht="16.5" thickBot="1">
      <c r="A20" s="714" t="s">
        <v>2967</v>
      </c>
      <c r="B20" s="337" t="e">
        <f ca="1">IF(D20="——",S22,S22-F20)</f>
        <v>#REF!</v>
      </c>
      <c r="C20" s="167"/>
      <c r="D20" s="2915" t="s">
        <v>2968</v>
      </c>
      <c r="E20" s="1791"/>
      <c r="F20" s="1203" t="e">
        <f ca="1">SUMIF(INDIRECT("'"&amp;H20&amp;"'"&amp;"!A:A"),"承租人权益价值",INDIRECT("'"&amp;H20&amp;"'"&amp;"!c:c"))</f>
        <v>#REF!</v>
      </c>
      <c r="G20" s="1203" t="s">
        <v>2969</v>
      </c>
      <c r="H20" s="2916"/>
      <c r="I20" s="167"/>
      <c r="J20" s="167"/>
      <c r="K20" s="167"/>
      <c r="L20" s="167"/>
      <c r="M20" s="167"/>
      <c r="N20" s="167"/>
      <c r="O20" s="167"/>
      <c r="P20" s="167"/>
      <c r="Q20" s="167"/>
      <c r="R20" s="787"/>
      <c r="S20" s="137"/>
    </row>
    <row r="21" spans="1:45" ht="15.75">
      <c r="A21" s="714" t="s">
        <v>2970</v>
      </c>
      <c r="B21" s="337">
        <f>R22</f>
        <v>10000</v>
      </c>
      <c r="C21" s="167"/>
      <c r="D21" s="167"/>
      <c r="E21" s="167"/>
      <c r="F21" s="167"/>
      <c r="G21" s="167"/>
      <c r="H21" s="167"/>
      <c r="I21" s="167"/>
      <c r="J21" s="167"/>
      <c r="K21" s="167"/>
      <c r="L21" s="167"/>
      <c r="M21" s="167"/>
      <c r="N21" s="167"/>
      <c r="O21" s="167"/>
      <c r="P21" s="167"/>
      <c r="Q21" s="167"/>
      <c r="R21" s="787"/>
      <c r="S21" s="137"/>
    </row>
    <row r="22" spans="1:45">
      <c r="A22" s="360" t="s">
        <v>2971</v>
      </c>
      <c r="B22" s="24">
        <f>SUM(B24:B10000)</f>
        <v>100</v>
      </c>
      <c r="C22" s="3201" t="s">
        <v>33</v>
      </c>
      <c r="D22" s="3202"/>
      <c r="E22" s="3202"/>
      <c r="F22" s="3202"/>
      <c r="G22" s="3202"/>
      <c r="H22" s="3202"/>
      <c r="I22" s="3202"/>
      <c r="J22" s="3202"/>
      <c r="K22" s="3202"/>
      <c r="L22" s="3202"/>
      <c r="M22" s="3202"/>
      <c r="N22" s="3202"/>
      <c r="O22" s="3202"/>
      <c r="P22" s="3202"/>
      <c r="Q22" s="3341"/>
      <c r="R22" s="715">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6" t="s">
        <v>2975</v>
      </c>
      <c r="S23" s="11" t="s">
        <v>2976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2977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87781</v>
      </c>
      <c r="C2" s="2" t="s">
        <v>133</v>
      </c>
      <c r="D2" s="242"/>
      <c r="E2" s="242"/>
      <c r="F2" s="242"/>
      <c r="G2" s="242"/>
    </row>
    <row r="3" spans="1:7" s="243" customFormat="1" ht="18" customHeight="1" thickBot="1">
      <c r="A3" s="246" t="s">
        <v>85</v>
      </c>
      <c r="B3" s="247">
        <f ca="1">ROUND(B2*10000/'数据-汇总表'!E3,0)</f>
        <v>7094</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790</v>
      </c>
      <c r="B6" s="258" t="s">
        <v>91</v>
      </c>
      <c r="C6" s="259">
        <v>20000</v>
      </c>
      <c r="D6" s="260"/>
      <c r="E6" s="261"/>
      <c r="F6" s="261"/>
      <c r="G6" s="262"/>
    </row>
    <row r="7" spans="1:7" s="257" customFormat="1" ht="13.5" customHeight="1">
      <c r="A7" s="948" t="s">
        <v>791</v>
      </c>
      <c r="B7" s="258" t="s">
        <v>57</v>
      </c>
      <c r="C7" s="263">
        <f>ROUND(C6*F7,0)</f>
        <v>610</v>
      </c>
      <c r="D7" s="263"/>
      <c r="E7" s="261"/>
      <c r="F7" s="264">
        <f>'数据-取费表'!B48+'数据-取费表'!B49</f>
        <v>3.0499999999999999E-2</v>
      </c>
      <c r="G7" s="262"/>
    </row>
    <row r="8" spans="1:7" s="266" customFormat="1">
      <c r="A8" s="948" t="s">
        <v>792</v>
      </c>
      <c r="B8" s="258" t="s">
        <v>92</v>
      </c>
      <c r="C8" s="263" t="str">
        <f>IF(G8="已包含在土地购买价格中","0",'数据-取费表'!B29)</f>
        <v>0</v>
      </c>
      <c r="D8" s="265"/>
      <c r="E8" s="263"/>
      <c r="F8" s="264"/>
      <c r="G8" s="1" t="s">
        <v>1141</v>
      </c>
    </row>
    <row r="9" spans="1:7" s="257" customFormat="1" ht="13.5" customHeight="1">
      <c r="A9" s="949" t="s">
        <v>799</v>
      </c>
      <c r="B9" s="267" t="s">
        <v>93</v>
      </c>
      <c r="C9" s="268">
        <f>ROUND(D9*E9/10000,0)</f>
        <v>1165</v>
      </c>
      <c r="D9" s="1031">
        <f>'数据-汇总表'!E5</f>
        <v>72809.22</v>
      </c>
      <c r="E9" s="268">
        <f>'数据-取费表'!B27</f>
        <v>160</v>
      </c>
      <c r="F9" s="264"/>
      <c r="G9" s="269"/>
    </row>
    <row r="10" spans="1:7" s="257" customFormat="1" ht="13.5" customHeight="1">
      <c r="A10" s="949" t="s">
        <v>800</v>
      </c>
      <c r="B10" s="267" t="s">
        <v>94</v>
      </c>
      <c r="C10" s="268">
        <f>ROUND(D10*E10/10000,0)</f>
        <v>1019</v>
      </c>
      <c r="D10" s="1031">
        <f>'数据-汇总表'!E6</f>
        <v>50931.039999999994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2475</v>
      </c>
      <c r="D19" s="1035">
        <f>'数据-汇总表'!E3</f>
        <v>123740.26</v>
      </c>
      <c r="E19" s="254">
        <f>'数据-取费表'!B31</f>
        <v>200</v>
      </c>
      <c r="F19" s="274"/>
      <c r="G19" s="1" t="s">
        <v>1070</v>
      </c>
    </row>
    <row r="20" spans="1:7" s="257" customFormat="1" ht="13.5" customHeight="1">
      <c r="A20" s="947" t="s">
        <v>1053</v>
      </c>
      <c r="B20" s="253" t="s">
        <v>104</v>
      </c>
      <c r="C20" s="275">
        <f>ROUND((C5+C19)*F20,0)</f>
        <v>462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785</v>
      </c>
      <c r="B22" s="253" t="s">
        <v>107</v>
      </c>
      <c r="C22" s="1353">
        <f ca="1">ROUND(SUM(C23:C25),0)</f>
        <v>2149</v>
      </c>
      <c r="D22" s="278">
        <f ca="1">C26</f>
        <v>8.9999999999999998E-4</v>
      </c>
      <c r="E22" s="279" t="s">
        <v>126</v>
      </c>
      <c r="F22" s="280">
        <f ca="1">'数据-取费表'!B40</f>
        <v>4.7500000000000001E-2</v>
      </c>
      <c r="G22" s="1288" t="str">
        <f>IF('数据-取费表'!B22&lt;=1,"单利计息","复利计息")</f>
        <v>复利计息</v>
      </c>
    </row>
    <row r="23" spans="1:7" s="257" customFormat="1" ht="13.5" customHeight="1">
      <c r="A23" s="950" t="s">
        <v>793</v>
      </c>
      <c r="B23" s="258" t="s">
        <v>1057</v>
      </c>
      <c r="C23" s="1354">
        <f ca="1">ROUND(IF('数据-取费表'!B22&lt;=1,C5*F22*'数据-取费表'!B23,C5*(POWER((1+F22),'数据-取费表'!B23)-1)),0)</f>
        <v>1900</v>
      </c>
      <c r="D23" s="281"/>
      <c r="E23" s="281"/>
      <c r="F23" s="282"/>
      <c r="G23" s="283" t="s">
        <v>108</v>
      </c>
    </row>
    <row r="24" spans="1:7" s="257" customFormat="1" ht="13.5" customHeight="1">
      <c r="A24" s="950" t="s">
        <v>791</v>
      </c>
      <c r="B24" s="258" t="s">
        <v>1052</v>
      </c>
      <c r="C24" s="1354">
        <f ca="1">ROUND(IF('数据-取费表'!B22&lt;=1,C19*F22*('数据-取费表'!B19/2+'数据-取费表'!B21),C19*(POWER((1+F22),('数据-取费表'!B19/2+'数据-取费表'!B21))-1)),0)</f>
        <v>228</v>
      </c>
      <c r="D24" s="281"/>
      <c r="E24" s="281"/>
      <c r="F24" s="282"/>
      <c r="G24" s="283" t="s">
        <v>109</v>
      </c>
    </row>
    <row r="25" spans="1:7" s="257" customFormat="1" ht="24">
      <c r="A25" s="950" t="s">
        <v>792</v>
      </c>
      <c r="B25" s="258" t="s">
        <v>1054</v>
      </c>
      <c r="C25" s="1354">
        <f ca="1">ROUND(IF('数据-取费表'!B22&lt;=1,C20*F22*'数据-取费表'!B23/2,C20*(POWER((1+F22),'数据-取费表'!B23/2)-1)),0)</f>
        <v>21</v>
      </c>
      <c r="D25" s="281"/>
      <c r="E25" s="284"/>
      <c r="F25" s="282"/>
      <c r="G25" s="285" t="s">
        <v>110</v>
      </c>
    </row>
    <row r="26" spans="1:7" s="257" customFormat="1">
      <c r="A26" s="950" t="s">
        <v>794</v>
      </c>
      <c r="B26" s="258" t="s">
        <v>1056</v>
      </c>
      <c r="C26" s="281">
        <f ca="1">ROUND(IF('数据-取费表'!B22&lt;=1,F21*F22*'数据-取费表'!B23/2,F21*(POWER((1+F22),'数据-取费表'!B23/2)-1)),4)</f>
        <v>8.9999999999999998E-4</v>
      </c>
      <c r="D26" s="281"/>
      <c r="E26" s="284"/>
      <c r="F26" s="282"/>
      <c r="G26" s="286"/>
    </row>
    <row r="27" spans="1:7" s="257" customFormat="1" ht="24.75">
      <c r="A27" s="947" t="s">
        <v>786</v>
      </c>
      <c r="B27" s="287" t="s">
        <v>112</v>
      </c>
      <c r="C27" s="288">
        <f>C28</f>
        <v>2908</v>
      </c>
      <c r="D27" s="278">
        <f>C29</f>
        <v>2.5000000000000001E-3</v>
      </c>
      <c r="E27" s="279" t="s">
        <v>126</v>
      </c>
      <c r="F27" s="289">
        <f>'数据-取费表'!Q16</f>
        <v>0.13</v>
      </c>
      <c r="G27" s="290" t="s">
        <v>1065</v>
      </c>
    </row>
    <row r="28" spans="1:7" s="257" customFormat="1" ht="13.5" customHeight="1">
      <c r="A28" s="950" t="s">
        <v>793</v>
      </c>
      <c r="B28" s="291" t="s">
        <v>1058</v>
      </c>
      <c r="C28" s="292">
        <f>ROUND((C5+C19+C20)*F27*'数据-取费表'!B21/'数据-取费表'!B20,0)</f>
        <v>2908</v>
      </c>
      <c r="D28" s="278"/>
      <c r="E28" s="279"/>
      <c r="F28" s="289"/>
      <c r="G28" s="290"/>
    </row>
    <row r="29" spans="1:7" s="257" customFormat="1" ht="13.5" customHeight="1">
      <c r="A29" s="950" t="s">
        <v>791</v>
      </c>
      <c r="B29" s="291" t="s">
        <v>1059</v>
      </c>
      <c r="C29" s="281">
        <f>ROUND(C21*F27*'数据-取费表'!B21/'数据-取费表'!B20,4)</f>
        <v>2.5000000000000001E-3</v>
      </c>
      <c r="D29" s="278"/>
      <c r="E29" s="279"/>
      <c r="F29" s="289"/>
      <c r="G29" s="290"/>
    </row>
    <row r="30" spans="1:7" s="257" customFormat="1" ht="13.5" customHeight="1">
      <c r="A30" s="947" t="s">
        <v>787</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30981</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781</v>
      </c>
      <c r="B33" s="253" t="s">
        <v>115</v>
      </c>
      <c r="C33" s="299">
        <f>SUM(C34:C38)</f>
        <v>43749</v>
      </c>
      <c r="D33" s="275"/>
      <c r="E33" s="255"/>
      <c r="F33" s="284"/>
      <c r="G33" s="277"/>
    </row>
    <row r="34" spans="1:7" s="301" customFormat="1" ht="13.5" customHeight="1">
      <c r="A34" s="950" t="s">
        <v>793</v>
      </c>
      <c r="B34" s="258" t="s">
        <v>59</v>
      </c>
      <c r="C34" s="263">
        <f>IF(F34=100%,'数据-取费表'!M16-SUMIF('数据-取费表'!C:C,"公共配套",'数据-取费表'!M:M),'数据-取费表'!O16-SUMIF('数据-取费表'!C:C,"公共配套",'数据-取费表'!O:O))</f>
        <v>36749</v>
      </c>
      <c r="D34" s="260"/>
      <c r="E34" s="263"/>
      <c r="F34" s="300">
        <f>IF('数据-取费表'!B24=0,1,'数据-取费表'!N16)</f>
        <v>0.99</v>
      </c>
      <c r="G34" s="262" t="s">
        <v>116</v>
      </c>
    </row>
    <row r="35" spans="1:7" ht="13.5" customHeight="1">
      <c r="A35" s="950" t="s">
        <v>795</v>
      </c>
      <c r="B35" s="258" t="s">
        <v>60</v>
      </c>
      <c r="C35" s="263">
        <f>ROUND(C34*F35,0)</f>
        <v>1837</v>
      </c>
      <c r="D35" s="263"/>
      <c r="E35" s="263"/>
      <c r="F35" s="302">
        <f>'数据-取费表'!B33</f>
        <v>0.05</v>
      </c>
      <c r="G35" s="262" t="s">
        <v>117</v>
      </c>
    </row>
    <row r="36" spans="1:7" ht="24">
      <c r="A36" s="950"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2162</v>
      </c>
      <c r="D36" s="263"/>
      <c r="E36" s="263"/>
      <c r="F36" s="302">
        <f>'数据-取费表'!B34</f>
        <v>0.1</v>
      </c>
      <c r="G36" s="303" t="s">
        <v>62</v>
      </c>
    </row>
    <row r="37" spans="1:7" s="301" customFormat="1" ht="13.5" customHeight="1">
      <c r="A37" s="950" t="s">
        <v>797</v>
      </c>
      <c r="B37" s="258" t="s">
        <v>118</v>
      </c>
      <c r="C37" s="292">
        <f>ROUND(E37*D37*F34/10000,0)</f>
        <v>2450</v>
      </c>
      <c r="D37" s="260">
        <f>'数据-汇总表'!E3</f>
        <v>123740.26</v>
      </c>
      <c r="E37" s="292">
        <f>'数据-取费表'!B35</f>
        <v>200</v>
      </c>
      <c r="F37" s="302"/>
      <c r="G37" s="304" t="s">
        <v>119</v>
      </c>
    </row>
    <row r="38" spans="1:7" ht="13.5" customHeight="1">
      <c r="A38" s="950" t="s">
        <v>798</v>
      </c>
      <c r="B38" s="258" t="s">
        <v>63</v>
      </c>
      <c r="C38" s="263">
        <f>ROUND(C34*F38,0)</f>
        <v>551</v>
      </c>
      <c r="D38" s="263"/>
      <c r="E38" s="263"/>
      <c r="F38" s="302">
        <f>'数据-取费表'!B36</f>
        <v>1.4999999999999999E-2</v>
      </c>
      <c r="G38" s="262" t="s">
        <v>117</v>
      </c>
    </row>
    <row r="39" spans="1:7" s="257" customFormat="1" ht="13.5" customHeight="1">
      <c r="A39" s="947" t="s">
        <v>782</v>
      </c>
      <c r="B39" s="253" t="s">
        <v>104</v>
      </c>
      <c r="C39" s="275">
        <f>ROUND(C33*F20,0)</f>
        <v>875</v>
      </c>
      <c r="D39" s="275"/>
      <c r="E39" s="275"/>
      <c r="F39" s="276"/>
      <c r="G39" s="1288" t="s">
        <v>1067</v>
      </c>
    </row>
    <row r="40" spans="1:7" s="257" customFormat="1" ht="13.5" customHeight="1">
      <c r="A40" s="947" t="s">
        <v>783</v>
      </c>
      <c r="B40" s="253" t="s">
        <v>105</v>
      </c>
      <c r="C40" s="305">
        <f>F21</f>
        <v>0.02</v>
      </c>
      <c r="D40" s="279" t="s">
        <v>129</v>
      </c>
      <c r="E40" s="275"/>
      <c r="F40" s="276"/>
      <c r="G40" s="277" t="s">
        <v>120</v>
      </c>
    </row>
    <row r="41" spans="1:7" s="257" customFormat="1" ht="13.5" customHeight="1">
      <c r="A41" s="947" t="s">
        <v>784</v>
      </c>
      <c r="B41" s="253" t="s">
        <v>107</v>
      </c>
      <c r="C41" s="275">
        <f ca="1">ROUND(SUM(C42:C43),0)</f>
        <v>2011</v>
      </c>
      <c r="D41" s="278">
        <f ca="1">C44</f>
        <v>8.9999999999999998E-4</v>
      </c>
      <c r="E41" s="279" t="s">
        <v>129</v>
      </c>
      <c r="F41" s="280"/>
      <c r="G41" s="1288" t="str">
        <f>IF('数据-取费表'!B22&lt;=1,"单利计息","复利计息")</f>
        <v>复利计息</v>
      </c>
    </row>
    <row r="42" spans="1:7" ht="13.5" customHeight="1">
      <c r="A42" s="950" t="s">
        <v>793</v>
      </c>
      <c r="B42" s="258" t="s">
        <v>1057</v>
      </c>
      <c r="C42" s="281">
        <f ca="1">ROUND(IF('数据-取费表'!B22&lt;=1,C33*F22*'数据-取费表'!B21/2,C33*(POWER((1+F22),'数据-取费表'!B21/2)-1)),0)</f>
        <v>1972</v>
      </c>
      <c r="D42" s="281"/>
      <c r="E42" s="281"/>
      <c r="F42" s="282"/>
      <c r="G42" s="3250" t="s">
        <v>121</v>
      </c>
    </row>
    <row r="43" spans="1:7" ht="13.5" customHeight="1">
      <c r="A43" s="950" t="s">
        <v>791</v>
      </c>
      <c r="B43" s="258" t="s">
        <v>1060</v>
      </c>
      <c r="C43" s="281">
        <f ca="1">ROUND(IF('数据-取费表'!B22&lt;=1,C39*F22*'数据-取费表'!B21/2,C39*(POWER((1+F22),'数据-取费表'!B21/2)-1)),0)</f>
        <v>39</v>
      </c>
      <c r="D43" s="281"/>
      <c r="E43" s="281"/>
      <c r="F43" s="282"/>
      <c r="G43" s="3251"/>
    </row>
    <row r="44" spans="1:7" ht="13.5" customHeight="1">
      <c r="A44" s="950" t="s">
        <v>792</v>
      </c>
      <c r="B44" s="258" t="s">
        <v>1062</v>
      </c>
      <c r="C44" s="281">
        <f ca="1">ROUND(IF('数据-取费表'!B22&lt;=1,C40*F22*'数据-取费表'!B21/2,C40*(POWER((1+F22),'数据-取费表'!B21/2)-1)),4)</f>
        <v>8.9999999999999998E-4</v>
      </c>
      <c r="D44" s="281"/>
      <c r="E44" s="281"/>
      <c r="F44" s="282"/>
      <c r="G44" s="3252"/>
    </row>
    <row r="45" spans="1:7" s="257" customFormat="1" ht="13.5" customHeight="1">
      <c r="A45" s="947" t="s">
        <v>785</v>
      </c>
      <c r="B45" s="287" t="s">
        <v>112</v>
      </c>
      <c r="C45" s="288">
        <f>C46</f>
        <v>5801</v>
      </c>
      <c r="D45" s="278">
        <f>C47</f>
        <v>2.5999999999999999E-3</v>
      </c>
      <c r="E45" s="279" t="s">
        <v>129</v>
      </c>
      <c r="F45" s="289"/>
      <c r="G45" s="290" t="s">
        <v>1068</v>
      </c>
    </row>
    <row r="46" spans="1:7" s="257" customFormat="1" ht="13.5" customHeight="1">
      <c r="A46" s="950" t="s">
        <v>793</v>
      </c>
      <c r="B46" s="291" t="s">
        <v>1061</v>
      </c>
      <c r="C46" s="292">
        <f>ROUND((C33+C39)*F27,0)</f>
        <v>5801</v>
      </c>
      <c r="D46" s="306"/>
      <c r="E46" s="279"/>
      <c r="F46" s="289"/>
      <c r="G46" s="290"/>
    </row>
    <row r="47" spans="1:7" s="257" customFormat="1" ht="13.5" customHeight="1">
      <c r="A47" s="950" t="s">
        <v>791</v>
      </c>
      <c r="B47" s="291" t="s">
        <v>1063</v>
      </c>
      <c r="C47" s="281">
        <f>ROUND(C40*F27,4)</f>
        <v>2.5999999999999999E-3</v>
      </c>
      <c r="D47" s="306"/>
      <c r="E47" s="279"/>
      <c r="F47" s="289"/>
      <c r="G47" s="290"/>
    </row>
    <row r="48" spans="1:7" s="257" customFormat="1" ht="13.5" customHeight="1">
      <c r="A48" s="947" t="s">
        <v>786</v>
      </c>
      <c r="B48" s="253" t="s">
        <v>122</v>
      </c>
      <c r="C48" s="305">
        <f>F30</f>
        <v>5.6000000000000001E-2</v>
      </c>
      <c r="D48" s="279" t="s">
        <v>130</v>
      </c>
      <c r="E48" s="275"/>
      <c r="F48" s="280"/>
      <c r="G48" s="277" t="s">
        <v>123</v>
      </c>
    </row>
    <row r="49" spans="1:7" ht="16.5" customHeight="1">
      <c r="A49" s="947" t="s">
        <v>787</v>
      </c>
      <c r="B49" s="253" t="s">
        <v>131</v>
      </c>
      <c r="C49" s="275">
        <f ca="1">ROUND((C33+C39+C41+C45)/(1-C40-D41-D45-C48/(1+'数据-取费表'!B42)),0)</f>
        <v>56800</v>
      </c>
      <c r="D49" s="275"/>
      <c r="E49" s="275"/>
      <c r="F49" s="307"/>
      <c r="G49" s="277" t="s">
        <v>1069</v>
      </c>
    </row>
    <row r="50" spans="1:7" s="301" customFormat="1" ht="24">
      <c r="A50" s="947" t="s">
        <v>788</v>
      </c>
      <c r="B50" s="253" t="s">
        <v>124</v>
      </c>
      <c r="C50" s="275"/>
      <c r="D50" s="275"/>
      <c r="E50" s="275"/>
      <c r="F50" s="307">
        <f>IF('数据-取费表'!B24=0,'数据-取费表'!N16,1)</f>
        <v>1</v>
      </c>
      <c r="G50" s="290" t="s">
        <v>125</v>
      </c>
    </row>
    <row r="51" spans="1:7" ht="16.5" customHeight="1">
      <c r="A51" s="947" t="s">
        <v>789</v>
      </c>
      <c r="B51" s="253" t="s">
        <v>132</v>
      </c>
      <c r="C51" s="275">
        <f ca="1">ROUND(C49*F50,0)</f>
        <v>56800</v>
      </c>
      <c r="D51" s="275"/>
      <c r="E51" s="275"/>
      <c r="F51" s="307"/>
      <c r="G51" s="277" t="s">
        <v>64</v>
      </c>
    </row>
    <row r="52" spans="1:7" s="251" customFormat="1" ht="16.5" thickBot="1">
      <c r="A52" s="308" t="s">
        <v>65</v>
      </c>
      <c r="B52" s="309"/>
      <c r="C52" s="310">
        <f ca="1">C31+C51</f>
        <v>87781</v>
      </c>
      <c r="D52" s="309"/>
      <c r="E52" s="309"/>
      <c r="F52" s="309"/>
      <c r="G52" s="311"/>
    </row>
    <row r="55" spans="1:7" ht="15">
      <c r="B55" s="313" t="s">
        <v>66</v>
      </c>
      <c r="C55" s="314"/>
    </row>
    <row r="56" spans="1:7">
      <c r="B56" s="316" t="s">
        <v>67</v>
      </c>
      <c r="C56" s="317">
        <f ca="1">ROUND(C51/C52,3)</f>
        <v>0.64700000000000002</v>
      </c>
    </row>
    <row r="57" spans="1:7">
      <c r="B57" s="316" t="s">
        <v>68</v>
      </c>
      <c r="C57" s="318">
        <f ca="1">1-C56</f>
        <v>0.35299999999999998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45" t="s">
        <v>156</v>
      </c>
      <c r="B1" s="3345"/>
      <c r="C1" s="3345"/>
      <c r="D1" s="3345"/>
      <c r="E1" s="3345"/>
      <c r="F1" s="334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46" t="s">
        <v>169</v>
      </c>
      <c r="B2" s="3346"/>
      <c r="C2" s="3346"/>
      <c r="D2" s="3346"/>
      <c r="E2" s="3346"/>
      <c r="F2" s="334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4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45" t="s">
        <v>867</v>
      </c>
      <c r="B1" s="334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6" t="s">
        <v>874</v>
      </c>
      <c r="B5" s="837" t="s">
        <v>875</v>
      </c>
      <c r="C5" s="1061">
        <v>8.8999999999999996E-2</v>
      </c>
      <c r="D5" s="1061">
        <v>7.3999999999999996E-2</v>
      </c>
      <c r="E5" s="1061">
        <v>7.4999999999999997E-2</v>
      </c>
      <c r="F5" s="1062">
        <v>0.1</v>
      </c>
    </row>
    <row r="6" spans="1:6" ht="14.25" thickBot="1">
      <c r="A6" s="836" t="s">
        <v>212</v>
      </c>
      <c r="B6" s="830" t="s">
        <v>876</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877</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878</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879</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880</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881</v>
      </c>
      <c r="C72" s="1076"/>
      <c r="D72" s="1076"/>
      <c r="E72" s="1076"/>
      <c r="F72" s="1064">
        <v>0.05</v>
      </c>
    </row>
    <row r="73" spans="1:6" ht="14.25" thickBot="1">
      <c r="A73" s="836" t="s">
        <v>137</v>
      </c>
      <c r="B73" s="830" t="s">
        <v>882</v>
      </c>
      <c r="C73" s="1076"/>
      <c r="D73" s="1076"/>
      <c r="E73" s="1076"/>
      <c r="F73" s="1064">
        <v>0.05</v>
      </c>
    </row>
    <row r="74" spans="1:6" ht="14.25" thickBot="1">
      <c r="A74" s="836" t="s">
        <v>137</v>
      </c>
      <c r="B74" s="830" t="s">
        <v>883</v>
      </c>
      <c r="C74" s="1076"/>
      <c r="D74" s="1076"/>
      <c r="E74" s="1076"/>
      <c r="F74" s="1064">
        <v>0.05</v>
      </c>
    </row>
    <row r="75" spans="1:6" ht="14.25" thickBot="1">
      <c r="A75" s="846" t="s">
        <v>137</v>
      </c>
      <c r="B75" s="842" t="s">
        <v>884</v>
      </c>
      <c r="C75" s="1073"/>
      <c r="D75" s="1073"/>
      <c r="E75" s="1073"/>
      <c r="F75" s="1066">
        <v>0.05</v>
      </c>
    </row>
    <row r="76" spans="1:6" ht="14.25" thickBot="1">
      <c r="A76" s="836" t="s">
        <v>523</v>
      </c>
      <c r="B76" s="837" t="s">
        <v>885</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886</v>
      </c>
      <c r="C102" s="1076"/>
      <c r="D102" s="1076"/>
      <c r="E102" s="1076"/>
      <c r="F102" s="1064">
        <v>0.05</v>
      </c>
    </row>
    <row r="103" spans="1:6" ht="24.75" thickBot="1">
      <c r="A103" s="836" t="s">
        <v>523</v>
      </c>
      <c r="B103" s="830" t="s">
        <v>887</v>
      </c>
      <c r="C103" s="1076"/>
      <c r="D103" s="1076"/>
      <c r="E103" s="1076"/>
      <c r="F103" s="1064">
        <v>0.05</v>
      </c>
    </row>
    <row r="104" spans="1:6" ht="14.25" thickBot="1">
      <c r="A104" s="836" t="s">
        <v>523</v>
      </c>
      <c r="B104" s="830" t="s">
        <v>888</v>
      </c>
      <c r="C104" s="1076"/>
      <c r="D104" s="1076"/>
      <c r="E104" s="1076"/>
      <c r="F104" s="1064">
        <v>0.05</v>
      </c>
    </row>
    <row r="105" spans="1:6" ht="14.25" thickBot="1">
      <c r="A105" s="836" t="s">
        <v>523</v>
      </c>
      <c r="B105" s="830" t="s">
        <v>889</v>
      </c>
      <c r="C105" s="1076"/>
      <c r="D105" s="1076"/>
      <c r="E105" s="1076"/>
      <c r="F105" s="1064">
        <v>0.05</v>
      </c>
    </row>
    <row r="106" spans="1:6" ht="14.25" thickBot="1">
      <c r="A106" s="836" t="s">
        <v>523</v>
      </c>
      <c r="B106" s="830" t="s">
        <v>890</v>
      </c>
      <c r="C106" s="1076"/>
      <c r="D106" s="1076"/>
      <c r="E106" s="1076"/>
      <c r="F106" s="1064">
        <v>0.05</v>
      </c>
    </row>
    <row r="107" spans="1:6" ht="24.75" thickBot="1">
      <c r="A107" s="836" t="s">
        <v>523</v>
      </c>
      <c r="B107" s="830" t="s">
        <v>891</v>
      </c>
      <c r="C107" s="1076"/>
      <c r="D107" s="1076"/>
      <c r="E107" s="1076"/>
      <c r="F107" s="1064">
        <v>0.05</v>
      </c>
    </row>
    <row r="108" spans="1:6" ht="24.75" thickBot="1">
      <c r="A108" s="836" t="s">
        <v>523</v>
      </c>
      <c r="B108" s="830" t="s">
        <v>892</v>
      </c>
      <c r="C108" s="1076"/>
      <c r="D108" s="1076"/>
      <c r="E108" s="1076"/>
      <c r="F108" s="1064">
        <v>0.05</v>
      </c>
    </row>
    <row r="109" spans="1:6" ht="24.75" thickBot="1">
      <c r="A109" s="846" t="s">
        <v>523</v>
      </c>
      <c r="B109" s="842" t="s">
        <v>893</v>
      </c>
      <c r="C109" s="1073"/>
      <c r="D109" s="1073"/>
      <c r="E109" s="1073"/>
      <c r="F109" s="1066">
        <v>0.05</v>
      </c>
    </row>
    <row r="110" spans="1:6" ht="14.25" thickBot="1">
      <c r="A110" s="836" t="s">
        <v>56</v>
      </c>
      <c r="B110" s="837" t="s">
        <v>894</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895</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896</v>
      </c>
      <c r="C138" s="1063">
        <v>0.105</v>
      </c>
      <c r="D138" s="1063">
        <v>0.125</v>
      </c>
      <c r="E138" s="1063">
        <v>0.112</v>
      </c>
      <c r="F138" s="1075"/>
    </row>
    <row r="139" spans="1:6" ht="14.25" thickBot="1">
      <c r="A139" s="836" t="s">
        <v>56</v>
      </c>
      <c r="B139" s="830" t="s">
        <v>897</v>
      </c>
      <c r="C139" s="1063">
        <v>0.127</v>
      </c>
      <c r="D139" s="1063">
        <v>0.127</v>
      </c>
      <c r="E139" s="1063">
        <v>0.122</v>
      </c>
      <c r="F139" s="1064">
        <v>0.13</v>
      </c>
    </row>
    <row r="140" spans="1:6" ht="14.25" thickBot="1">
      <c r="A140" s="836" t="s">
        <v>56</v>
      </c>
      <c r="B140" s="830" t="s">
        <v>898</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899</v>
      </c>
      <c r="C144" s="1068">
        <v>0.126</v>
      </c>
      <c r="D144" s="1068">
        <v>0.126</v>
      </c>
      <c r="E144" s="1068">
        <v>0.121</v>
      </c>
      <c r="F144" s="1075"/>
    </row>
    <row r="145" spans="1:6" ht="14.25" thickBot="1">
      <c r="A145" s="846" t="s">
        <v>56</v>
      </c>
      <c r="B145" s="1069" t="s">
        <v>900</v>
      </c>
      <c r="C145" s="1077"/>
      <c r="D145" s="1077"/>
      <c r="E145" s="1077"/>
      <c r="F145" s="1070">
        <v>0.05</v>
      </c>
    </row>
    <row r="146" spans="1:6" ht="24.75" thickBot="1">
      <c r="A146" s="1071" t="s">
        <v>56</v>
      </c>
      <c r="B146" s="840" t="s">
        <v>901</v>
      </c>
      <c r="C146" s="1076"/>
      <c r="D146" s="1076"/>
      <c r="E146" s="1076"/>
      <c r="F146" s="1072">
        <v>0.05</v>
      </c>
    </row>
    <row r="147" spans="1:6" ht="24.75" thickBot="1">
      <c r="A147" s="836" t="s">
        <v>56</v>
      </c>
      <c r="B147" s="830" t="s">
        <v>902</v>
      </c>
      <c r="C147" s="1076"/>
      <c r="D147" s="1076"/>
      <c r="E147" s="1076"/>
      <c r="F147" s="1064">
        <v>0.05</v>
      </c>
    </row>
    <row r="148" spans="1:6" ht="24.75" thickBot="1">
      <c r="A148" s="836" t="s">
        <v>56</v>
      </c>
      <c r="B148" s="830" t="s">
        <v>903</v>
      </c>
      <c r="C148" s="1076"/>
      <c r="D148" s="1076"/>
      <c r="E148" s="1076"/>
      <c r="F148" s="1064">
        <v>0.05</v>
      </c>
    </row>
    <row r="149" spans="1:6" ht="24.75" thickBot="1">
      <c r="A149" s="836" t="s">
        <v>56</v>
      </c>
      <c r="B149" s="830" t="s">
        <v>904</v>
      </c>
      <c r="C149" s="1076"/>
      <c r="D149" s="1076"/>
      <c r="E149" s="1076"/>
      <c r="F149" s="1064">
        <v>0.05</v>
      </c>
    </row>
    <row r="150" spans="1:6" ht="24.75" thickBot="1">
      <c r="A150" s="836" t="s">
        <v>56</v>
      </c>
      <c r="B150" s="830" t="s">
        <v>905</v>
      </c>
      <c r="C150" s="1076"/>
      <c r="D150" s="1076"/>
      <c r="E150" s="1076"/>
      <c r="F150" s="1064">
        <v>0.05</v>
      </c>
    </row>
    <row r="151" spans="1:6" ht="24.75" thickBot="1">
      <c r="A151" s="836" t="s">
        <v>56</v>
      </c>
      <c r="B151" s="830" t="s">
        <v>906</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907</v>
      </c>
      <c r="C153" s="1076"/>
      <c r="D153" s="1076"/>
      <c r="E153" s="1076"/>
      <c r="F153" s="1064">
        <v>0.05</v>
      </c>
    </row>
    <row r="154" spans="1:6" ht="14.25" thickBot="1">
      <c r="A154" s="836" t="s">
        <v>56</v>
      </c>
      <c r="B154" s="830" t="s">
        <v>908</v>
      </c>
      <c r="C154" s="1076"/>
      <c r="D154" s="1076"/>
      <c r="E154" s="1076"/>
      <c r="F154" s="1064">
        <v>0.05</v>
      </c>
    </row>
    <row r="155" spans="1:6" ht="24.75" thickBot="1">
      <c r="A155" s="836" t="s">
        <v>56</v>
      </c>
      <c r="B155" s="830" t="s">
        <v>909</v>
      </c>
      <c r="C155" s="1076"/>
      <c r="D155" s="1076"/>
      <c r="E155" s="1076"/>
      <c r="F155" s="1064">
        <v>0.05</v>
      </c>
    </row>
    <row r="156" spans="1:6" ht="24.75" thickBot="1">
      <c r="A156" s="836" t="s">
        <v>56</v>
      </c>
      <c r="B156" s="830" t="s">
        <v>910</v>
      </c>
      <c r="C156" s="1076"/>
      <c r="D156" s="1076"/>
      <c r="E156" s="1076"/>
      <c r="F156" s="1064">
        <v>0.05</v>
      </c>
    </row>
    <row r="157" spans="1:6" ht="14.25" thickBot="1">
      <c r="A157" s="846" t="s">
        <v>56</v>
      </c>
      <c r="B157" s="842" t="s">
        <v>911</v>
      </c>
      <c r="C157" s="1073"/>
      <c r="D157" s="1073"/>
      <c r="E157" s="1073"/>
      <c r="F157" s="1066">
        <v>0.05</v>
      </c>
    </row>
    <row r="158" spans="1:6" ht="14.25" thickBot="1">
      <c r="A158" s="836" t="s">
        <v>526</v>
      </c>
      <c r="B158" s="837" t="s">
        <v>912</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913</v>
      </c>
      <c r="C171" s="1063">
        <v>0.127</v>
      </c>
      <c r="D171" s="1063">
        <v>0.126</v>
      </c>
      <c r="E171" s="1063">
        <v>0.126</v>
      </c>
      <c r="F171" s="1064">
        <v>0.11799999999999999</v>
      </c>
    </row>
    <row r="172" spans="1:6" ht="14.25" thickBot="1">
      <c r="A172" s="836" t="s">
        <v>526</v>
      </c>
      <c r="B172" s="830" t="s">
        <v>914</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915</v>
      </c>
      <c r="C174" s="1063">
        <v>0.13</v>
      </c>
      <c r="D174" s="1063">
        <v>0.13</v>
      </c>
      <c r="E174" s="1063">
        <v>0.13</v>
      </c>
      <c r="F174" s="1064">
        <v>0.13</v>
      </c>
    </row>
    <row r="175" spans="1:6" ht="14.25" thickBot="1">
      <c r="A175" s="836" t="s">
        <v>526</v>
      </c>
      <c r="B175" s="830" t="s">
        <v>916</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917</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918</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919</v>
      </c>
      <c r="C185" s="1063">
        <v>0.127</v>
      </c>
      <c r="D185" s="1063">
        <v>0.127</v>
      </c>
      <c r="E185" s="1063">
        <v>0.128</v>
      </c>
      <c r="F185" s="1064">
        <v>0.13</v>
      </c>
    </row>
    <row r="186" spans="1:6" ht="24.75" thickBot="1">
      <c r="A186" s="836" t="s">
        <v>526</v>
      </c>
      <c r="B186" s="830" t="s">
        <v>920</v>
      </c>
      <c r="C186" s="1076"/>
      <c r="D186" s="1076"/>
      <c r="E186" s="1076"/>
      <c r="F186" s="1064">
        <v>0.05</v>
      </c>
    </row>
    <row r="187" spans="1:6" ht="14.25" thickBot="1">
      <c r="A187" s="836" t="s">
        <v>526</v>
      </c>
      <c r="B187" s="830" t="s">
        <v>921</v>
      </c>
      <c r="C187" s="1076"/>
      <c r="D187" s="1076"/>
      <c r="E187" s="1076"/>
      <c r="F187" s="1064">
        <v>0.05</v>
      </c>
    </row>
    <row r="188" spans="1:6" ht="14.25" thickBot="1">
      <c r="A188" s="836" t="s">
        <v>526</v>
      </c>
      <c r="B188" s="830" t="s">
        <v>922</v>
      </c>
      <c r="C188" s="1076"/>
      <c r="D188" s="1076"/>
      <c r="E188" s="1076"/>
      <c r="F188" s="1064">
        <v>0.05</v>
      </c>
    </row>
    <row r="189" spans="1:6" ht="24.75" thickBot="1">
      <c r="A189" s="836" t="s">
        <v>526</v>
      </c>
      <c r="B189" s="830" t="s">
        <v>923</v>
      </c>
      <c r="C189" s="1076"/>
      <c r="D189" s="1076"/>
      <c r="E189" s="1076"/>
      <c r="F189" s="1064">
        <v>0.05</v>
      </c>
    </row>
    <row r="190" spans="1:6" ht="24.75" thickBot="1">
      <c r="A190" s="836" t="s">
        <v>526</v>
      </c>
      <c r="B190" s="830" t="s">
        <v>924</v>
      </c>
      <c r="C190" s="1076"/>
      <c r="D190" s="1076"/>
      <c r="E190" s="1076"/>
      <c r="F190" s="1064">
        <v>0.05</v>
      </c>
    </row>
    <row r="191" spans="1:6" ht="24.75" thickBot="1">
      <c r="A191" s="836" t="s">
        <v>526</v>
      </c>
      <c r="B191" s="830" t="s">
        <v>925</v>
      </c>
      <c r="C191" s="1076"/>
      <c r="D191" s="1076"/>
      <c r="E191" s="1076"/>
      <c r="F191" s="1064">
        <v>0.05</v>
      </c>
    </row>
    <row r="192" spans="1:6" ht="24.75" thickBot="1">
      <c r="A192" s="836" t="s">
        <v>526</v>
      </c>
      <c r="B192" s="830" t="s">
        <v>926</v>
      </c>
      <c r="C192" s="1076"/>
      <c r="D192" s="1076"/>
      <c r="E192" s="1076"/>
      <c r="F192" s="1064">
        <v>0.05</v>
      </c>
    </row>
    <row r="193" spans="1:6" ht="24.75" thickBot="1">
      <c r="A193" s="836" t="s">
        <v>526</v>
      </c>
      <c r="B193" s="830" t="s">
        <v>927</v>
      </c>
      <c r="C193" s="1076"/>
      <c r="D193" s="1076"/>
      <c r="E193" s="1076"/>
      <c r="F193" s="1064">
        <v>0.05</v>
      </c>
    </row>
    <row r="194" spans="1:6" ht="24.75" thickBot="1">
      <c r="A194" s="836" t="s">
        <v>526</v>
      </c>
      <c r="B194" s="830" t="s">
        <v>928</v>
      </c>
      <c r="C194" s="1076"/>
      <c r="D194" s="1076"/>
      <c r="E194" s="1076"/>
      <c r="F194" s="1064">
        <v>0.05</v>
      </c>
    </row>
    <row r="195" spans="1:6" ht="14.25" thickBot="1">
      <c r="A195" s="836" t="s">
        <v>526</v>
      </c>
      <c r="B195" s="830" t="s">
        <v>929</v>
      </c>
      <c r="C195" s="1076"/>
      <c r="D195" s="1076"/>
      <c r="E195" s="1076"/>
      <c r="F195" s="1064">
        <v>0.05</v>
      </c>
    </row>
    <row r="196" spans="1:6" ht="24.75" thickBot="1">
      <c r="A196" s="836" t="s">
        <v>526</v>
      </c>
      <c r="B196" s="830" t="s">
        <v>930</v>
      </c>
      <c r="C196" s="1076"/>
      <c r="D196" s="1076"/>
      <c r="E196" s="1076"/>
      <c r="F196" s="1064">
        <v>0.05</v>
      </c>
    </row>
    <row r="197" spans="1:6" ht="24.75" thickBot="1">
      <c r="A197" s="836" t="s">
        <v>526</v>
      </c>
      <c r="B197" s="830" t="s">
        <v>931</v>
      </c>
      <c r="C197" s="1076"/>
      <c r="D197" s="1076"/>
      <c r="E197" s="1076"/>
      <c r="F197" s="1064">
        <v>0.05</v>
      </c>
    </row>
    <row r="198" spans="1:6" ht="24.75" thickBot="1">
      <c r="A198" s="836" t="s">
        <v>526</v>
      </c>
      <c r="B198" s="830" t="s">
        <v>932</v>
      </c>
      <c r="C198" s="1076"/>
      <c r="D198" s="1076"/>
      <c r="E198" s="1076"/>
      <c r="F198" s="1064">
        <v>0.05</v>
      </c>
    </row>
    <row r="199" spans="1:6" ht="24.75" thickBot="1">
      <c r="A199" s="836" t="s">
        <v>526</v>
      </c>
      <c r="B199" s="830" t="s">
        <v>933</v>
      </c>
      <c r="C199" s="1076"/>
      <c r="D199" s="1076"/>
      <c r="E199" s="1076"/>
      <c r="F199" s="1064">
        <v>0.05</v>
      </c>
    </row>
    <row r="200" spans="1:6" ht="24.75" thickBot="1">
      <c r="A200" s="836" t="s">
        <v>526</v>
      </c>
      <c r="B200" s="830" t="s">
        <v>934</v>
      </c>
      <c r="C200" s="1076"/>
      <c r="D200" s="1076"/>
      <c r="E200" s="1076"/>
      <c r="F200" s="1064">
        <v>0.05</v>
      </c>
    </row>
    <row r="201" spans="1:6" ht="24.75" thickBot="1">
      <c r="A201" s="836" t="s">
        <v>526</v>
      </c>
      <c r="B201" s="830" t="s">
        <v>935</v>
      </c>
      <c r="C201" s="1076"/>
      <c r="D201" s="1076"/>
      <c r="E201" s="1076"/>
      <c r="F201" s="1064">
        <v>0.05</v>
      </c>
    </row>
    <row r="202" spans="1:6" ht="24.75" thickBot="1">
      <c r="A202" s="836" t="s">
        <v>526</v>
      </c>
      <c r="B202" s="830" t="s">
        <v>936</v>
      </c>
      <c r="C202" s="1076"/>
      <c r="D202" s="1076"/>
      <c r="E202" s="1076"/>
      <c r="F202" s="1064">
        <v>0.05</v>
      </c>
    </row>
    <row r="203" spans="1:6" ht="24.75" thickBot="1">
      <c r="A203" s="836" t="s">
        <v>526</v>
      </c>
      <c r="B203" s="830" t="s">
        <v>937</v>
      </c>
      <c r="C203" s="1076"/>
      <c r="D203" s="1076"/>
      <c r="E203" s="1076"/>
      <c r="F203" s="1064">
        <v>0.05</v>
      </c>
    </row>
    <row r="204" spans="1:6" ht="14.25" thickBot="1">
      <c r="A204" s="836" t="s">
        <v>526</v>
      </c>
      <c r="B204" s="830" t="s">
        <v>938</v>
      </c>
      <c r="C204" s="1076"/>
      <c r="D204" s="1076"/>
      <c r="E204" s="1076"/>
      <c r="F204" s="1064">
        <v>0.05</v>
      </c>
    </row>
    <row r="205" spans="1:6" ht="14.25" thickBot="1">
      <c r="A205" s="846" t="s">
        <v>526</v>
      </c>
      <c r="B205" s="842" t="s">
        <v>939</v>
      </c>
      <c r="C205" s="1073"/>
      <c r="D205" s="1073"/>
      <c r="E205" s="1073"/>
      <c r="F205" s="1066">
        <v>0.05</v>
      </c>
    </row>
    <row r="206" spans="1:6" ht="14.25" thickBot="1">
      <c r="A206" s="836" t="s">
        <v>528</v>
      </c>
      <c r="B206" s="837" t="s">
        <v>940</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941</v>
      </c>
      <c r="C210" s="1063">
        <v>0.15</v>
      </c>
      <c r="D210" s="1063">
        <v>0.15</v>
      </c>
      <c r="E210" s="1063">
        <v>0.15</v>
      </c>
      <c r="F210" s="1064">
        <v>0.13800000000000001</v>
      </c>
    </row>
    <row r="211" spans="1:6" ht="14.25" thickBot="1">
      <c r="A211" s="836" t="s">
        <v>528</v>
      </c>
      <c r="B211" s="830" t="s">
        <v>942</v>
      </c>
      <c r="C211" s="1063">
        <v>0.13700000000000001</v>
      </c>
      <c r="D211" s="1063">
        <v>0.13500000000000001</v>
      </c>
      <c r="E211" s="1063">
        <v>0.13600000000000001</v>
      </c>
      <c r="F211" s="1064">
        <v>0.1</v>
      </c>
    </row>
    <row r="212" spans="1:6" ht="14.25" thickBot="1">
      <c r="A212" s="836" t="s">
        <v>528</v>
      </c>
      <c r="B212" s="830" t="s">
        <v>943</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944</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945</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946</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947</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948</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949</v>
      </c>
      <c r="C231" s="1063">
        <v>0.128</v>
      </c>
      <c r="D231" s="1063">
        <v>0.125</v>
      </c>
      <c r="E231" s="1063">
        <v>0.13200000000000001</v>
      </c>
      <c r="F231" s="1075"/>
    </row>
    <row r="232" spans="1:6" ht="14.25" thickBot="1">
      <c r="A232" s="836" t="s">
        <v>528</v>
      </c>
      <c r="B232" s="830" t="s">
        <v>950</v>
      </c>
      <c r="C232" s="1063">
        <v>0.14499999999999999</v>
      </c>
      <c r="D232" s="1063">
        <v>0.14399999999999999</v>
      </c>
      <c r="E232" s="1063">
        <v>0.14599999999999999</v>
      </c>
      <c r="F232" s="1064">
        <v>0.13800000000000001</v>
      </c>
    </row>
    <row r="233" spans="1:6" ht="14.25" thickBot="1">
      <c r="A233" s="836" t="s">
        <v>528</v>
      </c>
      <c r="B233" s="830" t="s">
        <v>951</v>
      </c>
      <c r="C233" s="1063">
        <v>0.14499999999999999</v>
      </c>
      <c r="D233" s="1063">
        <v>0.14299999999999999</v>
      </c>
      <c r="E233" s="1063">
        <v>0.14199999999999999</v>
      </c>
      <c r="F233" s="1075"/>
    </row>
    <row r="234" spans="1:6" ht="14.25" thickBot="1">
      <c r="A234" s="836" t="s">
        <v>528</v>
      </c>
      <c r="B234" s="830" t="s">
        <v>952</v>
      </c>
      <c r="C234" s="1063">
        <v>0.14000000000000001</v>
      </c>
      <c r="D234" s="1063">
        <v>0.14000000000000001</v>
      </c>
      <c r="E234" s="1063">
        <v>0.14399999999999999</v>
      </c>
      <c r="F234" s="1075"/>
    </row>
    <row r="235" spans="1:6" ht="14.25" thickBot="1">
      <c r="A235" s="836" t="s">
        <v>528</v>
      </c>
      <c r="B235" s="830" t="s">
        <v>953</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954</v>
      </c>
      <c r="C237" s="1076"/>
      <c r="D237" s="1076"/>
      <c r="E237" s="1076"/>
      <c r="F237" s="1064">
        <v>0.05</v>
      </c>
    </row>
    <row r="238" spans="1:6" ht="24.75" thickBot="1">
      <c r="A238" s="836" t="s">
        <v>528</v>
      </c>
      <c r="B238" s="830" t="s">
        <v>955</v>
      </c>
      <c r="C238" s="1076"/>
      <c r="D238" s="1076"/>
      <c r="E238" s="1076"/>
      <c r="F238" s="1064">
        <v>0.05</v>
      </c>
    </row>
    <row r="239" spans="1:6" ht="24.75" thickBot="1">
      <c r="A239" s="836" t="s">
        <v>528</v>
      </c>
      <c r="B239" s="830" t="s">
        <v>956</v>
      </c>
      <c r="C239" s="1076"/>
      <c r="D239" s="1076"/>
      <c r="E239" s="1076"/>
      <c r="F239" s="1064">
        <v>0.05</v>
      </c>
    </row>
    <row r="240" spans="1:6" ht="24.75" thickBot="1">
      <c r="A240" s="836" t="s">
        <v>528</v>
      </c>
      <c r="B240" s="830" t="s">
        <v>957</v>
      </c>
      <c r="C240" s="1076"/>
      <c r="D240" s="1076"/>
      <c r="E240" s="1076"/>
      <c r="F240" s="1064">
        <v>0.05</v>
      </c>
    </row>
    <row r="241" spans="1:6" ht="24.75" thickBot="1">
      <c r="A241" s="836" t="s">
        <v>528</v>
      </c>
      <c r="B241" s="830" t="s">
        <v>958</v>
      </c>
      <c r="C241" s="1076"/>
      <c r="D241" s="1076"/>
      <c r="E241" s="1076"/>
      <c r="F241" s="1064">
        <v>0.05</v>
      </c>
    </row>
    <row r="242" spans="1:6" ht="24.75" thickBot="1">
      <c r="A242" s="836" t="s">
        <v>528</v>
      </c>
      <c r="B242" s="830" t="s">
        <v>959</v>
      </c>
      <c r="C242" s="1076"/>
      <c r="D242" s="1076"/>
      <c r="E242" s="1076"/>
      <c r="F242" s="1064">
        <v>0.05</v>
      </c>
    </row>
    <row r="243" spans="1:6" ht="24.75" thickBot="1">
      <c r="A243" s="836" t="s">
        <v>528</v>
      </c>
      <c r="B243" s="830" t="s">
        <v>960</v>
      </c>
      <c r="C243" s="1076"/>
      <c r="D243" s="1076"/>
      <c r="E243" s="1076"/>
      <c r="F243" s="1064">
        <v>0.05</v>
      </c>
    </row>
    <row r="244" spans="1:6" ht="24.75" thickBot="1">
      <c r="A244" s="846" t="s">
        <v>528</v>
      </c>
      <c r="B244" s="842" t="s">
        <v>961</v>
      </c>
      <c r="C244" s="1073"/>
      <c r="D244" s="1073"/>
      <c r="E244" s="1073"/>
      <c r="F244" s="1066">
        <v>0.05</v>
      </c>
    </row>
    <row r="245" spans="1:6" ht="14.25" thickBot="1">
      <c r="A245" s="836" t="s">
        <v>530</v>
      </c>
      <c r="B245" s="837" t="s">
        <v>962</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963</v>
      </c>
      <c r="C247" s="1063">
        <v>0.15</v>
      </c>
      <c r="D247" s="1063">
        <v>0.15</v>
      </c>
      <c r="E247" s="1063">
        <v>0.15</v>
      </c>
      <c r="F247" s="1064">
        <v>0.15</v>
      </c>
    </row>
    <row r="248" spans="1:6" ht="14.25" thickBot="1">
      <c r="A248" s="836" t="s">
        <v>530</v>
      </c>
      <c r="B248" s="830" t="s">
        <v>964</v>
      </c>
      <c r="C248" s="1063">
        <v>0.15</v>
      </c>
      <c r="D248" s="1063">
        <v>0.15</v>
      </c>
      <c r="E248" s="1063">
        <v>0.15</v>
      </c>
      <c r="F248" s="1064">
        <v>0.14000000000000001</v>
      </c>
    </row>
    <row r="249" spans="1:6" ht="14.25" thickBot="1">
      <c r="A249" s="836" t="s">
        <v>530</v>
      </c>
      <c r="B249" s="830" t="s">
        <v>965</v>
      </c>
      <c r="C249" s="1063">
        <v>0.15</v>
      </c>
      <c r="D249" s="1063">
        <v>0.14899999999999999</v>
      </c>
      <c r="E249" s="1063">
        <v>0.15</v>
      </c>
      <c r="F249" s="1064">
        <v>0.1</v>
      </c>
    </row>
    <row r="250" spans="1:6" ht="14.25" thickBot="1">
      <c r="A250" s="836" t="s">
        <v>530</v>
      </c>
      <c r="B250" s="830" t="s">
        <v>966</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967</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968</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969</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970</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971</v>
      </c>
      <c r="C273" s="1063">
        <v>0.14199999999999999</v>
      </c>
      <c r="D273" s="1063">
        <v>0.14299999999999999</v>
      </c>
      <c r="E273" s="1063">
        <v>0.15</v>
      </c>
      <c r="F273" s="1064">
        <v>0.1</v>
      </c>
    </row>
    <row r="274" spans="1:6" ht="14.25" thickBot="1">
      <c r="A274" s="836" t="s">
        <v>530</v>
      </c>
      <c r="B274" s="830" t="s">
        <v>972</v>
      </c>
      <c r="C274" s="1063">
        <v>0.14799999999999999</v>
      </c>
      <c r="D274" s="1063">
        <v>0.14799999999999999</v>
      </c>
      <c r="E274" s="1063">
        <v>0.15</v>
      </c>
      <c r="F274" s="1064">
        <v>6.7000000000000004E-2</v>
      </c>
    </row>
    <row r="275" spans="1:6" ht="14.25" thickBot="1">
      <c r="A275" s="836" t="s">
        <v>530</v>
      </c>
      <c r="B275" s="830" t="s">
        <v>973</v>
      </c>
      <c r="C275" s="1063">
        <v>0.15</v>
      </c>
      <c r="D275" s="1063">
        <v>0.15</v>
      </c>
      <c r="E275" s="1063">
        <v>0.15</v>
      </c>
      <c r="F275" s="1064">
        <v>0.15</v>
      </c>
    </row>
    <row r="276" spans="1:6" ht="14.25" thickBot="1">
      <c r="A276" s="836" t="s">
        <v>530</v>
      </c>
      <c r="B276" s="830" t="s">
        <v>974</v>
      </c>
      <c r="C276" s="1063">
        <v>0.14499999999999999</v>
      </c>
      <c r="D276" s="1063">
        <v>0.14299999999999999</v>
      </c>
      <c r="E276" s="1063">
        <v>0.15</v>
      </c>
      <c r="F276" s="1064">
        <v>5.8999999999999997E-2</v>
      </c>
    </row>
    <row r="277" spans="1:6" ht="14.25" thickBot="1">
      <c r="A277" s="836" t="s">
        <v>530</v>
      </c>
      <c r="B277" s="830" t="s">
        <v>975</v>
      </c>
      <c r="C277" s="1063">
        <v>0.15</v>
      </c>
      <c r="D277" s="1063">
        <v>0.15</v>
      </c>
      <c r="E277" s="1063">
        <v>0.15</v>
      </c>
      <c r="F277" s="1064">
        <v>0.121</v>
      </c>
    </row>
    <row r="278" spans="1:6" ht="14.25" thickBot="1">
      <c r="A278" s="836" t="s">
        <v>530</v>
      </c>
      <c r="B278" s="830" t="s">
        <v>976</v>
      </c>
      <c r="C278" s="1063">
        <v>0.15</v>
      </c>
      <c r="D278" s="1063">
        <v>0.15</v>
      </c>
      <c r="E278" s="1063">
        <v>0.15</v>
      </c>
      <c r="F278" s="1064">
        <v>0.13800000000000001</v>
      </c>
    </row>
    <row r="279" spans="1:6" ht="24.75" thickBot="1">
      <c r="A279" s="836" t="s">
        <v>530</v>
      </c>
      <c r="B279" s="830" t="s">
        <v>977</v>
      </c>
      <c r="C279" s="1076"/>
      <c r="D279" s="1076"/>
      <c r="E279" s="1076"/>
      <c r="F279" s="1064">
        <v>0.05</v>
      </c>
    </row>
    <row r="280" spans="1:6" ht="24.75" thickBot="1">
      <c r="A280" s="836" t="s">
        <v>530</v>
      </c>
      <c r="B280" s="830" t="s">
        <v>978</v>
      </c>
      <c r="C280" s="1076"/>
      <c r="D280" s="1076"/>
      <c r="E280" s="1076"/>
      <c r="F280" s="1064">
        <v>0.05</v>
      </c>
    </row>
    <row r="281" spans="1:6" ht="24.75" thickBot="1">
      <c r="A281" s="836" t="s">
        <v>530</v>
      </c>
      <c r="B281" s="830" t="s">
        <v>979</v>
      </c>
      <c r="C281" s="1076"/>
      <c r="D281" s="1076"/>
      <c r="E281" s="1076"/>
      <c r="F281" s="1064">
        <v>0.05</v>
      </c>
    </row>
    <row r="282" spans="1:6" ht="24.75" thickBot="1">
      <c r="A282" s="836" t="s">
        <v>530</v>
      </c>
      <c r="B282" s="830" t="s">
        <v>980</v>
      </c>
      <c r="C282" s="1076"/>
      <c r="D282" s="1076"/>
      <c r="E282" s="1076"/>
      <c r="F282" s="1064">
        <v>0.05</v>
      </c>
    </row>
    <row r="283" spans="1:6" ht="24.75" thickBot="1">
      <c r="A283" s="836" t="s">
        <v>530</v>
      </c>
      <c r="B283" s="830" t="s">
        <v>981</v>
      </c>
      <c r="C283" s="1076"/>
      <c r="D283" s="1076"/>
      <c r="E283" s="1076"/>
      <c r="F283" s="1064">
        <v>0.05</v>
      </c>
    </row>
    <row r="284" spans="1:6" ht="24.75" thickBot="1">
      <c r="A284" s="836" t="s">
        <v>530</v>
      </c>
      <c r="B284" s="830" t="s">
        <v>982</v>
      </c>
      <c r="C284" s="1076"/>
      <c r="D284" s="1076"/>
      <c r="E284" s="1076"/>
      <c r="F284" s="1064">
        <v>0.05</v>
      </c>
    </row>
    <row r="285" spans="1:6" ht="24.75" thickBot="1">
      <c r="A285" s="836" t="s">
        <v>530</v>
      </c>
      <c r="B285" s="830" t="s">
        <v>983</v>
      </c>
      <c r="C285" s="1076"/>
      <c r="D285" s="1076"/>
      <c r="E285" s="1076"/>
      <c r="F285" s="1064">
        <v>0.05</v>
      </c>
    </row>
    <row r="286" spans="1:6" ht="24.75" thickBot="1">
      <c r="A286" s="836" t="s">
        <v>530</v>
      </c>
      <c r="B286" s="830" t="s">
        <v>984</v>
      </c>
      <c r="C286" s="1076"/>
      <c r="D286" s="1076"/>
      <c r="E286" s="1076"/>
      <c r="F286" s="1064">
        <v>0.05</v>
      </c>
    </row>
    <row r="287" spans="1:6" ht="24.75" thickBot="1">
      <c r="A287" s="836" t="s">
        <v>530</v>
      </c>
      <c r="B287" s="830" t="s">
        <v>985</v>
      </c>
      <c r="C287" s="1076"/>
      <c r="D287" s="1076"/>
      <c r="E287" s="1076"/>
      <c r="F287" s="1064">
        <v>0.05</v>
      </c>
    </row>
    <row r="288" spans="1:6" ht="24.75" thickBot="1">
      <c r="A288" s="836" t="s">
        <v>530</v>
      </c>
      <c r="B288" s="830" t="s">
        <v>986</v>
      </c>
      <c r="C288" s="1076"/>
      <c r="D288" s="1076"/>
      <c r="E288" s="1076"/>
      <c r="F288" s="1064">
        <v>0.05</v>
      </c>
    </row>
    <row r="289" spans="1:6" ht="24.75" thickBot="1">
      <c r="A289" s="846" t="s">
        <v>530</v>
      </c>
      <c r="B289" s="842" t="s">
        <v>987</v>
      </c>
      <c r="C289" s="1073"/>
      <c r="D289" s="1073"/>
      <c r="E289" s="1073"/>
      <c r="F289" s="1066">
        <v>0.05</v>
      </c>
    </row>
    <row r="290" spans="1:6" ht="14.25" thickBot="1">
      <c r="A290" s="836" t="s">
        <v>534</v>
      </c>
      <c r="B290" s="837" t="s">
        <v>988</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989</v>
      </c>
      <c r="C292" s="1063">
        <v>0.15</v>
      </c>
      <c r="D292" s="1063">
        <v>0.15</v>
      </c>
      <c r="E292" s="1063">
        <v>0.15</v>
      </c>
      <c r="F292" s="1064">
        <v>0.14699999999999999</v>
      </c>
    </row>
    <row r="293" spans="1:6" ht="14.25" thickBot="1">
      <c r="A293" s="836" t="s">
        <v>534</v>
      </c>
      <c r="B293" s="830" t="s">
        <v>990</v>
      </c>
      <c r="C293" s="1076"/>
      <c r="D293" s="1076"/>
      <c r="E293" s="1076"/>
      <c r="F293" s="1064">
        <v>0.1</v>
      </c>
    </row>
    <row r="294" spans="1:6" ht="14.25" thickBot="1">
      <c r="A294" s="836" t="s">
        <v>534</v>
      </c>
      <c r="B294" s="830" t="s">
        <v>991</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992</v>
      </c>
      <c r="C296" s="1063">
        <v>0.15</v>
      </c>
      <c r="D296" s="1063">
        <v>0.15</v>
      </c>
      <c r="E296" s="1063">
        <v>0.15</v>
      </c>
      <c r="F296" s="1064">
        <v>0.15</v>
      </c>
    </row>
    <row r="297" spans="1:6" ht="14.25" thickBot="1">
      <c r="A297" s="836" t="s">
        <v>534</v>
      </c>
      <c r="B297" s="830" t="s">
        <v>993</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994</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995</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996</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997</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998</v>
      </c>
      <c r="C310" s="1063">
        <v>0.15</v>
      </c>
      <c r="D310" s="1063">
        <v>0.15</v>
      </c>
      <c r="E310" s="1063">
        <v>0.15</v>
      </c>
      <c r="F310" s="1064">
        <v>0.13700000000000001</v>
      </c>
    </row>
    <row r="311" spans="1:6" ht="14.25" thickBot="1">
      <c r="A311" s="836" t="s">
        <v>534</v>
      </c>
      <c r="B311" s="830" t="s">
        <v>999</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1000</v>
      </c>
      <c r="C313" s="1063">
        <v>0.15</v>
      </c>
      <c r="D313" s="1063">
        <v>0.15</v>
      </c>
      <c r="E313" s="1063">
        <v>0.15</v>
      </c>
      <c r="F313" s="1064">
        <v>0.15</v>
      </c>
    </row>
    <row r="314" spans="1:6" ht="24.75" thickBot="1">
      <c r="A314" s="836" t="s">
        <v>534</v>
      </c>
      <c r="B314" s="830" t="s">
        <v>1001</v>
      </c>
      <c r="C314" s="1076"/>
      <c r="D314" s="1076"/>
      <c r="E314" s="1076"/>
      <c r="F314" s="1064">
        <v>0.05</v>
      </c>
    </row>
    <row r="315" spans="1:6" ht="24.75" thickBot="1">
      <c r="A315" s="836" t="s">
        <v>534</v>
      </c>
      <c r="B315" s="830" t="s">
        <v>1002</v>
      </c>
      <c r="C315" s="1076"/>
      <c r="D315" s="1076"/>
      <c r="E315" s="1076"/>
      <c r="F315" s="1064">
        <v>0.05</v>
      </c>
    </row>
    <row r="316" spans="1:6" ht="24.75" thickBot="1">
      <c r="A316" s="846" t="s">
        <v>534</v>
      </c>
      <c r="B316" s="842" t="s">
        <v>1003</v>
      </c>
      <c r="C316" s="1073"/>
      <c r="D316" s="1073"/>
      <c r="E316" s="1073"/>
      <c r="F316" s="1066">
        <v>0.05</v>
      </c>
    </row>
    <row r="317" spans="1:6" ht="14.25" thickBot="1">
      <c r="A317" s="836" t="s">
        <v>1004</v>
      </c>
      <c r="B317" s="837" t="s">
        <v>1005</v>
      </c>
      <c r="C317" s="1061">
        <v>0.15</v>
      </c>
      <c r="D317" s="1061">
        <v>0.15</v>
      </c>
      <c r="E317" s="1061">
        <v>0.15</v>
      </c>
      <c r="F317" s="1062">
        <v>0.15</v>
      </c>
    </row>
    <row r="318" spans="1:6" ht="14.25" thickBot="1">
      <c r="A318" s="836" t="s">
        <v>1004</v>
      </c>
      <c r="B318" s="830" t="s">
        <v>1006</v>
      </c>
      <c r="C318" s="1063">
        <v>0.107</v>
      </c>
      <c r="D318" s="1063">
        <v>0.11</v>
      </c>
      <c r="E318" s="1063">
        <v>0.112</v>
      </c>
      <c r="F318" s="1075"/>
    </row>
    <row r="319" spans="1:6" ht="14.25" thickBot="1">
      <c r="A319" s="836" t="s">
        <v>1004</v>
      </c>
      <c r="B319" s="830" t="s">
        <v>1007</v>
      </c>
      <c r="C319" s="1063">
        <v>0.15</v>
      </c>
      <c r="D319" s="1063">
        <v>0.15</v>
      </c>
      <c r="E319" s="1063">
        <v>0.15</v>
      </c>
      <c r="F319" s="1064">
        <v>0.15</v>
      </c>
    </row>
    <row r="320" spans="1:6" ht="14.25" thickBot="1">
      <c r="A320" s="836" t="s">
        <v>1004</v>
      </c>
      <c r="B320" s="830" t="s">
        <v>223</v>
      </c>
      <c r="C320" s="1063">
        <v>0.15</v>
      </c>
      <c r="D320" s="1063">
        <v>0.15</v>
      </c>
      <c r="E320" s="1063">
        <v>0.15</v>
      </c>
      <c r="F320" s="1075"/>
    </row>
    <row r="321" spans="1:6" ht="14.25" thickBot="1">
      <c r="A321" s="836" t="s">
        <v>1004</v>
      </c>
      <c r="B321" s="830" t="s">
        <v>1008</v>
      </c>
      <c r="C321" s="1063">
        <v>0.15</v>
      </c>
      <c r="D321" s="1063">
        <v>0.15</v>
      </c>
      <c r="E321" s="1063">
        <v>0.15</v>
      </c>
      <c r="F321" s="1075"/>
    </row>
    <row r="322" spans="1:6" ht="14.25" thickBot="1">
      <c r="A322" s="836" t="s">
        <v>1004</v>
      </c>
      <c r="B322" s="830" t="s">
        <v>1009</v>
      </c>
      <c r="C322" s="1063">
        <v>0.15</v>
      </c>
      <c r="D322" s="1063">
        <v>0.15</v>
      </c>
      <c r="E322" s="1063">
        <v>0.15</v>
      </c>
      <c r="F322" s="1064">
        <v>0.15</v>
      </c>
    </row>
    <row r="323" spans="1:6" ht="14.25" thickBot="1">
      <c r="A323" s="836" t="s">
        <v>1004</v>
      </c>
      <c r="B323" s="830" t="s">
        <v>1010</v>
      </c>
      <c r="C323" s="1063">
        <v>0.15</v>
      </c>
      <c r="D323" s="1063">
        <v>0.15</v>
      </c>
      <c r="E323" s="1063">
        <v>0.15</v>
      </c>
      <c r="F323" s="1075"/>
    </row>
    <row r="324" spans="1:6" ht="14.25" thickBot="1">
      <c r="A324" s="836" t="s">
        <v>1004</v>
      </c>
      <c r="B324" s="830" t="s">
        <v>1011</v>
      </c>
      <c r="C324" s="1063">
        <v>0.15</v>
      </c>
      <c r="D324" s="1063">
        <v>0.15</v>
      </c>
      <c r="E324" s="1063">
        <v>0.15</v>
      </c>
      <c r="F324" s="1075"/>
    </row>
    <row r="325" spans="1:6" ht="14.25" thickBot="1">
      <c r="A325" s="836" t="s">
        <v>1004</v>
      </c>
      <c r="B325" s="830" t="s">
        <v>1012</v>
      </c>
      <c r="C325" s="1063">
        <v>0.15</v>
      </c>
      <c r="D325" s="1063">
        <v>0.15</v>
      </c>
      <c r="E325" s="1063">
        <v>0.15</v>
      </c>
      <c r="F325" s="1064">
        <v>0.14699999999999999</v>
      </c>
    </row>
    <row r="326" spans="1:6" ht="14.25" thickBot="1">
      <c r="A326" s="836" t="s">
        <v>1004</v>
      </c>
      <c r="B326" s="830" t="s">
        <v>290</v>
      </c>
      <c r="C326" s="1063">
        <v>0.15</v>
      </c>
      <c r="D326" s="1063">
        <v>0.15</v>
      </c>
      <c r="E326" s="1063">
        <v>0.15</v>
      </c>
      <c r="F326" s="1075"/>
    </row>
    <row r="327" spans="1:6" ht="14.25" thickBot="1">
      <c r="A327" s="836" t="s">
        <v>1004</v>
      </c>
      <c r="B327" s="830" t="s">
        <v>1013</v>
      </c>
      <c r="C327" s="1063">
        <v>0.15</v>
      </c>
      <c r="D327" s="1063">
        <v>0.15</v>
      </c>
      <c r="E327" s="1063">
        <v>0.15</v>
      </c>
      <c r="F327" s="1064">
        <v>0.15</v>
      </c>
    </row>
    <row r="328" spans="1:6" ht="14.25" thickBot="1">
      <c r="A328" s="836" t="s">
        <v>1004</v>
      </c>
      <c r="B328" s="830" t="s">
        <v>310</v>
      </c>
      <c r="C328" s="1063">
        <v>0.15</v>
      </c>
      <c r="D328" s="1063">
        <v>0.15</v>
      </c>
      <c r="E328" s="1063">
        <v>0.15</v>
      </c>
      <c r="F328" s="1064">
        <v>0.14099999999999999</v>
      </c>
    </row>
    <row r="329" spans="1:6" ht="14.25" thickBot="1">
      <c r="A329" s="836" t="s">
        <v>1004</v>
      </c>
      <c r="B329" s="830" t="s">
        <v>320</v>
      </c>
      <c r="C329" s="1063">
        <v>0.15</v>
      </c>
      <c r="D329" s="1063">
        <v>0.15</v>
      </c>
      <c r="E329" s="1063">
        <v>0.15</v>
      </c>
      <c r="F329" s="1064">
        <v>0.15</v>
      </c>
    </row>
    <row r="330" spans="1:6" ht="14.25" thickBot="1">
      <c r="A330" s="836" t="s">
        <v>1004</v>
      </c>
      <c r="B330" s="830" t="s">
        <v>331</v>
      </c>
      <c r="C330" s="1063">
        <v>0.15</v>
      </c>
      <c r="D330" s="1063">
        <v>0.15</v>
      </c>
      <c r="E330" s="1063">
        <v>0.15</v>
      </c>
      <c r="F330" s="1075"/>
    </row>
    <row r="331" spans="1:6" ht="14.25" thickBot="1">
      <c r="A331" s="836" t="s">
        <v>1004</v>
      </c>
      <c r="B331" s="830" t="s">
        <v>1014</v>
      </c>
      <c r="C331" s="1063">
        <v>0.15</v>
      </c>
      <c r="D331" s="1063">
        <v>0.15</v>
      </c>
      <c r="E331" s="1063">
        <v>0.15</v>
      </c>
      <c r="F331" s="1064">
        <v>0.15</v>
      </c>
    </row>
    <row r="332" spans="1:6" ht="14.25" thickBot="1">
      <c r="A332" s="836" t="s">
        <v>1004</v>
      </c>
      <c r="B332" s="830" t="s">
        <v>352</v>
      </c>
      <c r="C332" s="1063">
        <v>0.15</v>
      </c>
      <c r="D332" s="1063">
        <v>0.15</v>
      </c>
      <c r="E332" s="1063">
        <v>0.15</v>
      </c>
      <c r="F332" s="1064">
        <v>0.15</v>
      </c>
    </row>
    <row r="333" spans="1:6" ht="14.25" thickBot="1">
      <c r="A333" s="836" t="s">
        <v>1004</v>
      </c>
      <c r="B333" s="830" t="s">
        <v>1015</v>
      </c>
      <c r="C333" s="1063">
        <v>0.15</v>
      </c>
      <c r="D333" s="1063">
        <v>0.15</v>
      </c>
      <c r="E333" s="1063">
        <v>0.15</v>
      </c>
      <c r="F333" s="1064">
        <v>0.14099999999999999</v>
      </c>
    </row>
    <row r="334" spans="1:6" ht="14.25" thickBot="1">
      <c r="A334" s="836" t="s">
        <v>1004</v>
      </c>
      <c r="B334" s="830" t="s">
        <v>372</v>
      </c>
      <c r="C334" s="1063">
        <v>0.15</v>
      </c>
      <c r="D334" s="1063">
        <v>0.15</v>
      </c>
      <c r="E334" s="1063">
        <v>0.15</v>
      </c>
      <c r="F334" s="1064">
        <v>0.15</v>
      </c>
    </row>
    <row r="335" spans="1:6" ht="14.25" thickBot="1">
      <c r="A335" s="836" t="s">
        <v>1004</v>
      </c>
      <c r="B335" s="830" t="s">
        <v>382</v>
      </c>
      <c r="C335" s="1063">
        <v>0.15</v>
      </c>
      <c r="D335" s="1063">
        <v>0.15</v>
      </c>
      <c r="E335" s="1063">
        <v>0.15</v>
      </c>
      <c r="F335" s="1075"/>
    </row>
    <row r="336" spans="1:6" ht="14.25" thickBot="1">
      <c r="A336" s="836" t="s">
        <v>1004</v>
      </c>
      <c r="B336" s="830" t="s">
        <v>1016</v>
      </c>
      <c r="C336" s="1063">
        <v>0.15</v>
      </c>
      <c r="D336" s="1063">
        <v>0.15</v>
      </c>
      <c r="E336" s="1063">
        <v>0.15</v>
      </c>
      <c r="F336" s="1064">
        <v>0.11799999999999999</v>
      </c>
    </row>
    <row r="337" spans="1:6" ht="14.25" thickBot="1">
      <c r="A337" s="846" t="s">
        <v>1004</v>
      </c>
      <c r="B337" s="842" t="s">
        <v>400</v>
      </c>
      <c r="C337" s="1073"/>
      <c r="D337" s="1073"/>
      <c r="E337" s="1073"/>
      <c r="F337" s="1066">
        <v>0.14299999999999999</v>
      </c>
    </row>
    <row r="338" spans="1:6" ht="14.25" thickBot="1">
      <c r="A338" s="836" t="s">
        <v>1017</v>
      </c>
      <c r="B338" s="837" t="s">
        <v>1018</v>
      </c>
      <c r="C338" s="1061">
        <v>0.15</v>
      </c>
      <c r="D338" s="1061">
        <v>0.15</v>
      </c>
      <c r="E338" s="1061">
        <v>0.15</v>
      </c>
      <c r="F338" s="1078"/>
    </row>
    <row r="339" spans="1:6" ht="14.25" thickBot="1">
      <c r="A339" s="836" t="s">
        <v>1017</v>
      </c>
      <c r="B339" s="830" t="s">
        <v>1019</v>
      </c>
      <c r="C339" s="1063">
        <v>0.15</v>
      </c>
      <c r="D339" s="1063">
        <v>0.15</v>
      </c>
      <c r="E339" s="1063">
        <v>0.15</v>
      </c>
      <c r="F339" s="1075"/>
    </row>
    <row r="340" spans="1:6" ht="14.25" thickBot="1">
      <c r="A340" s="836" t="s">
        <v>1017</v>
      </c>
      <c r="B340" s="830" t="s">
        <v>1020</v>
      </c>
      <c r="C340" s="1063">
        <v>0.15</v>
      </c>
      <c r="D340" s="1063">
        <v>0.15</v>
      </c>
      <c r="E340" s="1063">
        <v>0.15</v>
      </c>
      <c r="F340" s="1075"/>
    </row>
    <row r="341" spans="1:6" ht="14.25" thickBot="1">
      <c r="A341" s="836" t="s">
        <v>1017</v>
      </c>
      <c r="B341" s="830" t="s">
        <v>1021</v>
      </c>
      <c r="C341" s="1063">
        <v>0.15</v>
      </c>
      <c r="D341" s="1063">
        <v>0.15</v>
      </c>
      <c r="E341" s="1063">
        <v>0.15</v>
      </c>
      <c r="F341" s="1064">
        <v>0.15</v>
      </c>
    </row>
    <row r="342" spans="1:6" ht="14.25" thickBot="1">
      <c r="A342" s="836" t="s">
        <v>1017</v>
      </c>
      <c r="B342" s="830" t="s">
        <v>1022</v>
      </c>
      <c r="C342" s="1063">
        <v>0.15</v>
      </c>
      <c r="D342" s="1063">
        <v>0.15</v>
      </c>
      <c r="E342" s="1063">
        <v>0.15</v>
      </c>
      <c r="F342" s="1064">
        <v>0.15</v>
      </c>
    </row>
    <row r="343" spans="1:6" ht="14.25" thickBot="1">
      <c r="A343" s="836" t="s">
        <v>1017</v>
      </c>
      <c r="B343" s="830" t="s">
        <v>1023</v>
      </c>
      <c r="C343" s="1063">
        <v>0.15</v>
      </c>
      <c r="D343" s="1063">
        <v>0.15</v>
      </c>
      <c r="E343" s="1063">
        <v>0.15</v>
      </c>
      <c r="F343" s="1064">
        <v>0.15</v>
      </c>
    </row>
    <row r="344" spans="1:6" ht="14.25" thickBot="1">
      <c r="A344" s="846" t="s">
        <v>1017</v>
      </c>
      <c r="B344" s="842"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1292</v>
      </c>
      <c r="C1" s="1692">
        <f>项目基本情况!D3</f>
        <v>43926</v>
      </c>
      <c r="D1" s="1698" t="s">
        <v>1293</v>
      </c>
      <c r="E1" s="1693">
        <f>'数据-取费表'!B22</f>
        <v>2</v>
      </c>
      <c r="F1" s="1698" t="s">
        <v>1294</v>
      </c>
      <c r="G1" s="1694">
        <f ca="1">INDIRECT("d"&amp;$K$1)/100</f>
        <v>4.7500000000000001E-2</v>
      </c>
      <c r="H1" s="1698" t="s">
        <v>1324</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1295</v>
      </c>
      <c r="E2" s="1634"/>
      <c r="F2" s="1634" t="s">
        <v>1296</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1297</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1298</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1299</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1300</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1301</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1302</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1303</v>
      </c>
      <c r="C10" s="1662"/>
      <c r="D10" s="1662"/>
      <c r="E10" s="1662"/>
      <c r="F10" s="1662"/>
      <c r="G10" s="1662"/>
      <c r="H10" s="1662"/>
      <c r="I10" s="1636"/>
      <c r="J10" s="1636"/>
      <c r="K10" s="1662"/>
      <c r="L10" s="1663" t="s">
        <v>1304</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1305</v>
      </c>
      <c r="C11" s="1667" t="s">
        <v>1306</v>
      </c>
      <c r="D11" s="1668" t="s">
        <v>1307</v>
      </c>
      <c r="E11" s="1669"/>
      <c r="F11" s="1668" t="s">
        <v>1308</v>
      </c>
      <c r="G11" s="1670"/>
      <c r="H11" s="1669"/>
      <c r="I11" s="1668" t="s">
        <v>1309</v>
      </c>
      <c r="J11" s="1669"/>
      <c r="K11" s="1665"/>
      <c r="L11" s="1666" t="s">
        <v>1305</v>
      </c>
      <c r="M11" s="1667" t="s">
        <v>1306</v>
      </c>
      <c r="N11" s="1666" t="s">
        <v>1310</v>
      </c>
      <c r="O11" s="1668" t="s">
        <v>1311</v>
      </c>
      <c r="P11" s="1670"/>
      <c r="Q11" s="1670"/>
      <c r="R11" s="1670"/>
      <c r="S11" s="1670"/>
      <c r="T11" s="1669"/>
      <c r="U11" s="1668" t="s">
        <v>1312</v>
      </c>
      <c r="V11" s="1670"/>
      <c r="W11" s="1669"/>
      <c r="X11" s="1666" t="s">
        <v>1313</v>
      </c>
      <c r="Y11" s="1666" t="s">
        <v>1314</v>
      </c>
      <c r="Z11" s="1666" t="s">
        <v>1315</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1316</v>
      </c>
      <c r="E12" s="1675" t="s">
        <v>1317</v>
      </c>
      <c r="F12" s="1675" t="s">
        <v>1318</v>
      </c>
      <c r="G12" s="1675" t="s">
        <v>1319</v>
      </c>
      <c r="H12" s="1675" t="s">
        <v>1301</v>
      </c>
      <c r="I12" s="1676" t="s">
        <v>1320</v>
      </c>
      <c r="J12" s="1676" t="s">
        <v>1320</v>
      </c>
      <c r="K12" s="1672"/>
      <c r="L12" s="1673"/>
      <c r="M12" s="1674"/>
      <c r="N12" s="1673"/>
      <c r="O12" s="1676" t="s">
        <v>1321</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1322</v>
      </c>
      <c r="C13" s="1680">
        <v>42301</v>
      </c>
      <c r="D13" s="1681">
        <v>4.3499999999999996</v>
      </c>
      <c r="E13" s="1681">
        <v>4.3499999999999996</v>
      </c>
      <c r="F13" s="1681">
        <v>4.75</v>
      </c>
      <c r="G13" s="1681">
        <v>4.75</v>
      </c>
      <c r="H13" s="1681">
        <v>4.9000000000000004</v>
      </c>
      <c r="I13" s="1681">
        <v>2.75</v>
      </c>
      <c r="J13" s="1681">
        <v>3.25</v>
      </c>
      <c r="K13" s="1678"/>
      <c r="L13" s="1679" t="s">
        <v>1322</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1323</v>
      </c>
      <c r="Y42" s="1685" t="s">
        <v>1323</v>
      </c>
      <c r="Z42" s="1685" t="s">
        <v>1323</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1323</v>
      </c>
      <c r="Y43" s="1685" t="s">
        <v>1323</v>
      </c>
      <c r="Z43" s="1685" t="s">
        <v>1323</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1323</v>
      </c>
      <c r="Y44" s="1685" t="s">
        <v>1323</v>
      </c>
      <c r="Z44" s="1685" t="s">
        <v>1323</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1323</v>
      </c>
      <c r="Y45" s="1685" t="s">
        <v>1323</v>
      </c>
      <c r="Z45" s="1685" t="s">
        <v>1323</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1323</v>
      </c>
      <c r="Y46" s="1685" t="s">
        <v>1323</v>
      </c>
      <c r="Z46" s="1685" t="s">
        <v>1323</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1323</v>
      </c>
      <c r="Y47" s="1685" t="s">
        <v>1323</v>
      </c>
      <c r="Z47" s="1685" t="s">
        <v>1323</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1323</v>
      </c>
      <c r="Y48" s="1685" t="s">
        <v>1323</v>
      </c>
      <c r="Z48" s="1685" t="s">
        <v>1323</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1323</v>
      </c>
      <c r="Y49" s="1685" t="s">
        <v>1323</v>
      </c>
      <c r="Z49" s="1685" t="s">
        <v>1323</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1323</v>
      </c>
      <c r="Y50" s="1685" t="s">
        <v>1323</v>
      </c>
      <c r="Z50" s="1685" t="s">
        <v>1323</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1323</v>
      </c>
      <c r="V51" s="1685" t="s">
        <v>1323</v>
      </c>
      <c r="W51" s="1685" t="s">
        <v>1323</v>
      </c>
      <c r="X51" s="1685" t="s">
        <v>1323</v>
      </c>
      <c r="Y51" s="1685" t="s">
        <v>1323</v>
      </c>
      <c r="Z51" s="1685" t="s">
        <v>1323</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1323</v>
      </c>
      <c r="J55" s="1685" t="s">
        <v>1323</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1364</v>
      </c>
      <c r="E1" s="1774" t="s">
        <v>1368</v>
      </c>
      <c r="F1" s="1775" t="s">
        <v>1372</v>
      </c>
    </row>
    <row r="2" spans="1:13" ht="20.25">
      <c r="A2" s="1781" t="s">
        <v>1365</v>
      </c>
    </row>
    <row r="3" spans="1:13" ht="16.5">
      <c r="A3" s="1782" t="s">
        <v>1366</v>
      </c>
    </row>
    <row r="4" spans="1:13" ht="14.25">
      <c r="A4" s="1772" t="s">
        <v>1367</v>
      </c>
      <c r="B4" s="1777" t="s">
        <v>1369</v>
      </c>
      <c r="C4" s="1778"/>
      <c r="D4" s="1779"/>
      <c r="E4" s="1777" t="s">
        <v>27</v>
      </c>
      <c r="F4" s="1778"/>
      <c r="G4" s="1779"/>
      <c r="H4" s="1777" t="s">
        <v>1370</v>
      </c>
      <c r="I4" s="1778"/>
      <c r="J4" s="1779"/>
      <c r="K4" s="1777" t="s">
        <v>6</v>
      </c>
      <c r="L4" s="1778"/>
      <c r="M4" s="1779"/>
    </row>
    <row r="5" spans="1:13" ht="14.25">
      <c r="A5" s="1773" t="s">
        <v>1371</v>
      </c>
      <c r="B5" s="1772" t="s">
        <v>1373</v>
      </c>
      <c r="C5" s="1772" t="s">
        <v>1374</v>
      </c>
      <c r="D5" s="1772" t="s">
        <v>1375</v>
      </c>
      <c r="E5" s="1772" t="s">
        <v>1373</v>
      </c>
      <c r="F5" s="1772" t="s">
        <v>1374</v>
      </c>
      <c r="G5" s="1772" t="s">
        <v>1375</v>
      </c>
      <c r="H5" s="1772" t="s">
        <v>1373</v>
      </c>
      <c r="I5" s="1772" t="s">
        <v>1374</v>
      </c>
      <c r="J5" s="1772" t="s">
        <v>1375</v>
      </c>
      <c r="K5" s="1772" t="s">
        <v>1373</v>
      </c>
      <c r="L5" s="1772" t="s">
        <v>1374</v>
      </c>
      <c r="M5" s="1772" t="s">
        <v>1375</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1633</v>
      </c>
      <c r="B2" s="3038" t="s">
        <v>1634</v>
      </c>
      <c r="C2" s="3038" t="s">
        <v>1635</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2"/>
      <c r="B3" s="3032"/>
      <c r="C3" s="3032"/>
      <c r="D3" s="1043" t="s">
        <v>1630</v>
      </c>
      <c r="E3" s="1043" t="s">
        <v>1636</v>
      </c>
      <c r="F3" s="1043" t="s">
        <v>1630</v>
      </c>
      <c r="G3" s="1043" t="s">
        <v>1631</v>
      </c>
      <c r="H3" s="1043" t="s">
        <v>1630</v>
      </c>
      <c r="I3" s="1043" t="s">
        <v>1631</v>
      </c>
    </row>
    <row r="4" spans="1:9" ht="45">
      <c r="A4" s="1971" t="str">
        <f>项目基本情况!S2</f>
        <v>北京市大兴区旧宫镇出让国有建设用地使用权及在建建筑物房地产</v>
      </c>
      <c r="B4" s="1043">
        <f>项目基本情况!C17</f>
        <v>123740.26</v>
      </c>
      <c r="C4" s="1043">
        <f>项目基本情况!C18</f>
        <v>34567.79</v>
      </c>
      <c r="D4" s="1043">
        <f ca="1">结果表!D118</f>
        <v>408083</v>
      </c>
      <c r="E4" s="1043">
        <f ca="1">结果表!E118</f>
        <v>32979</v>
      </c>
      <c r="F4" s="1043">
        <f ca="1">结果表!F118</f>
        <v>57234</v>
      </c>
      <c r="G4" s="1043">
        <f ca="1">结果表!G118</f>
        <v>4625</v>
      </c>
      <c r="H4" s="1043">
        <f ca="1">结果表!H118</f>
        <v>465317</v>
      </c>
      <c r="I4" s="1043">
        <f ca="1">结果表!I118</f>
        <v>37604</v>
      </c>
    </row>
    <row r="5" spans="1:9" ht="30" customHeight="1">
      <c r="A5" s="3032" t="s">
        <v>1632</v>
      </c>
      <c r="B5" s="3032"/>
      <c r="C5" s="3032"/>
      <c r="D5" s="3033" t="str">
        <f ca="1">结果表!D119</f>
        <v>肆拾亿捌仟零捌拾叁万元整</v>
      </c>
      <c r="E5" s="3033"/>
      <c r="F5" s="3033" t="str">
        <f ca="1">结果表!F119</f>
        <v>伍亿柒仟贰佰叁拾肆万元整</v>
      </c>
      <c r="G5" s="3033"/>
      <c r="H5" s="3033" t="str">
        <f ca="1">结果表!H119</f>
        <v>肆拾陆亿伍仟叁佰壹拾柒万元整</v>
      </c>
      <c r="I5" s="3033"/>
    </row>
    <row r="6" spans="1:9" ht="15.75">
      <c r="A6" s="3031" t="str">
        <f>结果表!A120</f>
        <v>估价师知悉的法定优先受偿款</v>
      </c>
      <c r="B6" s="3031"/>
      <c r="C6" s="3031"/>
      <c r="D6" s="3031">
        <f>结果表!D120</f>
        <v>0</v>
      </c>
      <c r="E6" s="3031"/>
      <c r="F6" s="3031"/>
      <c r="G6" s="3031"/>
      <c r="H6" s="3031"/>
      <c r="I6" s="3031"/>
    </row>
    <row r="7" spans="1:9" ht="15">
      <c r="A7" s="3032" t="s">
        <v>1632</v>
      </c>
      <c r="B7" s="3032"/>
      <c r="C7" s="3032"/>
      <c r="D7" s="3034" t="str">
        <f>结果表!D121</f>
        <v>零元整</v>
      </c>
      <c r="E7" s="3035"/>
      <c r="F7" s="3035"/>
      <c r="G7" s="3035"/>
      <c r="H7" s="3035"/>
      <c r="I7" s="3036"/>
    </row>
    <row r="8" spans="1:9" ht="15.75">
      <c r="A8" s="3031" t="str">
        <f>结果表!A122</f>
        <v/>
      </c>
      <c r="B8" s="3031"/>
      <c r="C8" s="3031"/>
      <c r="D8" s="3031" t="str">
        <f>结果表!D122</f>
        <v>——</v>
      </c>
      <c r="E8" s="3031"/>
      <c r="F8" s="3031"/>
      <c r="G8" s="3031"/>
      <c r="H8" s="3031"/>
      <c r="I8" s="3031"/>
    </row>
    <row r="9" spans="1:9" ht="15">
      <c r="A9" s="3032" t="s">
        <v>1632</v>
      </c>
      <c r="B9" s="3032"/>
      <c r="C9" s="3032"/>
      <c r="D9" s="3033" t="e">
        <f>结果表!D123</f>
        <v>#VALUE!</v>
      </c>
      <c r="E9" s="3033"/>
      <c r="F9" s="3033"/>
      <c r="G9" s="3033"/>
      <c r="H9" s="3033"/>
      <c r="I9" s="3033"/>
    </row>
    <row r="10" spans="1:9" ht="15.75">
      <c r="A10" s="3031" t="str">
        <f>结果表!A124</f>
        <v>抵押担保权已注销时的房地产抵押价值</v>
      </c>
      <c r="B10" s="3031"/>
      <c r="C10" s="3031"/>
      <c r="D10" s="3031">
        <f ca="1">结果表!D124</f>
        <v>465317</v>
      </c>
      <c r="E10" s="3031"/>
      <c r="F10" s="3031"/>
      <c r="G10" s="3031"/>
      <c r="H10" s="3031"/>
      <c r="I10" s="3031"/>
    </row>
    <row r="11" spans="1:9" ht="15">
      <c r="A11" s="3032" t="s">
        <v>1632</v>
      </c>
      <c r="B11" s="3032"/>
      <c r="C11" s="3032"/>
      <c r="D11" s="3033" t="str">
        <f ca="1">结果表!D125</f>
        <v>肆拾陆亿伍仟叁佰壹拾柒万元整</v>
      </c>
      <c r="E11" s="3033"/>
      <c r="F11" s="3033"/>
      <c r="G11" s="3033"/>
      <c r="H11" s="3033"/>
      <c r="I11" s="3033"/>
    </row>
    <row r="12" spans="1:9" ht="15.75">
      <c r="A12" s="3031" t="str">
        <f>结果表!A126</f>
        <v/>
      </c>
      <c r="B12" s="3031"/>
      <c r="C12" s="3031"/>
      <c r="D12" s="3031" t="str">
        <f>结果表!D126</f>
        <v>——</v>
      </c>
      <c r="E12" s="3031"/>
      <c r="F12" s="3031"/>
      <c r="G12" s="3031"/>
      <c r="H12" s="3031"/>
      <c r="I12" s="3031"/>
    </row>
    <row r="13" spans="1:9" ht="15.75" thickBot="1">
      <c r="A13" s="3028" t="s">
        <v>1632</v>
      </c>
      <c r="B13" s="3028"/>
      <c r="C13" s="3028"/>
      <c r="D13" s="3029" t="e">
        <f>结果表!D127</f>
        <v>#VALUE!</v>
      </c>
      <c r="E13" s="3029"/>
      <c r="F13" s="3029"/>
      <c r="G13" s="3029"/>
      <c r="H13" s="3029"/>
      <c r="I13" s="3029"/>
    </row>
    <row r="14" spans="1:9" ht="15" thickTop="1">
      <c r="A14" s="3030" t="s">
        <v>1637</v>
      </c>
      <c r="B14" s="3030"/>
      <c r="C14" s="3030"/>
      <c r="D14" s="3030"/>
      <c r="E14" s="3030"/>
      <c r="F14" s="3030"/>
      <c r="G14" s="3030"/>
      <c r="H14" s="3030"/>
      <c r="I14" s="3030"/>
    </row>
    <row r="16" spans="1:9" ht="18.75">
      <c r="A16" s="1972" t="s">
        <v>1620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3" t="s">
        <v>3120</v>
      </c>
      <c r="C2" s="1633" t="s">
        <v>3121</v>
      </c>
      <c r="D2" s="1633" t="s">
        <v>3122</v>
      </c>
      <c r="E2" s="1633" t="s">
        <v>3123</v>
      </c>
      <c r="F2" s="1633" t="s">
        <v>3124</v>
      </c>
      <c r="G2" s="1633" t="s">
        <v>3125</v>
      </c>
      <c r="H2" s="1633" t="s">
        <v>3126</v>
      </c>
      <c r="I2" s="1633" t="s">
        <v>3127</v>
      </c>
      <c r="J2" s="1633" t="s">
        <v>3128</v>
      </c>
    </row>
    <row r="3" spans="1:10">
      <c r="B3" s="1633" t="s">
        <v>3129</v>
      </c>
      <c r="C3" s="1633" t="s">
        <v>3015</v>
      </c>
      <c r="D3" s="1633" t="s">
        <v>3130</v>
      </c>
      <c r="E3" s="1633" t="s">
        <v>3131</v>
      </c>
      <c r="F3" s="1633">
        <v>54637.78</v>
      </c>
      <c r="G3" s="1633">
        <v>1.05</v>
      </c>
      <c r="H3" s="1633" t="s">
        <v>3132</v>
      </c>
      <c r="I3" s="1633">
        <v>16384.86</v>
      </c>
      <c r="J3" s="1633">
        <v>27.11</v>
      </c>
    </row>
    <row r="4" spans="1:10">
      <c r="B4" s="1633" t="s">
        <v>3133</v>
      </c>
      <c r="C4" s="1633" t="s">
        <v>3015</v>
      </c>
      <c r="D4" s="1633" t="s">
        <v>3130</v>
      </c>
      <c r="E4" s="1633" t="s">
        <v>3131</v>
      </c>
      <c r="F4" s="1633">
        <v>87590.77</v>
      </c>
      <c r="G4" s="1633">
        <v>1.05</v>
      </c>
      <c r="H4" s="1633" t="s">
        <v>3132</v>
      </c>
      <c r="I4" s="1633">
        <v>19245.400000000001</v>
      </c>
      <c r="J4" s="1633">
        <v>49.3</v>
      </c>
    </row>
    <row r="5" spans="1:10">
      <c r="A5" s="2980" t="s">
        <v>3224</v>
      </c>
      <c r="B5" s="2978" t="s">
        <v>3134</v>
      </c>
      <c r="C5" s="2978" t="s">
        <v>3015</v>
      </c>
      <c r="D5" s="2978" t="s">
        <v>3130</v>
      </c>
      <c r="E5" s="2978" t="s">
        <v>3131</v>
      </c>
      <c r="F5" s="2978">
        <v>38121.199999999997</v>
      </c>
      <c r="G5" s="2978">
        <v>2.5</v>
      </c>
      <c r="H5" s="2978" t="s">
        <v>3135</v>
      </c>
      <c r="I5" s="2978">
        <v>34836.26</v>
      </c>
      <c r="J5" s="2978">
        <v>24.34</v>
      </c>
    </row>
    <row r="6" spans="1:10">
      <c r="A6" s="2979"/>
      <c r="B6" s="1633" t="s">
        <v>3136</v>
      </c>
      <c r="C6" s="1633" t="s">
        <v>3015</v>
      </c>
      <c r="D6" s="1633" t="s">
        <v>3130</v>
      </c>
      <c r="E6" s="1633" t="s">
        <v>3131</v>
      </c>
      <c r="F6" s="1633">
        <v>44933.4</v>
      </c>
      <c r="G6" s="1633">
        <v>2.5</v>
      </c>
      <c r="H6" s="1633" t="s">
        <v>3135</v>
      </c>
      <c r="I6" s="1633">
        <v>32937.629999999997</v>
      </c>
      <c r="J6" s="1633">
        <v>17.46</v>
      </c>
    </row>
    <row r="7" spans="1:10">
      <c r="A7" s="2979"/>
      <c r="B7" s="1633" t="s">
        <v>3137</v>
      </c>
      <c r="C7" s="1633" t="s">
        <v>3015</v>
      </c>
      <c r="D7" s="1633" t="s">
        <v>3138</v>
      </c>
      <c r="E7" s="1633" t="s">
        <v>3131</v>
      </c>
      <c r="F7" s="1633">
        <v>53689</v>
      </c>
      <c r="G7" s="1633">
        <v>2.0699999999999998</v>
      </c>
      <c r="H7" s="1633" t="s">
        <v>3139</v>
      </c>
      <c r="I7" s="1633">
        <v>18742.79</v>
      </c>
      <c r="J7" s="1633">
        <v>0.97</v>
      </c>
    </row>
    <row r="8" spans="1:10">
      <c r="A8" s="2979"/>
      <c r="B8" s="1633" t="s">
        <v>3140</v>
      </c>
      <c r="C8" s="1633" t="s">
        <v>3015</v>
      </c>
      <c r="D8" s="1633" t="s">
        <v>3130</v>
      </c>
      <c r="E8" s="1633" t="s">
        <v>3131</v>
      </c>
      <c r="F8" s="1633">
        <v>39735</v>
      </c>
      <c r="G8" s="1633">
        <v>2.2000000000000002</v>
      </c>
      <c r="H8" s="1633" t="s">
        <v>3139</v>
      </c>
      <c r="I8" s="1633">
        <v>19755.88</v>
      </c>
      <c r="J8" s="1633">
        <v>1.59</v>
      </c>
    </row>
    <row r="9" spans="1:10">
      <c r="A9" s="2979"/>
      <c r="B9" s="1633" t="s">
        <v>3141</v>
      </c>
      <c r="C9" s="1633" t="s">
        <v>3015</v>
      </c>
      <c r="D9" s="1633" t="s">
        <v>3130</v>
      </c>
      <c r="E9" s="1633" t="s">
        <v>3131</v>
      </c>
      <c r="F9" s="1633">
        <v>74464</v>
      </c>
      <c r="G9" s="1633">
        <v>1.6</v>
      </c>
      <c r="H9" s="1633" t="s">
        <v>3142</v>
      </c>
      <c r="I9" s="1633">
        <v>27488.2</v>
      </c>
      <c r="J9" s="1633">
        <v>42.39</v>
      </c>
    </row>
    <row r="10" spans="1:10">
      <c r="A10" s="2979"/>
      <c r="B10" s="1633" t="s">
        <v>3143</v>
      </c>
      <c r="C10" s="1633" t="s">
        <v>3015</v>
      </c>
      <c r="D10" s="1633" t="s">
        <v>3138</v>
      </c>
      <c r="E10" s="1633" t="s">
        <v>3131</v>
      </c>
      <c r="F10" s="1633">
        <v>39491.11</v>
      </c>
      <c r="G10" s="1633">
        <v>2.5</v>
      </c>
      <c r="H10" s="1633" t="s">
        <v>3144</v>
      </c>
      <c r="I10" s="1633">
        <v>30639.74</v>
      </c>
      <c r="J10" s="1633">
        <v>13.72</v>
      </c>
    </row>
    <row r="11" spans="1:10">
      <c r="A11" s="2979"/>
      <c r="B11" s="1633" t="s">
        <v>3145</v>
      </c>
      <c r="C11" s="1633" t="s">
        <v>3015</v>
      </c>
      <c r="D11" s="1633" t="s">
        <v>3130</v>
      </c>
      <c r="E11" s="1633" t="s">
        <v>3131</v>
      </c>
      <c r="F11" s="1633">
        <v>20291.37</v>
      </c>
      <c r="G11" s="1633">
        <v>1.8</v>
      </c>
      <c r="H11" s="1633" t="s">
        <v>3146</v>
      </c>
      <c r="I11" s="1633">
        <v>17194.16</v>
      </c>
      <c r="J11" s="1633" t="s">
        <v>1323</v>
      </c>
    </row>
    <row r="12" spans="1:10">
      <c r="A12" s="2979"/>
      <c r="B12" s="1633" t="s">
        <v>3147</v>
      </c>
      <c r="C12" s="1633" t="s">
        <v>3015</v>
      </c>
      <c r="D12" s="1633" t="s">
        <v>3130</v>
      </c>
      <c r="E12" s="1633" t="s">
        <v>3131</v>
      </c>
      <c r="F12" s="1633">
        <v>95947</v>
      </c>
      <c r="G12" s="1633">
        <v>2.2000000000000002</v>
      </c>
      <c r="H12" s="1633" t="s">
        <v>3148</v>
      </c>
      <c r="I12" s="1633">
        <v>17528.650000000001</v>
      </c>
      <c r="J12" s="1633">
        <v>0</v>
      </c>
    </row>
    <row r="13" spans="1:10">
      <c r="A13" s="2979"/>
      <c r="B13" s="1633" t="s">
        <v>3149</v>
      </c>
      <c r="C13" s="1633" t="s">
        <v>3015</v>
      </c>
      <c r="D13" s="1633" t="s">
        <v>3138</v>
      </c>
      <c r="E13" s="1633" t="s">
        <v>3131</v>
      </c>
      <c r="F13" s="1633">
        <v>90424</v>
      </c>
      <c r="G13" s="1633">
        <v>2.4300000000000002</v>
      </c>
      <c r="H13" s="1633" t="s">
        <v>3150</v>
      </c>
      <c r="I13" s="1633">
        <v>16355.82</v>
      </c>
      <c r="J13" s="1633">
        <v>0</v>
      </c>
    </row>
    <row r="14" spans="1:10">
      <c r="A14" s="2979"/>
      <c r="B14" s="1633" t="s">
        <v>3151</v>
      </c>
      <c r="C14" s="1633" t="s">
        <v>3015</v>
      </c>
      <c r="D14" s="1633" t="s">
        <v>3138</v>
      </c>
      <c r="E14" s="1633" t="s">
        <v>3131</v>
      </c>
      <c r="F14" s="1633">
        <v>37662.699999999997</v>
      </c>
      <c r="G14" s="1633">
        <v>1.84</v>
      </c>
      <c r="H14" s="1633" t="s">
        <v>3152</v>
      </c>
      <c r="I14" s="1633">
        <v>35523.26</v>
      </c>
      <c r="J14" s="1633">
        <v>35.909999999999997</v>
      </c>
    </row>
    <row r="15" spans="1:10">
      <c r="A15" s="2979"/>
      <c r="B15" s="1633" t="s">
        <v>3153</v>
      </c>
      <c r="C15" s="1633" t="s">
        <v>3015</v>
      </c>
      <c r="D15" s="1633" t="s">
        <v>3138</v>
      </c>
      <c r="E15" s="1633" t="s">
        <v>3131</v>
      </c>
      <c r="F15" s="1633">
        <v>48377.1</v>
      </c>
      <c r="G15" s="1633">
        <v>1.8</v>
      </c>
      <c r="H15" s="1633" t="s">
        <v>3152</v>
      </c>
      <c r="I15" s="1633">
        <v>25430.65</v>
      </c>
      <c r="J15" s="1633">
        <v>38.75</v>
      </c>
    </row>
    <row r="16" spans="1:10">
      <c r="A16" s="2979"/>
      <c r="B16" s="1633" t="s">
        <v>3154</v>
      </c>
      <c r="C16" s="1633" t="s">
        <v>3015</v>
      </c>
      <c r="D16" s="1633" t="s">
        <v>3130</v>
      </c>
      <c r="E16" s="1633" t="s">
        <v>3131</v>
      </c>
      <c r="F16" s="1633">
        <v>92065.1</v>
      </c>
      <c r="G16" s="1633">
        <v>1.8</v>
      </c>
      <c r="H16" s="1633" t="s">
        <v>3155</v>
      </c>
      <c r="I16" s="1633">
        <v>37956.230000000003</v>
      </c>
      <c r="J16" s="1633">
        <v>35.56</v>
      </c>
    </row>
    <row r="17" spans="1:10">
      <c r="A17" s="2979"/>
      <c r="B17" s="1633" t="s">
        <v>3156</v>
      </c>
      <c r="C17" s="1633" t="s">
        <v>3015</v>
      </c>
      <c r="D17" s="1633" t="s">
        <v>3130</v>
      </c>
      <c r="E17" s="1633" t="s">
        <v>3131</v>
      </c>
      <c r="F17" s="1633">
        <v>76286.2</v>
      </c>
      <c r="G17" s="1633">
        <v>2.5</v>
      </c>
      <c r="H17" s="1633" t="s">
        <v>3157</v>
      </c>
      <c r="I17" s="1633">
        <v>39371.79</v>
      </c>
      <c r="J17" s="1633">
        <v>49.9</v>
      </c>
    </row>
    <row r="18" spans="1:10">
      <c r="A18" s="2979"/>
      <c r="B18" s="1633" t="s">
        <v>3158</v>
      </c>
      <c r="C18" s="1633" t="s">
        <v>3015</v>
      </c>
      <c r="D18" s="1633" t="s">
        <v>3138</v>
      </c>
      <c r="E18" s="1633" t="s">
        <v>3131</v>
      </c>
      <c r="F18" s="1633">
        <v>28212.35</v>
      </c>
      <c r="G18" s="1633">
        <v>2.5</v>
      </c>
      <c r="H18" s="1633" t="s">
        <v>3159</v>
      </c>
      <c r="I18" s="1633">
        <v>38281.040000000001</v>
      </c>
      <c r="J18" s="1633">
        <v>42.11</v>
      </c>
    </row>
    <row r="19" spans="1:10">
      <c r="A19" s="2979"/>
      <c r="B19" s="1633" t="s">
        <v>3160</v>
      </c>
      <c r="C19" s="1633" t="s">
        <v>3015</v>
      </c>
      <c r="D19" s="1633" t="s">
        <v>3138</v>
      </c>
      <c r="E19" s="1633" t="s">
        <v>3131</v>
      </c>
      <c r="F19" s="1633">
        <v>75065.42</v>
      </c>
      <c r="G19" s="1633" t="s">
        <v>3161</v>
      </c>
      <c r="H19" s="1633" t="s">
        <v>3162</v>
      </c>
      <c r="I19" s="1633">
        <v>35878.54</v>
      </c>
      <c r="J19" s="1633">
        <v>49.69</v>
      </c>
    </row>
    <row r="20" spans="1:10">
      <c r="A20" s="2979"/>
      <c r="B20" s="1633" t="s">
        <v>3163</v>
      </c>
      <c r="C20" s="1633" t="s">
        <v>3015</v>
      </c>
      <c r="D20" s="1633" t="s">
        <v>3138</v>
      </c>
      <c r="E20" s="1633" t="s">
        <v>3131</v>
      </c>
      <c r="F20" s="1633">
        <v>22717.91</v>
      </c>
      <c r="G20" s="1633">
        <v>2.5</v>
      </c>
      <c r="H20" s="1633" t="s">
        <v>3162</v>
      </c>
      <c r="I20" s="1633">
        <v>40320.44</v>
      </c>
      <c r="J20" s="1633">
        <v>49.67</v>
      </c>
    </row>
    <row r="21" spans="1:10">
      <c r="A21" s="2979"/>
      <c r="B21" s="1633" t="s">
        <v>3164</v>
      </c>
      <c r="C21" s="1633" t="s">
        <v>3015</v>
      </c>
      <c r="D21" s="1633" t="s">
        <v>3138</v>
      </c>
      <c r="E21" s="1633" t="s">
        <v>3131</v>
      </c>
      <c r="F21" s="1633">
        <v>31048.69</v>
      </c>
      <c r="G21" s="1633">
        <v>2.5</v>
      </c>
      <c r="H21" s="1633" t="s">
        <v>3165</v>
      </c>
      <c r="I21" s="1633">
        <v>18873.52</v>
      </c>
      <c r="J21" s="1633">
        <v>1.03</v>
      </c>
    </row>
    <row r="22" spans="1:10">
      <c r="A22" s="2979"/>
      <c r="B22" s="1633" t="s">
        <v>3166</v>
      </c>
      <c r="C22" s="1633" t="s">
        <v>3015</v>
      </c>
      <c r="D22" s="1633" t="s">
        <v>3138</v>
      </c>
      <c r="E22" s="1633" t="s">
        <v>3131</v>
      </c>
      <c r="F22" s="1633">
        <v>40985.61</v>
      </c>
      <c r="G22" s="1633">
        <v>2</v>
      </c>
      <c r="H22" s="1633" t="s">
        <v>3167</v>
      </c>
      <c r="I22" s="1633">
        <v>20495.04</v>
      </c>
      <c r="J22" s="1633">
        <v>0</v>
      </c>
    </row>
    <row r="23" spans="1:10">
      <c r="A23" s="2979"/>
      <c r="B23" s="1633" t="s">
        <v>3168</v>
      </c>
      <c r="C23" s="1633" t="s">
        <v>3015</v>
      </c>
      <c r="D23" s="1633" t="s">
        <v>3130</v>
      </c>
      <c r="E23" s="1633" t="s">
        <v>3131</v>
      </c>
      <c r="F23" s="1633">
        <v>63029.62</v>
      </c>
      <c r="G23" s="1633">
        <v>2</v>
      </c>
      <c r="H23" s="1633" t="s">
        <v>3169</v>
      </c>
      <c r="I23" s="1633">
        <v>30144.61</v>
      </c>
      <c r="J23" s="1633">
        <v>58.33</v>
      </c>
    </row>
    <row r="24" spans="1:10">
      <c r="A24" s="2980" t="s">
        <v>3225</v>
      </c>
      <c r="B24" s="2978" t="s">
        <v>3170</v>
      </c>
      <c r="C24" s="2978" t="s">
        <v>3015</v>
      </c>
      <c r="D24" s="2978" t="s">
        <v>3138</v>
      </c>
      <c r="E24" s="2978" t="s">
        <v>3131</v>
      </c>
      <c r="F24" s="2978">
        <v>85956.89</v>
      </c>
      <c r="G24" s="2978">
        <v>2.12</v>
      </c>
      <c r="H24" s="2978" t="s">
        <v>3171</v>
      </c>
      <c r="I24" s="2978">
        <v>38344.69</v>
      </c>
      <c r="J24" s="2978">
        <v>49.79</v>
      </c>
    </row>
    <row r="25" spans="1:10">
      <c r="A25" s="2980" t="s">
        <v>3226</v>
      </c>
      <c r="B25" s="2978" t="s">
        <v>3172</v>
      </c>
      <c r="C25" s="2978" t="s">
        <v>3015</v>
      </c>
      <c r="D25" s="2978" t="s">
        <v>3138</v>
      </c>
      <c r="E25" s="2978" t="s">
        <v>3131</v>
      </c>
      <c r="F25" s="2978">
        <v>66379.53</v>
      </c>
      <c r="G25" s="2978">
        <v>2.2000000000000002</v>
      </c>
      <c r="H25" s="2978" t="s">
        <v>3171</v>
      </c>
      <c r="I25" s="2978">
        <v>39305.65</v>
      </c>
      <c r="J25" s="2978">
        <v>49.87</v>
      </c>
    </row>
    <row r="26" spans="1:10">
      <c r="B26" s="1633" t="s">
        <v>3173</v>
      </c>
      <c r="C26" s="1633" t="s">
        <v>3015</v>
      </c>
      <c r="D26" s="1633" t="s">
        <v>3138</v>
      </c>
      <c r="E26" s="1633" t="s">
        <v>3131</v>
      </c>
      <c r="F26" s="1633">
        <v>51970.99</v>
      </c>
      <c r="G26" s="1633">
        <v>2.6</v>
      </c>
      <c r="H26" s="1633" t="s">
        <v>3174</v>
      </c>
      <c r="I26" s="1633">
        <v>27166.880000000001</v>
      </c>
      <c r="J26" s="1633">
        <v>48.19</v>
      </c>
    </row>
    <row r="27" spans="1:10">
      <c r="B27" s="1633" t="s">
        <v>3175</v>
      </c>
      <c r="C27" s="1633" t="s">
        <v>3015</v>
      </c>
      <c r="D27" s="1633" t="s">
        <v>3130</v>
      </c>
      <c r="E27" s="1633" t="s">
        <v>3131</v>
      </c>
      <c r="F27" s="1633">
        <v>50662.6</v>
      </c>
      <c r="G27" s="1633">
        <v>2</v>
      </c>
      <c r="H27" s="1633" t="s">
        <v>3176</v>
      </c>
      <c r="I27" s="1633">
        <v>20824.04</v>
      </c>
      <c r="J27" s="1633">
        <v>39.74</v>
      </c>
    </row>
    <row r="28" spans="1:10">
      <c r="B28" s="1633" t="s">
        <v>3177</v>
      </c>
      <c r="C28" s="1633" t="s">
        <v>3015</v>
      </c>
      <c r="D28" s="1633" t="s">
        <v>3138</v>
      </c>
      <c r="E28" s="1633" t="s">
        <v>3131</v>
      </c>
      <c r="F28" s="1633">
        <v>45195.85</v>
      </c>
      <c r="G28" s="1633">
        <v>2.67</v>
      </c>
      <c r="H28" s="1633" t="s">
        <v>3178</v>
      </c>
      <c r="I28" s="1633">
        <v>32338.58</v>
      </c>
      <c r="J28" s="1633">
        <v>50</v>
      </c>
    </row>
    <row r="29" spans="1:10">
      <c r="B29" s="1633" t="s">
        <v>3179</v>
      </c>
      <c r="C29" s="1633" t="s">
        <v>3015</v>
      </c>
      <c r="D29" s="1633" t="s">
        <v>3138</v>
      </c>
      <c r="E29" s="1633" t="s">
        <v>3131</v>
      </c>
      <c r="F29" s="1633">
        <v>77626.67</v>
      </c>
      <c r="G29" s="1633">
        <v>2.14</v>
      </c>
      <c r="H29" s="1633" t="s">
        <v>3180</v>
      </c>
      <c r="I29" s="1633">
        <v>26664.25</v>
      </c>
      <c r="J29" s="1633">
        <v>60.73</v>
      </c>
    </row>
    <row r="30" spans="1:10">
      <c r="B30" s="1633" t="s">
        <v>3181</v>
      </c>
      <c r="C30" s="1633" t="s">
        <v>3015</v>
      </c>
      <c r="D30" s="1633" t="s">
        <v>3138</v>
      </c>
      <c r="E30" s="1633" t="s">
        <v>3131</v>
      </c>
      <c r="F30" s="1633">
        <v>61030.67</v>
      </c>
      <c r="G30" s="1633">
        <v>2.5</v>
      </c>
      <c r="H30" s="1633" t="s">
        <v>3182</v>
      </c>
      <c r="I30" s="1633">
        <v>17007.810000000001</v>
      </c>
      <c r="J30" s="1633">
        <v>50</v>
      </c>
    </row>
    <row r="31" spans="1:10">
      <c r="B31" s="1633" t="s">
        <v>3183</v>
      </c>
      <c r="C31" s="1633" t="s">
        <v>3015</v>
      </c>
      <c r="D31" s="1633" t="s">
        <v>3138</v>
      </c>
      <c r="E31" s="1633" t="s">
        <v>3131</v>
      </c>
      <c r="F31" s="1633">
        <v>57931.55</v>
      </c>
      <c r="G31" s="1633">
        <v>2.38</v>
      </c>
      <c r="H31" s="1633" t="s">
        <v>3184</v>
      </c>
      <c r="I31" s="1633">
        <v>16553.52</v>
      </c>
      <c r="J31" s="1633">
        <v>50</v>
      </c>
    </row>
    <row r="32" spans="1:10">
      <c r="B32" s="1633" t="s">
        <v>3185</v>
      </c>
      <c r="C32" s="1633" t="s">
        <v>3015</v>
      </c>
      <c r="D32" s="1633" t="s">
        <v>3138</v>
      </c>
      <c r="E32" s="1633" t="s">
        <v>3131</v>
      </c>
      <c r="F32" s="1633">
        <v>118127</v>
      </c>
      <c r="G32" s="1633">
        <v>1.68</v>
      </c>
      <c r="H32" s="1633" t="s">
        <v>3186</v>
      </c>
      <c r="I32" s="1633">
        <v>10060.36</v>
      </c>
      <c r="J32" s="1633">
        <v>70.94</v>
      </c>
    </row>
    <row r="33" spans="2:10">
      <c r="B33" s="1633" t="s">
        <v>3187</v>
      </c>
      <c r="C33" s="1633" t="s">
        <v>3015</v>
      </c>
      <c r="D33" s="1633" t="s">
        <v>3138</v>
      </c>
      <c r="E33" s="1633" t="s">
        <v>3131</v>
      </c>
      <c r="F33" s="1633">
        <v>158280.4</v>
      </c>
      <c r="G33" s="1633">
        <v>1.68</v>
      </c>
      <c r="H33" s="1633" t="s">
        <v>3188</v>
      </c>
      <c r="I33" s="1633">
        <v>9052.6</v>
      </c>
      <c r="J33" s="1633">
        <v>59.6</v>
      </c>
    </row>
    <row r="34" spans="2:10">
      <c r="B34" s="1633" t="s">
        <v>3189</v>
      </c>
      <c r="C34" s="1633" t="s">
        <v>3015</v>
      </c>
      <c r="D34" s="1633" t="s">
        <v>3130</v>
      </c>
      <c r="E34" s="1633" t="s">
        <v>3131</v>
      </c>
      <c r="F34" s="1633">
        <v>13541.67</v>
      </c>
      <c r="G34" s="1633">
        <v>1.4</v>
      </c>
      <c r="H34" s="1633" t="s">
        <v>3190</v>
      </c>
      <c r="I34" s="1633">
        <v>11868.34</v>
      </c>
      <c r="J34" s="1633">
        <v>50</v>
      </c>
    </row>
    <row r="35" spans="2:10">
      <c r="B35" s="1633" t="s">
        <v>3191</v>
      </c>
      <c r="C35" s="1633" t="s">
        <v>3015</v>
      </c>
      <c r="D35" s="1633" t="s">
        <v>3138</v>
      </c>
      <c r="E35" s="1633" t="s">
        <v>3131</v>
      </c>
      <c r="F35" s="1633">
        <v>46010.69</v>
      </c>
      <c r="G35" s="1633">
        <v>3.8</v>
      </c>
      <c r="H35" s="1633" t="s">
        <v>3192</v>
      </c>
      <c r="I35" s="1633">
        <v>23793.040000000001</v>
      </c>
      <c r="J35" s="1633">
        <v>179.95</v>
      </c>
    </row>
    <row r="36" spans="2:10">
      <c r="B36" s="1633" t="s">
        <v>3193</v>
      </c>
      <c r="C36" s="1633" t="s">
        <v>3015</v>
      </c>
      <c r="D36" s="1633" t="s">
        <v>3130</v>
      </c>
      <c r="E36" s="1633" t="s">
        <v>3131</v>
      </c>
      <c r="F36" s="1633">
        <v>30337.74</v>
      </c>
      <c r="G36" s="1633" t="s">
        <v>3194</v>
      </c>
      <c r="H36" s="1633" t="s">
        <v>3192</v>
      </c>
      <c r="I36" s="1633">
        <v>16052.61</v>
      </c>
      <c r="J36" s="1633">
        <v>49.85</v>
      </c>
    </row>
    <row r="37" spans="2:10">
      <c r="B37" s="1633" t="s">
        <v>3195</v>
      </c>
      <c r="C37" s="1633" t="s">
        <v>3015</v>
      </c>
      <c r="D37" s="1633" t="s">
        <v>3138</v>
      </c>
      <c r="E37" s="1633" t="s">
        <v>3131</v>
      </c>
      <c r="F37" s="1633">
        <v>80118.210000000006</v>
      </c>
      <c r="G37" s="1633">
        <v>2.68</v>
      </c>
      <c r="H37" s="1633" t="s">
        <v>3196</v>
      </c>
      <c r="I37" s="1633">
        <v>10970.97</v>
      </c>
      <c r="J37" s="1633">
        <v>56.71</v>
      </c>
    </row>
    <row r="38" spans="2:10">
      <c r="B38" s="1633" t="s">
        <v>3197</v>
      </c>
      <c r="C38" s="1633" t="s">
        <v>3015</v>
      </c>
      <c r="D38" s="1633" t="s">
        <v>3138</v>
      </c>
      <c r="E38" s="1633" t="s">
        <v>3131</v>
      </c>
      <c r="F38" s="1633">
        <v>54041.64</v>
      </c>
      <c r="G38" s="1633">
        <v>1.72</v>
      </c>
      <c r="H38" s="1633" t="s">
        <v>3196</v>
      </c>
      <c r="I38" s="1633">
        <v>6526.77</v>
      </c>
      <c r="J38" s="1633">
        <v>81.14</v>
      </c>
    </row>
    <row r="39" spans="2:10">
      <c r="B39" s="1633" t="s">
        <v>3198</v>
      </c>
      <c r="C39" s="1633" t="s">
        <v>3015</v>
      </c>
      <c r="D39" s="1633" t="s">
        <v>3138</v>
      </c>
      <c r="E39" s="1633" t="s">
        <v>3131</v>
      </c>
      <c r="F39" s="1633">
        <v>110686.2</v>
      </c>
      <c r="G39" s="1633">
        <v>2.14</v>
      </c>
      <c r="H39" s="1633" t="s">
        <v>3199</v>
      </c>
      <c r="I39" s="1633">
        <v>11180.2</v>
      </c>
      <c r="J39" s="1633">
        <v>49.01</v>
      </c>
    </row>
    <row r="40" spans="2:10">
      <c r="B40" s="1633" t="s">
        <v>3200</v>
      </c>
      <c r="C40" s="1633" t="s">
        <v>3015</v>
      </c>
      <c r="D40" s="1633" t="s">
        <v>3130</v>
      </c>
      <c r="E40" s="1633" t="s">
        <v>3131</v>
      </c>
      <c r="F40" s="1633">
        <v>77380.7</v>
      </c>
      <c r="G40" s="1633" t="s">
        <v>3201</v>
      </c>
      <c r="H40" s="1633" t="s">
        <v>3202</v>
      </c>
      <c r="I40" s="1633">
        <v>16024.65</v>
      </c>
      <c r="J40" s="1633">
        <v>0</v>
      </c>
    </row>
    <row r="41" spans="2:10">
      <c r="B41" s="1633" t="s">
        <v>3203</v>
      </c>
      <c r="C41" s="1633" t="s">
        <v>3015</v>
      </c>
      <c r="D41" s="1633" t="s">
        <v>3130</v>
      </c>
      <c r="E41" s="1633" t="s">
        <v>3131</v>
      </c>
      <c r="F41" s="1633">
        <v>81969.100000000006</v>
      </c>
      <c r="G41" s="1633" t="s">
        <v>3204</v>
      </c>
      <c r="H41" s="1633" t="s">
        <v>3202</v>
      </c>
      <c r="I41" s="1633">
        <v>16081.45</v>
      </c>
      <c r="J41" s="1633">
        <v>0</v>
      </c>
    </row>
    <row r="42" spans="2:10">
      <c r="B42" s="1633" t="s">
        <v>3205</v>
      </c>
      <c r="C42" s="1633" t="s">
        <v>3015</v>
      </c>
      <c r="D42" s="1633" t="s">
        <v>3130</v>
      </c>
      <c r="E42" s="1633" t="s">
        <v>3131</v>
      </c>
      <c r="F42" s="1633">
        <v>61305.61</v>
      </c>
      <c r="G42" s="1633">
        <v>2.4500000000000002</v>
      </c>
      <c r="H42" s="1633" t="s">
        <v>3206</v>
      </c>
      <c r="I42" s="1633">
        <v>4560.6099999999997</v>
      </c>
      <c r="J42" s="1633">
        <v>42.71</v>
      </c>
    </row>
    <row r="43" spans="2:10">
      <c r="B43" s="1633" t="s">
        <v>3207</v>
      </c>
      <c r="C43" s="1633" t="s">
        <v>3015</v>
      </c>
      <c r="D43" s="1633" t="s">
        <v>3138</v>
      </c>
      <c r="E43" s="1633" t="s">
        <v>3131</v>
      </c>
      <c r="F43" s="1633">
        <v>127987.4</v>
      </c>
      <c r="G43" s="1633">
        <v>1.1000000000000001</v>
      </c>
      <c r="H43" s="1633" t="s">
        <v>3206</v>
      </c>
      <c r="I43" s="1633">
        <v>9355.44</v>
      </c>
      <c r="J43" s="1633">
        <v>40</v>
      </c>
    </row>
    <row r="44" spans="2:10">
      <c r="B44" s="1633" t="s">
        <v>3208</v>
      </c>
      <c r="C44" s="1633" t="s">
        <v>3015</v>
      </c>
      <c r="D44" s="1633" t="s">
        <v>3138</v>
      </c>
      <c r="E44" s="1633" t="s">
        <v>3131</v>
      </c>
      <c r="F44" s="1633">
        <v>125271</v>
      </c>
      <c r="G44" s="1633">
        <v>1.1000000000000001</v>
      </c>
      <c r="H44" s="1633" t="s">
        <v>3206</v>
      </c>
      <c r="I44" s="1633">
        <v>9376.0400000000009</v>
      </c>
      <c r="J44" s="1633">
        <v>40</v>
      </c>
    </row>
    <row r="45" spans="2:10">
      <c r="B45" s="1633" t="s">
        <v>3209</v>
      </c>
      <c r="C45" s="1633" t="s">
        <v>3015</v>
      </c>
      <c r="D45" s="1633" t="s">
        <v>3130</v>
      </c>
      <c r="E45" s="1633" t="s">
        <v>3131</v>
      </c>
      <c r="F45" s="1633">
        <v>52166.47</v>
      </c>
      <c r="G45" s="1633">
        <v>2.1</v>
      </c>
      <c r="H45" s="1633" t="s">
        <v>3210</v>
      </c>
      <c r="I45" s="1633">
        <v>14970.32</v>
      </c>
      <c r="J45" s="1633">
        <v>49.09</v>
      </c>
    </row>
    <row r="46" spans="2:10">
      <c r="B46" s="1633" t="s">
        <v>3211</v>
      </c>
      <c r="C46" s="1633" t="s">
        <v>3015</v>
      </c>
      <c r="D46" s="1633" t="s">
        <v>3138</v>
      </c>
      <c r="E46" s="1633" t="s">
        <v>3131</v>
      </c>
      <c r="F46" s="1633">
        <v>61512.12</v>
      </c>
      <c r="G46" s="1633">
        <v>1.8</v>
      </c>
      <c r="H46" s="1633" t="s">
        <v>3212</v>
      </c>
      <c r="I46" s="1633">
        <v>9212.34</v>
      </c>
      <c r="J46" s="1633">
        <v>30.77</v>
      </c>
    </row>
    <row r="47" spans="2:10">
      <c r="B47" s="1633" t="s">
        <v>3213</v>
      </c>
      <c r="C47" s="1633" t="s">
        <v>3015</v>
      </c>
      <c r="D47" s="1633" t="s">
        <v>3130</v>
      </c>
      <c r="E47" s="1633" t="s">
        <v>3131</v>
      </c>
      <c r="F47" s="1633">
        <v>99000.25</v>
      </c>
      <c r="G47" s="1633">
        <v>1.5</v>
      </c>
      <c r="H47" s="1633" t="s">
        <v>3212</v>
      </c>
      <c r="I47" s="1633">
        <v>8148.14</v>
      </c>
      <c r="J47" s="1633">
        <v>15.24</v>
      </c>
    </row>
    <row r="48" spans="2:10">
      <c r="B48" s="1633" t="s">
        <v>3214</v>
      </c>
      <c r="C48" s="1633" t="s">
        <v>3015</v>
      </c>
      <c r="D48" s="1633" t="s">
        <v>3130</v>
      </c>
      <c r="E48" s="1633" t="s">
        <v>3131</v>
      </c>
      <c r="F48" s="1633">
        <v>67576.399999999994</v>
      </c>
      <c r="G48" s="1633" t="s">
        <v>3215</v>
      </c>
      <c r="H48" s="1633" t="s">
        <v>3216</v>
      </c>
      <c r="I48" s="1633">
        <v>12035.76</v>
      </c>
      <c r="J48" s="1633">
        <v>20.55</v>
      </c>
    </row>
    <row r="49" spans="2:10">
      <c r="B49" s="1633" t="s">
        <v>3217</v>
      </c>
      <c r="C49" s="1633" t="s">
        <v>3015</v>
      </c>
      <c r="D49" s="1633" t="s">
        <v>3138</v>
      </c>
      <c r="E49" s="1633" t="s">
        <v>3131</v>
      </c>
      <c r="F49" s="1633">
        <v>69868.88</v>
      </c>
      <c r="G49" s="1633">
        <v>2.2200000000000002</v>
      </c>
      <c r="H49" s="1633" t="s">
        <v>3218</v>
      </c>
      <c r="I49" s="1633">
        <v>13158.22</v>
      </c>
      <c r="J49" s="1633">
        <v>49.45</v>
      </c>
    </row>
    <row r="50" spans="2:10">
      <c r="B50" s="1633" t="s">
        <v>3219</v>
      </c>
      <c r="C50" s="1633" t="s">
        <v>3015</v>
      </c>
      <c r="D50" s="1633" t="s">
        <v>3138</v>
      </c>
      <c r="E50" s="1633" t="s">
        <v>3131</v>
      </c>
      <c r="F50" s="1633">
        <v>113663.4</v>
      </c>
      <c r="G50" s="1633">
        <v>1.53</v>
      </c>
      <c r="H50" s="1633" t="s">
        <v>3218</v>
      </c>
      <c r="I50" s="1633">
        <v>11931.6</v>
      </c>
      <c r="J50" s="1633">
        <v>49.1</v>
      </c>
    </row>
    <row r="51" spans="2:10">
      <c r="B51" s="1633" t="s">
        <v>3220</v>
      </c>
      <c r="C51" s="1633" t="s">
        <v>3015</v>
      </c>
      <c r="D51" s="1633" t="s">
        <v>3130</v>
      </c>
      <c r="E51" s="1633" t="s">
        <v>3131</v>
      </c>
      <c r="F51" s="1633">
        <v>27174.85</v>
      </c>
      <c r="G51" s="1633">
        <v>2.5</v>
      </c>
      <c r="H51" s="1633" t="s">
        <v>3221</v>
      </c>
      <c r="I51" s="1633">
        <v>18870.41</v>
      </c>
      <c r="J51" s="1633">
        <v>49.07</v>
      </c>
    </row>
    <row r="52" spans="2:10">
      <c r="B52" s="1633" t="s">
        <v>3222</v>
      </c>
      <c r="C52" s="1633" t="s">
        <v>3015</v>
      </c>
      <c r="D52" s="1633" t="s">
        <v>3130</v>
      </c>
      <c r="E52" s="1633" t="s">
        <v>3131</v>
      </c>
      <c r="F52" s="1633">
        <v>89714</v>
      </c>
      <c r="G52" s="1633">
        <v>1.5</v>
      </c>
      <c r="H52" s="1633" t="s">
        <v>3223</v>
      </c>
      <c r="I52" s="1633">
        <v>8917.2199999999993</v>
      </c>
      <c r="J52" s="1633">
        <v>50</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Q38"/>
  <sheetViews>
    <sheetView topLeftCell="A19" workbookViewId="0">
      <selection activeCell="R25" sqref="R25"/>
    </sheetView>
  </sheetViews>
  <sheetFormatPr defaultRowHeight="13.5"/>
  <sheetData>
    <row r="9" spans="14:17">
      <c r="N9" s="2990" t="s">
        <v>3414</v>
      </c>
      <c r="O9" s="2990" t="s">
        <v>3402</v>
      </c>
    </row>
    <row r="10" spans="14:17">
      <c r="P10" s="2990" t="s">
        <v>3404</v>
      </c>
      <c r="Q10" s="2990" t="s">
        <v>3407</v>
      </c>
    </row>
    <row r="11" spans="14:17">
      <c r="O11" s="2990" t="s">
        <v>3403</v>
      </c>
      <c r="P11">
        <f>'比较法-叠拼住宅'!C49</f>
        <v>77399</v>
      </c>
      <c r="Q11">
        <f>新抵押面积!E14</f>
        <v>183.49</v>
      </c>
    </row>
    <row r="12" spans="14:17">
      <c r="O12" s="2990" t="s">
        <v>3405</v>
      </c>
      <c r="P12" s="2990">
        <f ca="1">'收益法-地下叠拼仓储'!B3</f>
        <v>24518</v>
      </c>
      <c r="Q12">
        <f>新抵押面积!F14</f>
        <v>103.54</v>
      </c>
    </row>
    <row r="13" spans="14:17">
      <c r="Q13">
        <f>Q11+Q12</f>
        <v>287.03000000000003</v>
      </c>
    </row>
    <row r="14" spans="14:17">
      <c r="O14" s="2990" t="s">
        <v>3406</v>
      </c>
      <c r="P14">
        <f ca="1">(P11*Q11+P12*Q12)/Q13</f>
        <v>58323.298017628818</v>
      </c>
    </row>
    <row r="19" spans="14:17">
      <c r="N19" t="str">
        <f>'比较法-叠拼住宅'!G5</f>
        <v>首开龙湖天琅</v>
      </c>
    </row>
    <row r="20" spans="14:17">
      <c r="P20" s="2990" t="s">
        <v>3404</v>
      </c>
      <c r="Q20" s="2990" t="s">
        <v>3407</v>
      </c>
    </row>
    <row r="21" spans="14:17">
      <c r="O21" s="2990" t="s">
        <v>3403</v>
      </c>
      <c r="P21">
        <f>ROUND((P24*Q23-P22*Q22)/Q21,0)</f>
        <v>83409</v>
      </c>
      <c r="Q21">
        <v>180</v>
      </c>
    </row>
    <row r="22" spans="14:17">
      <c r="O22" s="2990" t="s">
        <v>3405</v>
      </c>
      <c r="P22" s="2990">
        <v>25000</v>
      </c>
      <c r="Q22">
        <v>60</v>
      </c>
    </row>
    <row r="23" spans="14:17">
      <c r="Q23">
        <f>Q21+Q22</f>
        <v>240</v>
      </c>
    </row>
    <row r="24" spans="14:17">
      <c r="O24" s="2990" t="s">
        <v>3406</v>
      </c>
      <c r="P24">
        <v>68807</v>
      </c>
    </row>
    <row r="26" spans="14:17">
      <c r="N26" t="str">
        <f>'比较法-叠拼住宅'!I5</f>
        <v>海晏春秋</v>
      </c>
    </row>
    <row r="27" spans="14:17">
      <c r="P27" s="2990" t="s">
        <v>3404</v>
      </c>
      <c r="Q27" s="2990" t="s">
        <v>3407</v>
      </c>
    </row>
    <row r="28" spans="14:17">
      <c r="O28" s="2990" t="s">
        <v>3403</v>
      </c>
      <c r="P28">
        <f>ROUND((P31*Q30-P29*Q29)/Q28,0)</f>
        <v>80254</v>
      </c>
      <c r="Q28">
        <f>77+77</f>
        <v>154</v>
      </c>
    </row>
    <row r="29" spans="14:17">
      <c r="O29" s="2990" t="s">
        <v>3405</v>
      </c>
      <c r="P29" s="2990">
        <v>25000</v>
      </c>
      <c r="Q29">
        <f>Q30-Q28</f>
        <v>156</v>
      </c>
    </row>
    <row r="30" spans="14:17">
      <c r="Q30">
        <v>310</v>
      </c>
    </row>
    <row r="31" spans="14:17">
      <c r="O31" s="2990" t="s">
        <v>3406</v>
      </c>
      <c r="P31">
        <v>52449</v>
      </c>
    </row>
    <row r="33" spans="14:17">
      <c r="N33" t="str">
        <f>'比较法-叠拼住宅'!E5</f>
        <v>棠颂别墅·璟庐</v>
      </c>
    </row>
    <row r="34" spans="14:17">
      <c r="P34" s="2990" t="s">
        <v>3404</v>
      </c>
      <c r="Q34" s="2990" t="s">
        <v>3407</v>
      </c>
    </row>
    <row r="35" spans="14:17">
      <c r="O35" s="2990" t="s">
        <v>3403</v>
      </c>
      <c r="P35">
        <f>ROUND((P38*Q37-P36*Q36)/Q35,0)</f>
        <v>88235</v>
      </c>
      <c r="Q35">
        <v>170</v>
      </c>
    </row>
    <row r="36" spans="14:17">
      <c r="O36" s="2990" t="s">
        <v>3405</v>
      </c>
      <c r="P36" s="2990">
        <v>25000</v>
      </c>
      <c r="Q36">
        <f>Q37-Q35</f>
        <v>80</v>
      </c>
    </row>
    <row r="37" spans="14:17">
      <c r="Q37">
        <v>250</v>
      </c>
    </row>
    <row r="38" spans="14:17">
      <c r="O38" s="2990" t="s">
        <v>3406</v>
      </c>
      <c r="P38">
        <v>68000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5" t="s">
        <v>1654</v>
      </c>
      <c r="B1" s="3045"/>
      <c r="C1" s="3045"/>
      <c r="D1" s="3045"/>
    </row>
    <row r="2" spans="1:4" ht="18">
      <c r="A2" s="3046" t="s">
        <v>1638</v>
      </c>
      <c r="B2" s="3046"/>
      <c r="C2" s="3046"/>
      <c r="D2" s="3046"/>
    </row>
    <row r="3" spans="1:4" ht="18.75">
      <c r="A3" s="1975" t="s">
        <v>1639</v>
      </c>
      <c r="B3" s="1975" t="s">
        <v>1640</v>
      </c>
      <c r="C3" s="1975" t="s">
        <v>1641</v>
      </c>
      <c r="D3" s="1975" t="s">
        <v>1642</v>
      </c>
    </row>
    <row r="4" spans="1:4" ht="56.25" customHeight="1">
      <c r="A4" s="1976" t="str">
        <f>项目基本情况!B4</f>
        <v>郑燚</v>
      </c>
      <c r="B4" s="1977">
        <f ca="1">项目基本情况!C4</f>
        <v>0</v>
      </c>
      <c r="C4" s="1978"/>
      <c r="D4" s="1979" t="s">
        <v>1643</v>
      </c>
    </row>
    <row r="5" spans="1:4" ht="56.25" customHeight="1">
      <c r="A5" s="1976" t="str">
        <f>项目基本情况!D4</f>
        <v>崔锴</v>
      </c>
      <c r="B5" s="1977">
        <f ca="1">项目基本情况!E4</f>
        <v>0</v>
      </c>
      <c r="C5" s="1980"/>
      <c r="D5" s="1979" t="s">
        <v>1643</v>
      </c>
    </row>
    <row r="6" spans="1:4" ht="18">
      <c r="A6" s="3046" t="s">
        <v>1644</v>
      </c>
      <c r="B6" s="3046"/>
      <c r="C6" s="3046"/>
      <c r="D6" s="3046"/>
    </row>
    <row r="7" spans="1:4" ht="18.75">
      <c r="A7" s="1975" t="s">
        <v>1639</v>
      </c>
      <c r="B7" s="1977" t="s">
        <v>1645</v>
      </c>
      <c r="C7" s="1975" t="s">
        <v>1641</v>
      </c>
      <c r="D7" s="1975" t="s">
        <v>1642</v>
      </c>
    </row>
    <row r="8" spans="1:4" ht="56.25" customHeight="1">
      <c r="A8" s="1981" t="s">
        <v>865</v>
      </c>
      <c r="B8" s="1981" t="s">
        <v>1</v>
      </c>
      <c r="C8" s="1978"/>
      <c r="D8" s="1979" t="s">
        <v>1643</v>
      </c>
    </row>
    <row r="9" spans="1:4">
      <c r="A9" s="727"/>
      <c r="B9" s="727"/>
      <c r="C9" s="727"/>
      <c r="D9" s="727"/>
    </row>
    <row r="10" spans="1:4" ht="18.75">
      <c r="A10" s="1982" t="s">
        <v>1646</v>
      </c>
      <c r="B10" s="727"/>
      <c r="C10" s="727"/>
      <c r="D10" s="727"/>
    </row>
    <row r="11" spans="1:4" ht="30" customHeight="1">
      <c r="A11" s="3047" t="s">
        <v>1647</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39" t="str">
        <f>IF(项目基本情况!B8="抵押","4.本次评估估价师所知悉的法定优先受偿款情况说明如下：","——")</f>
        <v>4.本次评估估价师所知悉的法定优先受偿款情况说明如下：</v>
      </c>
      <c r="B14" s="3044"/>
      <c r="C14" s="3044"/>
      <c r="D14" s="3044"/>
    </row>
    <row r="15" spans="1:4" ht="42" customHeight="1">
      <c r="A15" s="30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1" t="s">
        <v>1648</v>
      </c>
      <c r="B16" s="3041"/>
      <c r="C16" s="3041"/>
      <c r="D16" s="3041"/>
    </row>
    <row r="17" spans="1:4" ht="144" customHeight="1">
      <c r="A17" s="3041" t="s">
        <v>1649</v>
      </c>
      <c r="B17" s="3041"/>
      <c r="C17" s="3041"/>
      <c r="D17" s="3041"/>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9"/>
      <c r="C20" s="3039"/>
      <c r="D20" s="3039"/>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2"/>
      <c r="C21" s="3042"/>
      <c r="D21" s="3042"/>
    </row>
    <row r="22" spans="1:4" ht="18.75" customHeight="1">
      <c r="A22" s="3043" t="s">
        <v>1650</v>
      </c>
      <c r="B22" s="3043"/>
      <c r="C22" s="3043"/>
      <c r="D22" s="3043"/>
    </row>
    <row r="23" spans="1:4">
      <c r="A23" s="1983"/>
      <c r="B23" s="1955"/>
      <c r="C23" s="1955"/>
      <c r="D23" s="1955"/>
    </row>
    <row r="24" spans="1:4">
      <c r="A24" s="1983"/>
      <c r="B24" s="1955"/>
      <c r="C24" s="1955"/>
      <c r="D24" s="1955"/>
    </row>
    <row r="25" spans="1:4" ht="18.75">
      <c r="A25" s="1984" t="s">
        <v>1651</v>
      </c>
    </row>
    <row r="26" spans="1:4" ht="18">
      <c r="A26" s="1953"/>
    </row>
    <row r="27" spans="1:4" ht="18.75">
      <c r="A27" s="1953" t="s">
        <v>1652</v>
      </c>
    </row>
    <row r="30" spans="1:4" ht="18.75">
      <c r="D30" s="1984" t="s">
        <v>1653</v>
      </c>
    </row>
    <row r="31" spans="1:4" ht="13.5" customHeight="1">
      <c r="C31" s="3040">
        <v>42551</v>
      </c>
      <c r="D31" s="30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1" customWidth="1"/>
    <col min="2" max="16384" width="14.5" style="1973"/>
  </cols>
  <sheetData>
    <row r="1" spans="1:7" s="1988" customFormat="1" ht="18.75">
      <c r="A1" s="1987" t="s">
        <v>1655</v>
      </c>
    </row>
    <row r="3" spans="1:7">
      <c r="A3" s="1989" t="s">
        <v>82</v>
      </c>
      <c r="B3" s="1973" t="s">
        <v>1656</v>
      </c>
      <c r="G3" s="1990"/>
    </row>
    <row r="4" spans="1:7">
      <c r="G4" s="1990"/>
    </row>
    <row r="5" spans="1:7">
      <c r="A5" s="1992" t="s">
        <v>73</v>
      </c>
      <c r="B5" s="1973" t="s">
        <v>1657</v>
      </c>
      <c r="G5" s="1990"/>
    </row>
    <row r="6" spans="1:7">
      <c r="G6" s="1990"/>
    </row>
    <row r="7" spans="1:7">
      <c r="A7" s="1993" t="s">
        <v>135</v>
      </c>
      <c r="B7" s="1973" t="s">
        <v>1658</v>
      </c>
      <c r="G7" s="1990"/>
    </row>
    <row r="8" spans="1:7">
      <c r="G8" s="1990"/>
    </row>
    <row r="9" spans="1:7">
      <c r="A9" s="1994" t="s">
        <v>74</v>
      </c>
      <c r="B9" s="1973" t="s">
        <v>1659</v>
      </c>
    </row>
    <row r="11" spans="1:7">
      <c r="A11" s="1995" t="s">
        <v>75</v>
      </c>
      <c r="B11" s="1996" t="s">
        <v>72</v>
      </c>
    </row>
    <row r="13" spans="1:7">
      <c r="A13" s="1997" t="s">
        <v>1660</v>
      </c>
    </row>
    <row r="15" spans="1:7" ht="13.5">
      <c r="A15" s="3053" t="s">
        <v>1661</v>
      </c>
      <c r="B15" s="3048" t="s">
        <v>136</v>
      </c>
      <c r="C15" s="3049"/>
    </row>
    <row r="16" spans="1:7" ht="13.5">
      <c r="A16" s="3054"/>
      <c r="B16" s="3048" t="s">
        <v>69</v>
      </c>
      <c r="C16" s="3049"/>
    </row>
    <row r="17" spans="1:3" ht="13.5">
      <c r="A17" s="3054"/>
      <c r="B17" s="3051" t="s">
        <v>1662</v>
      </c>
      <c r="C17" s="1998" t="s">
        <v>1661</v>
      </c>
    </row>
    <row r="18" spans="1:3" ht="13.5">
      <c r="A18" s="3054"/>
      <c r="B18" s="3051"/>
      <c r="C18" s="1998" t="s">
        <v>1663</v>
      </c>
    </row>
    <row r="19" spans="1:3" ht="13.5">
      <c r="A19" s="3054"/>
      <c r="B19" s="3051"/>
      <c r="C19" s="1998" t="s">
        <v>1664</v>
      </c>
    </row>
    <row r="20" spans="1:3" ht="13.5">
      <c r="A20" s="3055"/>
      <c r="B20" s="3050" t="s">
        <v>1665</v>
      </c>
      <c r="C20" s="3049"/>
    </row>
    <row r="21" spans="1:3" ht="13.5">
      <c r="A21" s="1999" t="s">
        <v>1666</v>
      </c>
      <c r="B21" s="2000"/>
      <c r="C21" s="2001"/>
    </row>
    <row r="22" spans="1:3" ht="13.5">
      <c r="A22" s="3052" t="s">
        <v>1667</v>
      </c>
      <c r="B22" s="3050" t="s">
        <v>1668</v>
      </c>
      <c r="C22" s="3049"/>
    </row>
    <row r="23" spans="1:3" ht="13.5">
      <c r="A23" s="3052"/>
      <c r="B23" s="3050" t="s">
        <v>1669</v>
      </c>
      <c r="C23" s="3049"/>
    </row>
    <row r="24" spans="1:3" ht="13.5">
      <c r="A24" s="3052"/>
      <c r="B24" s="3050" t="s">
        <v>1670</v>
      </c>
      <c r="C24" s="3049"/>
    </row>
    <row r="25" spans="1:3" ht="13.5">
      <c r="A25" s="3052"/>
      <c r="B25" s="3051" t="s">
        <v>1671</v>
      </c>
      <c r="C25" s="1998" t="s">
        <v>1672</v>
      </c>
    </row>
    <row r="26" spans="1:3" ht="13.5">
      <c r="A26" s="3052"/>
      <c r="B26" s="3051"/>
      <c r="C26" s="1998" t="s">
        <v>1673</v>
      </c>
    </row>
    <row r="27" spans="1:3" ht="13.5">
      <c r="A27" s="3052"/>
      <c r="B27" s="3051"/>
      <c r="C27" s="1998" t="s">
        <v>1674</v>
      </c>
    </row>
    <row r="28" spans="1:3" ht="13.5">
      <c r="A28" s="3052"/>
      <c r="B28" s="3051"/>
      <c r="C28" s="1998" t="s">
        <v>1675</v>
      </c>
    </row>
    <row r="29" spans="1:3" ht="13.5">
      <c r="A29" s="3052"/>
      <c r="B29" s="3051"/>
      <c r="C29" s="1998" t="s">
        <v>1676</v>
      </c>
    </row>
    <row r="30" spans="1:3" ht="13.5">
      <c r="A30" s="3052"/>
      <c r="B30" s="3051"/>
      <c r="C30" s="1998" t="s">
        <v>1677</v>
      </c>
    </row>
    <row r="31" spans="1:3" ht="13.5">
      <c r="A31" s="3052"/>
      <c r="B31" s="3051"/>
      <c r="C31" s="1998" t="s">
        <v>1678</v>
      </c>
    </row>
    <row r="32" spans="1:3" ht="13.5">
      <c r="A32" s="3052"/>
      <c r="B32" s="3051"/>
      <c r="C32" s="1998" t="s">
        <v>1679</v>
      </c>
    </row>
    <row r="33" spans="1:3" ht="13.5">
      <c r="A33" s="3052"/>
      <c r="B33" s="3051"/>
      <c r="C33" s="1998" t="s">
        <v>1680</v>
      </c>
    </row>
    <row r="34" spans="1:3">
      <c r="A34" s="2002" t="s">
        <v>76</v>
      </c>
    </row>
    <row r="37" spans="1:3">
      <c r="A37" s="2002" t="s">
        <v>1681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43979</v>
      </c>
      <c r="C2" s="1018" t="s">
        <v>825</v>
      </c>
      <c r="D2" s="1018"/>
    </row>
    <row r="3" spans="1:6" ht="24" customHeight="1">
      <c r="A3" s="1019" t="s">
        <v>826</v>
      </c>
      <c r="B3" s="1020" t="s">
        <v>827</v>
      </c>
      <c r="C3" s="2341" t="s">
        <v>828</v>
      </c>
      <c r="D3" s="2344" t="s">
        <v>829</v>
      </c>
      <c r="E3" s="1021" t="s">
        <v>830</v>
      </c>
      <c r="F3" s="1020" t="s">
        <v>828</v>
      </c>
    </row>
    <row r="4" spans="1:6" ht="24" customHeight="1">
      <c r="A4" s="1700" t="s">
        <v>831</v>
      </c>
      <c r="B4" s="1021" t="str">
        <f ca="1">IF(C4&lt;B2,"已过期",1119970066)</f>
        <v>已过期</v>
      </c>
      <c r="C4" s="2342">
        <v>43849</v>
      </c>
      <c r="D4" s="2345" t="s">
        <v>831</v>
      </c>
      <c r="E4" s="1021">
        <f ca="1">IF(F4&lt;B2,"已过期",96010014)</f>
        <v>96010014</v>
      </c>
      <c r="F4" s="1029">
        <v>47118</v>
      </c>
    </row>
    <row r="5" spans="1:6" ht="24" customHeight="1">
      <c r="A5" s="1700" t="s">
        <v>832</v>
      </c>
      <c r="B5" s="1021" t="str">
        <f ca="1">IF(C5&lt;B2,"已过期",1119970074)</f>
        <v>已过期</v>
      </c>
      <c r="C5" s="2342">
        <v>43849</v>
      </c>
      <c r="D5" s="2345" t="s">
        <v>832</v>
      </c>
      <c r="E5" s="1021">
        <f ca="1">IF(F5&lt;B2,"已过期",2002110027)</f>
        <v>2002110027</v>
      </c>
      <c r="F5" s="1029">
        <v>46752</v>
      </c>
    </row>
    <row r="6" spans="1:6" ht="24" customHeight="1">
      <c r="A6" s="1700" t="s">
        <v>833</v>
      </c>
      <c r="B6" s="1021" t="str">
        <f ca="1">IF(C6&lt;B2,"已过期",1119970111)</f>
        <v>已过期</v>
      </c>
      <c r="C6" s="2342">
        <v>43849</v>
      </c>
      <c r="D6" s="2345" t="s">
        <v>833</v>
      </c>
      <c r="E6" s="1021">
        <f ca="1">IF(F6&lt;B2,"已过期",94010078)</f>
        <v>94010078</v>
      </c>
      <c r="F6" s="1029">
        <v>46387</v>
      </c>
    </row>
    <row r="7" spans="1:6" ht="24" customHeight="1">
      <c r="A7" s="1700" t="s">
        <v>834</v>
      </c>
      <c r="B7" s="1021">
        <f ca="1">IF(C7&lt;B2,"已过期",1120050019)</f>
        <v>1120050019</v>
      </c>
      <c r="C7" s="2342">
        <v>44395</v>
      </c>
      <c r="D7" s="2345" t="s">
        <v>834</v>
      </c>
      <c r="E7" s="1021">
        <f ca="1">IF(F7&lt;B2,"已过期",2002110030)</f>
        <v>2002110030</v>
      </c>
      <c r="F7" s="1029">
        <v>46387</v>
      </c>
    </row>
    <row r="8" spans="1:6" ht="24" customHeight="1">
      <c r="A8" s="1700" t="s">
        <v>835</v>
      </c>
      <c r="B8" s="1021" t="str">
        <f ca="1">IF(C8&lt;B2,"已过期",1120000080)</f>
        <v>已过期</v>
      </c>
      <c r="C8" s="2342">
        <v>43849</v>
      </c>
      <c r="D8" s="2345" t="s">
        <v>835</v>
      </c>
      <c r="E8" s="1021">
        <f ca="1">IF(F8&lt;B2,"已过期",2000110082)</f>
        <v>2000110082</v>
      </c>
      <c r="F8" s="1029">
        <v>46387</v>
      </c>
    </row>
    <row r="9" spans="1:6" ht="24" customHeight="1">
      <c r="A9" s="1700" t="s">
        <v>836</v>
      </c>
      <c r="B9" s="1021" t="str">
        <f ca="1">IF(C9&lt;B2,"已过期",1419970001)</f>
        <v>已过期</v>
      </c>
      <c r="C9" s="2342">
        <v>43867</v>
      </c>
      <c r="D9" s="2345" t="s">
        <v>836</v>
      </c>
      <c r="E9" s="1021">
        <f ca="1">IF(F9&lt;B2,"已过期",2002110125)</f>
        <v>2002110125</v>
      </c>
      <c r="F9" s="1029">
        <v>47118</v>
      </c>
    </row>
    <row r="10" spans="1:6" ht="24" customHeight="1">
      <c r="A10" s="1700" t="s">
        <v>837</v>
      </c>
      <c r="B10" s="1021" t="str">
        <f ca="1">IF(C10&lt;B2,"已过期",1120060040)</f>
        <v>已过期</v>
      </c>
      <c r="C10" s="2342">
        <v>43483</v>
      </c>
      <c r="D10" s="2345" t="s">
        <v>837</v>
      </c>
      <c r="E10" s="1021">
        <f ca="1">IF(F10&lt;B2,"已过期",2004110096)</f>
        <v>2004110096</v>
      </c>
      <c r="F10" s="1029">
        <v>47118</v>
      </c>
    </row>
    <row r="11" spans="1:6" ht="24" customHeight="1">
      <c r="A11" s="1700" t="s">
        <v>838</v>
      </c>
      <c r="B11" s="1021" t="str">
        <f ca="1">IF(C11&lt;B2,"已过期",1120100036)</f>
        <v>已过期</v>
      </c>
      <c r="C11" s="2342">
        <v>43622</v>
      </c>
      <c r="D11" s="2345" t="s">
        <v>838</v>
      </c>
      <c r="E11" s="1021">
        <f ca="1">IF(F11&lt;B2,"已过期",2010110070)</f>
        <v>2010110070</v>
      </c>
      <c r="F11" s="1029">
        <v>47907</v>
      </c>
    </row>
    <row r="12" spans="1:6" ht="24" customHeight="1">
      <c r="A12" s="1700"/>
      <c r="B12" s="1021"/>
      <c r="C12" s="2932"/>
      <c r="D12" s="1700"/>
      <c r="E12" s="1021"/>
      <c r="F12" s="1029"/>
    </row>
    <row r="13" spans="1:6" ht="24" customHeight="1">
      <c r="A13" s="1700" t="s">
        <v>839</v>
      </c>
      <c r="B13" s="1021" t="str">
        <f ca="1">IF(C13&lt;B2,"已过期",1120070131)</f>
        <v>已过期</v>
      </c>
      <c r="C13" s="2342">
        <v>43814</v>
      </c>
      <c r="D13" s="2345" t="s">
        <v>839</v>
      </c>
      <c r="E13" s="1021">
        <f ca="1">IF(F13&lt;B2,"已过期",2014110011)</f>
        <v>2014110011</v>
      </c>
      <c r="F13" s="1029">
        <v>49302</v>
      </c>
    </row>
    <row r="14" spans="1:6" ht="24" customHeight="1">
      <c r="A14" s="1700" t="s">
        <v>2995</v>
      </c>
      <c r="B14" s="1021" t="str">
        <f ca="1">IF(C14&lt;B2,"已过期",1120040230)</f>
        <v>已过期</v>
      </c>
      <c r="C14" s="2342">
        <v>43835</v>
      </c>
      <c r="D14" s="2345" t="s">
        <v>2995</v>
      </c>
      <c r="E14" s="1021">
        <f ca="1">IF(F14&lt;B2,"已过期",98030020)</f>
        <v>98030020</v>
      </c>
      <c r="F14" s="1029">
        <v>47118</v>
      </c>
    </row>
    <row r="15" spans="1:6" ht="24" customHeight="1">
      <c r="A15" s="1701" t="s">
        <v>2996</v>
      </c>
      <c r="B15" s="1021" t="str">
        <f ca="1">IF(C15&lt;B2,"已过期",1120070085)</f>
        <v>已过期</v>
      </c>
      <c r="C15" s="2342">
        <v>43814</v>
      </c>
      <c r="D15" s="2346" t="s">
        <v>2996</v>
      </c>
      <c r="E15" s="1021">
        <f ca="1">IF(F15&lt;B2,"已过期",2004110128)</f>
        <v>2004110128</v>
      </c>
      <c r="F15" s="1022">
        <v>47118</v>
      </c>
    </row>
    <row r="16" spans="1:6" ht="24" customHeight="1">
      <c r="A16" s="1700" t="s">
        <v>2997</v>
      </c>
      <c r="B16" s="1021">
        <f ca="1">IF(C16&lt;B2,"已过期",1120140022)</f>
        <v>1120140022</v>
      </c>
      <c r="C16" s="2932">
        <v>44029</v>
      </c>
      <c r="D16" s="2345" t="s">
        <v>2997</v>
      </c>
      <c r="E16" s="1021">
        <f ca="1">IF(F16&lt;B2,"已过期",2008110059)</f>
        <v>2008110059</v>
      </c>
      <c r="F16" s="1029">
        <v>47177</v>
      </c>
    </row>
    <row r="17" spans="1:7" ht="24" customHeight="1">
      <c r="A17" s="1700"/>
      <c r="B17" s="1021"/>
      <c r="C17" s="2342"/>
      <c r="D17" s="2345" t="s">
        <v>2998</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840</v>
      </c>
      <c r="E21" s="1021">
        <f ca="1">IF(F21&lt;B2,"已过期",2011110090)</f>
        <v>2011110090</v>
      </c>
      <c r="F21" s="1029">
        <v>48302</v>
      </c>
    </row>
    <row r="22" spans="1:7" ht="24" customHeight="1">
      <c r="A22" s="1700" t="s">
        <v>841</v>
      </c>
      <c r="B22" s="1021">
        <f ca="1">IF(C22&lt;B2,"已过期",1120020033)</f>
        <v>1120020033</v>
      </c>
      <c r="C22" s="2932">
        <v>44339</v>
      </c>
      <c r="D22" s="2345" t="s">
        <v>841</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1325</v>
      </c>
      <c r="B24" s="1701" t="s">
        <v>1325</v>
      </c>
      <c r="C24" s="2343" t="s">
        <v>1325</v>
      </c>
      <c r="D24" s="2346" t="s">
        <v>1325</v>
      </c>
      <c r="E24" s="1701" t="s">
        <v>1325</v>
      </c>
      <c r="F24" s="1701" t="s">
        <v>1325</v>
      </c>
    </row>
    <row r="25" spans="1:7" ht="24" customHeight="1">
      <c r="A25" s="3056" t="s">
        <v>842</v>
      </c>
      <c r="B25" s="3056"/>
      <c r="C25" s="3056"/>
      <c r="D25" s="3056"/>
      <c r="E25" s="3056"/>
      <c r="F25" s="3056"/>
      <c r="G25" s="3056"/>
    </row>
    <row r="26" spans="1:7" s="1024" customFormat="1" ht="24" customHeight="1">
      <c r="A26" s="3057" t="s">
        <v>843</v>
      </c>
      <c r="B26" s="3057"/>
      <c r="C26" s="3058"/>
      <c r="D26" s="3059" t="s">
        <v>844</v>
      </c>
      <c r="E26" s="3057"/>
      <c r="F26" s="3057"/>
    </row>
    <row r="27" spans="1:7" s="1026" customFormat="1" ht="24" customHeight="1">
      <c r="A27" s="1025" t="s">
        <v>845</v>
      </c>
      <c r="B27" s="1020" t="s">
        <v>846</v>
      </c>
      <c r="C27" s="2341" t="s">
        <v>847</v>
      </c>
      <c r="D27" s="2349" t="s">
        <v>845</v>
      </c>
      <c r="E27" s="1020" t="s">
        <v>846</v>
      </c>
      <c r="F27" s="1020" t="s">
        <v>847</v>
      </c>
    </row>
    <row r="28" spans="1:7" s="1026" customFormat="1" ht="24" customHeight="1">
      <c r="A28" s="1027" t="s">
        <v>848</v>
      </c>
      <c r="B28" s="1028" t="s">
        <v>849</v>
      </c>
      <c r="C28" s="2347">
        <v>43725</v>
      </c>
      <c r="D28" s="2350" t="s">
        <v>850</v>
      </c>
      <c r="E28" s="1027" t="s">
        <v>851</v>
      </c>
      <c r="F28" s="1057">
        <v>44377</v>
      </c>
    </row>
    <row r="29" spans="1:7" s="1026" customFormat="1" ht="24" customHeight="1">
      <c r="A29" s="1027"/>
      <c r="B29" s="1027"/>
      <c r="C29" s="2348"/>
      <c r="D29" s="2350"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预测面积</vt:lpstr>
      <vt:lpstr>新抵押面积</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2020-05-28T02:23:42Z</dcterms:modified>
</cp:coreProperties>
</file>