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V24" i="1" l="1"/>
  <c r="F24" i="9"/>
  <c r="E24" i="9"/>
  <c r="C6" i="69"/>
  <c r="D37" i="43"/>
  <c r="U25" i="1" l="1"/>
  <c r="T24" i="1" l="1"/>
  <c r="U23" i="1"/>
  <c r="U24" i="1" s="1"/>
  <c r="T23" i="1"/>
  <c r="T22" i="1"/>
  <c r="J52" i="67"/>
  <c r="J49" i="67"/>
  <c r="D33" i="43"/>
  <c r="G51" i="43"/>
  <c r="G52" i="43"/>
  <c r="G53" i="43"/>
  <c r="G54" i="43"/>
  <c r="G55" i="43"/>
  <c r="G56" i="43"/>
  <c r="G57" i="43"/>
  <c r="G58" i="43"/>
  <c r="G50" i="43"/>
  <c r="Y6" i="1"/>
  <c r="N6" i="1"/>
  <c r="N18" i="1"/>
  <c r="N19" i="1" s="1"/>
  <c r="N21" i="1" s="1"/>
  <c r="O20" i="1"/>
  <c r="G19" i="6"/>
  <c r="F19" i="6"/>
  <c r="G24" i="4"/>
  <c r="G23" i="4"/>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4" i="73" l="1"/>
  <c r="F14" i="73"/>
  <c r="E14" i="73"/>
  <c r="G15" i="73"/>
  <c r="F15" i="73"/>
  <c r="E15"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C15" i="4"/>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16" i="15"/>
  <c r="F36" i="67"/>
  <c r="M23" i="67"/>
  <c r="L47" i="67"/>
  <c r="M9" i="67"/>
  <c r="F38" i="67"/>
  <c r="E11" i="76"/>
  <c r="F16" i="67"/>
  <c r="M29" i="67"/>
  <c r="F3" i="73"/>
  <c r="B7" i="76"/>
  <c r="J15" i="67"/>
  <c r="M6" i="15"/>
  <c r="M6" i="67"/>
  <c r="F38" i="15"/>
  <c r="F9" i="15"/>
  <c r="F42" i="15"/>
  <c r="B13" i="76"/>
  <c r="C76" i="67"/>
  <c r="F8" i="67"/>
  <c r="M26" i="15"/>
  <c r="C76" i="15"/>
  <c r="M28" i="67"/>
  <c r="M29" i="15"/>
  <c r="E7" i="76"/>
  <c r="D6" i="73"/>
  <c r="F43" i="15"/>
  <c r="M26" i="67"/>
  <c r="AO13" i="1"/>
  <c r="F26" i="15"/>
  <c r="M8" i="15"/>
  <c r="M28" i="15"/>
  <c r="F13" i="67"/>
  <c r="F37" i="15"/>
  <c r="F37" i="67"/>
  <c r="F40" i="15"/>
  <c r="F40" i="67"/>
  <c r="E10" i="76"/>
  <c r="J15" i="15"/>
  <c r="F6" i="15"/>
  <c r="F13" i="15"/>
  <c r="F6" i="73"/>
  <c r="F26" i="67"/>
  <c r="M23" i="15"/>
  <c r="F5" i="73"/>
  <c r="F4" i="73"/>
  <c r="F36" i="15"/>
  <c r="F42" i="67"/>
  <c r="F7" i="67"/>
  <c r="B11" i="76"/>
  <c r="B10" i="76"/>
  <c r="F7" i="73"/>
  <c r="E9" i="76"/>
  <c r="F8" i="15"/>
  <c r="E2" i="69"/>
  <c r="M22" i="15"/>
  <c r="B12" i="76"/>
  <c r="M24" i="67"/>
  <c r="F9" i="67"/>
  <c r="B8" i="76"/>
  <c r="F20" i="31"/>
  <c r="M24" i="15"/>
  <c r="B9" i="76"/>
  <c r="F43" i="67"/>
  <c r="E13" i="76"/>
  <c r="E12" i="76"/>
  <c r="M9" i="15"/>
  <c r="M8" i="67"/>
  <c r="L47" i="15"/>
  <c r="E8" i="76"/>
  <c r="F7" i="15"/>
  <c r="M22" i="67"/>
  <c r="F6" i="67"/>
  <c r="E2" i="68"/>
  <c r="G23" i="43" l="1"/>
  <c r="C23" i="43" s="1"/>
  <c r="C7" i="33"/>
  <c r="M47" i="9"/>
  <c r="C7" i="35"/>
  <c r="C48" i="35" s="1"/>
  <c r="D48" i="35" s="1"/>
  <c r="E48" i="35" s="1"/>
  <c r="F6" i="1"/>
  <c r="G6" i="1" s="1"/>
  <c r="F7" i="1"/>
  <c r="G44" i="43"/>
  <c r="C7" i="21"/>
  <c r="C58" i="21" s="1"/>
  <c r="D58" i="21" s="1"/>
  <c r="J51" i="67"/>
  <c r="C7" i="34"/>
  <c r="C59" i="34" s="1"/>
  <c r="D59" i="34" s="1"/>
  <c r="E59" i="34" s="1"/>
  <c r="F59" i="34" s="1"/>
  <c r="G59" i="34" s="1"/>
  <c r="H59" i="34" s="1"/>
  <c r="I59" i="34" s="1"/>
  <c r="J59" i="34" s="1"/>
  <c r="K59" i="34" s="1"/>
  <c r="L59" i="34" s="1"/>
  <c r="M59" i="34" s="1"/>
  <c r="N59" i="34" s="1"/>
  <c r="O59" i="34" s="1"/>
  <c r="D52" i="43"/>
  <c r="M20" i="67"/>
  <c r="F34" i="67"/>
  <c r="F62" i="67" s="1"/>
  <c r="C21" i="68"/>
  <c r="C40" i="68"/>
  <c r="C40" i="69"/>
  <c r="D22" i="15"/>
  <c r="D23" i="15"/>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33"/>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C36" i="68"/>
  <c r="D9" i="69"/>
  <c r="C36" i="69"/>
  <c r="D9" i="68"/>
  <c r="C16" i="67"/>
  <c r="L48" i="67"/>
  <c r="D7" i="73"/>
  <c r="D5" i="73"/>
  <c r="C16" i="15"/>
  <c r="D4" i="73"/>
  <c r="L48" i="15"/>
  <c r="D3" i="73"/>
  <c r="L58" i="15" l="1"/>
  <c r="Q73" i="15" s="1"/>
  <c r="J53" i="15"/>
  <c r="L56" i="15" s="1"/>
  <c r="J57" i="15"/>
  <c r="J55" i="15" s="1"/>
  <c r="J58" i="15" s="1"/>
  <c r="Q50" i="15" s="1"/>
  <c r="I54" i="15"/>
  <c r="J53" i="67"/>
  <c r="Q52" i="67" s="1"/>
  <c r="J57" i="67"/>
  <c r="J55" i="67" s="1"/>
  <c r="J58" i="67" s="1"/>
  <c r="Q50" i="67" s="1"/>
  <c r="L56" i="67"/>
  <c r="L58" i="67"/>
  <c r="Q73" i="67" s="1"/>
  <c r="I54" i="67"/>
  <c r="G16" i="1"/>
  <c r="F10" i="39" s="1"/>
  <c r="G7" i="1"/>
  <c r="J7" i="37"/>
  <c r="AC7" i="37" s="1"/>
  <c r="G26" i="43"/>
  <c r="P6" i="1"/>
  <c r="C13" i="12" s="1"/>
  <c r="J26" i="43"/>
  <c r="K16" i="1"/>
  <c r="N94" i="46"/>
  <c r="F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AC6" i="3" s="1"/>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F1" i="67"/>
  <c r="Q60" i="15"/>
  <c r="Q61" i="67"/>
  <c r="Q74" i="67"/>
  <c r="Q74" i="15"/>
  <c r="Q61" i="15"/>
  <c r="AE11" i="1"/>
  <c r="AE9" i="1"/>
  <c r="F27" i="68"/>
  <c r="AE7" i="1"/>
  <c r="AE8" i="1"/>
  <c r="AE12" i="1"/>
  <c r="AE10" i="1"/>
  <c r="AE6" i="1"/>
  <c r="G1" i="73"/>
  <c r="Q60" i="67" l="1"/>
  <c r="D26" i="43"/>
  <c r="C25" i="43" s="1"/>
  <c r="C33" i="43" s="1"/>
  <c r="C7" i="69" s="1"/>
  <c r="E3" i="6"/>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M27" i="15"/>
  <c r="F41" i="67"/>
  <c r="M27" i="67"/>
  <c r="F41" i="15"/>
  <c r="F69" i="67" l="1"/>
  <c r="F25" i="12"/>
  <c r="F22" i="68"/>
  <c r="C26" i="68" s="1"/>
  <c r="D22" i="68" s="1"/>
  <c r="F22" i="11"/>
  <c r="C24" i="11" s="1"/>
  <c r="F24" i="67"/>
  <c r="C24" i="67" s="1"/>
  <c r="F24" i="15"/>
  <c r="C24" i="15" s="1"/>
  <c r="F22" i="69"/>
  <c r="F41" i="69" s="1"/>
  <c r="D116" i="43"/>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9"/>
  <c r="C34" i="69"/>
  <c r="D10" i="68"/>
  <c r="C14" i="67"/>
  <c r="C17" i="15"/>
  <c r="C17" i="67"/>
  <c r="C44" i="68" l="1"/>
  <c r="D41" i="68" s="1"/>
  <c r="C23" i="11"/>
  <c r="C26" i="69"/>
  <c r="D22" i="69" s="1"/>
  <c r="C44" i="11"/>
  <c r="D41" i="11" s="1"/>
  <c r="C26" i="11"/>
  <c r="D22" i="11" s="1"/>
  <c r="C23" i="68"/>
  <c r="F41" i="68"/>
  <c r="C25" i="11"/>
  <c r="C44" i="69"/>
  <c r="D41" i="69" s="1"/>
  <c r="E53" i="34"/>
  <c r="F53" i="34"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M21" i="15"/>
  <c r="F35" i="67"/>
  <c r="E48" i="21" l="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I53" i="21"/>
  <c r="J53" i="21" s="1"/>
  <c r="K65" i="40"/>
  <c r="L63" i="40"/>
  <c r="C19" i="9"/>
  <c r="C102" i="9" l="1"/>
  <c r="C21" i="9"/>
  <c r="B3" i="69"/>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 i="36"/>
  <c r="D2" i="34"/>
  <c r="D19" i="9"/>
  <c r="D102" i="9" l="1"/>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D20" i="9"/>
  <c r="AO9" i="1"/>
  <c r="AO10" i="1"/>
  <c r="AO11" i="1"/>
  <c r="AO7" i="1"/>
  <c r="AO6" i="1"/>
  <c r="D103" i="9" l="1"/>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G24" i="9"/>
  <c r="C35"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H102" i="9" s="1"/>
  <c r="F118" i="9" l="1"/>
  <c r="F119" i="9" s="1"/>
  <c r="F5" i="52" s="1"/>
  <c r="B53" i="72" s="1"/>
  <c r="C5" i="74"/>
  <c r="D7" i="53"/>
  <c r="B21" i="72" s="1"/>
  <c r="I4" i="52"/>
  <c r="C105" i="9"/>
  <c r="H118" i="9"/>
  <c r="E118" i="9"/>
  <c r="F4" i="52" l="1"/>
  <c r="B51" i="72" s="1"/>
  <c r="D118" i="9"/>
  <c r="E4" i="52"/>
  <c r="B48" i="72" s="1"/>
  <c r="H4" i="52"/>
  <c r="C104" i="9"/>
  <c r="H119" i="9"/>
  <c r="H5" i="52" s="1"/>
  <c r="H101" i="9"/>
  <c r="M48" i="9" l="1"/>
  <c r="D45" i="9"/>
  <c r="H107" i="9"/>
  <c r="D5" i="53"/>
  <c r="D4" i="52"/>
  <c r="B47" i="72" s="1"/>
  <c r="D119" i="9"/>
  <c r="D5" i="52" s="1"/>
  <c r="B49" i="72" s="1"/>
  <c r="D6" i="53" l="1"/>
  <c r="B22" i="72" s="1"/>
  <c r="B20" i="72"/>
  <c r="D13" i="53"/>
  <c r="D122" i="9"/>
  <c r="H108" i="9"/>
  <c r="M49" i="9"/>
  <c r="C85" i="9"/>
  <c r="C78" i="9"/>
  <c r="C73" i="9" s="1"/>
  <c r="D52" i="9"/>
  <c r="C72" i="9"/>
  <c r="D53" i="9"/>
  <c r="C93" i="9"/>
  <c r="C86" i="9" s="1"/>
  <c r="D55" i="9"/>
  <c r="M53" i="9" s="1"/>
  <c r="C64" i="9"/>
  <c r="C63" i="9" s="1"/>
  <c r="C67" i="9" s="1"/>
  <c r="C79" i="9" l="1"/>
  <c r="C80" i="9" s="1"/>
  <c r="C95" i="9"/>
  <c r="C96" i="9" s="1"/>
  <c r="E96" i="9" s="1"/>
  <c r="E97" i="9" s="1"/>
  <c r="D15" i="53"/>
  <c r="B31" i="72" s="1"/>
  <c r="C6" i="74"/>
  <c r="D8" i="52"/>
  <c r="D123" i="9"/>
  <c r="D9" i="52" s="1"/>
  <c r="B30" i="72"/>
  <c r="D14" i="53"/>
  <c r="B32" i="72" s="1"/>
  <c r="D59" i="9"/>
  <c r="M55" i="9" s="1"/>
  <c r="C68" i="9"/>
  <c r="D54" i="9" s="1"/>
  <c r="L66" i="9"/>
  <c r="M66" i="9" s="1"/>
  <c r="L63" i="9"/>
  <c r="M63" i="9" s="1"/>
  <c r="L68" i="9"/>
  <c r="M68" i="9" s="1"/>
  <c r="L67" i="9"/>
  <c r="M67" i="9" s="1"/>
  <c r="L64" i="9"/>
  <c r="M64" i="9" s="1"/>
  <c r="L65" i="9"/>
  <c r="M65" i="9" s="1"/>
  <c r="E80" i="9" l="1"/>
  <c r="E81" i="9" s="1"/>
  <c r="C81" i="9"/>
  <c r="M69" i="9"/>
  <c r="N69" i="9" s="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<sst xmlns="http://schemas.openxmlformats.org/spreadsheetml/2006/main" count="7824" uniqueCount="3425">
  <si>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</si>
  <si>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</si>
  <si>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</si>
  <si>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</si>
  <si>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</si>
  <si>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</si>
  <si>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</si>
  <si>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</si>
  <si>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</si>
  <si>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</si>
  <si>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</si>
  <si>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</si>
  <si>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</si>
  <si>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</si>
  <si>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</si>
  <si>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</si>
  <si>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</si>
  <si>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</si>
  <si>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</si>
  <si>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</si>
  <si>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</si>
  <si>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</si>
  <si>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</si>
  <si>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</si>
  <si>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</si>
  <si>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</si>
  <si>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</si>
  <si>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</si>
  <si>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</si>
  <si>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</si>
  <si>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</si>
  <si>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</si>
  <si>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</si>
  <si>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</si>
  <si>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</si>
  <si>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</si>
  <si>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</si>
  <si>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</si>
  <si>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</si>
  <si>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</si>
  <si>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</si>
  <si>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</si>
  <si>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</si>
  <si>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</si>
  <si>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</si>
  <si>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</si>
  <si>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</si>
  <si>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</si>
  <si>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</si>
  <si>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</si>
  <si>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</si>
  <si>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</si>
  <si>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</si>
  <si>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</si>
  <si>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</si>
  <si>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</si>
  <si>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</si>
  <si>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</si>
  <si>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</si>
  <si>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</si>
  <si>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</si>
  <si>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</si>
  <si>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</si>
  <si>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</si>
  <si>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</si>
  <si>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</si>
  <si>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</si>
  <si>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</si>
  <si>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</si>
  <si>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</si>
  <si>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</si>
  <si>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</si>
  <si>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</si>
  <si>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</si>
  <si>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</si>
  <si>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</si>
  <si>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</si>
  <si>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</si>
  <si>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</si>
  <si>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</si>
  <si>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</si>
  <si>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</si>
  <si>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</si>
  <si>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</si>
  <si>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</si>
  <si>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</si>
  <si>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</si>
  <si>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</si>
  <si>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</si>
  <si>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</si>
  <si>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</si>
  <si>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</si>
  <si>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</si>
  <si>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</si>
  <si>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</si>
  <si>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</si>
  <si>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</si>
  <si>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</si>
  <si>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</si>
  <si>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</si>
  <si>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</si>
  <si>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</si>
  <si>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</si>
  <si>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</si>
  <si>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</si>
  <si>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</si>
  <si>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</si>
  <si>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</si>
  <si>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</si>
  <si>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</si>
  <si>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</si>
  <si>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</si>
  <si>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</si>
  <si>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</si>
  <si>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</si>
  <si>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</si>
  <si>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</si>
  <si>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</si>
  <si>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</si>
  <si>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</si>
  <si>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</si>
  <si>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</si>
  <si>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</si>
  <si>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</si>
  <si>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</si>
  <si>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</si>
  <si>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</si>
  <si>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</si>
  <si>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</si>
  <si>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</si>
  <si>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</si>
  <si>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</si>
  <si>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</si>
  <si>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</si>
  <si>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</si>
  <si>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</si>
  <si>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</si>
  <si>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</si>
  <si>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</si>
  <si>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</si>
  <si>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</si>
  <si>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</si>
  <si>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</si>
  <si>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</si>
  <si>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</si>
  <si>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</si>
  <si>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</si>
  <si>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</si>
  <si>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</si>
  <si>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</si>
  <si>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</si>
  <si>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</si>
  <si>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</si>
  <si>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</si>
  <si>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</si>
  <si>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</si>
  <si>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</si>
  <si>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</si>
  <si>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</si>
  <si>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</si>
  <si>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</si>
  <si>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</si>
  <si>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</si>
  <si>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</si>
  <si>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</si>
  <si>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</si>
  <si>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</si>
  <si>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</si>
  <si>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</si>
  <si>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</si>
  <si>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</si>
  <si>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</si>
  <si>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</si>
  <si>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</si>
  <si>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</si>
  <si>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</si>
  <si>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</si>
  <si>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</si>
  <si>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</si>
  <si>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</si>
  <si>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</si>
  <si>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</si>
  <si>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</si>
  <si>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</si>
  <si>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</si>
  <si>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</si>
  <si>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</si>
  <si>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</si>
  <si>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</si>
  <si>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</si>
  <si>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</si>
  <si>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</si>
  <si>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</si>
  <si>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</si>
  <si>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</si>
  <si>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</si>
  <si>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</si>
  <si>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</si>
  <si>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</si>
  <si>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</si>
  <si>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</si>
  <si>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</si>
  <si>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</si>
  <si>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</si>
  <si>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</si>
  <si>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</si>
  <si>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</si>
  <si>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</si>
  <si>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</si>
  <si>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</si>
  <si>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</si>
  <si>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</si>
  <si>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</si>
  <si>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</si>
  <si>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</si>
  <si>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</si>
  <si>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</si>
  <si>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</si>
  <si>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</si>
  <si>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</si>
  <si>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</si>
  <si>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</si>
  <si>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</si>
  <si>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</si>
  <si>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</si>
  <si>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</si>
  <si>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</si>
  <si>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</si>
  <si>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</si>
  <si>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</si>
  <si>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</si>
  <si>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</si>
  <si>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</si>
  <si>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</si>
  <si>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</si>
  <si>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</si>
  <si>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</si>
  <si>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</si>
  <si>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</si>
  <si>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</si>
  <si>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</si>
  <si>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</si>
  <si>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</si>
  <si>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</si>
  <si>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</si>
  <si>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</si>
  <si>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</si>
  <si>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</si>
  <si>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</si>
  <si>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</si>
  <si>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</si>
  <si>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</si>
  <si>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</si>
  <si>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</si>
  <si>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</si>
  <si>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</si>
  <si>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</si>
  <si>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</si>
  <si>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</si>
  <si>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</si>
  <si>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</si>
  <si>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</si>
  <si>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</si>
  <si>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</si>
  <si>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</si>
  <si>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</si>
  <si>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</si>
  <si>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</si>
  <si>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</si>
  <si>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</si>
  <si>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</si>
  <si>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</si>
  <si>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</si>
  <si>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</si>
  <si>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</si>
  <si>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</si>
  <si>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</si>
  <si>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</si>
  <si>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</si>
  <si>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</si>
  <si>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</si>
  <si>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</si>
  <si>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</si>
  <si>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</si>
  <si>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</si>
  <si>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</si>
  <si>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</si>
  <si>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</si>
  <si>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</si>
  <si>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</si>
  <si>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</si>
  <si>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</si>
  <si>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</si>
  <si>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</si>
  <si>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</si>
  <si>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</si>
  <si>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</si>
  <si>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</si>
  <si>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</si>
  <si>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</si>
  <si>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</si>
  <si>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</si>
  <si>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</si>
  <si>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</si>
  <si>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</si>
  <si>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</si>
  <si>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</si>
  <si>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</si>
  <si>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</si>
  <si>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</si>
  <si>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</si>
  <si>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</si>
  <si>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</si>
  <si>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</si>
  <si>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</si>
  <si>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</si>
  <si>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</si>
  <si>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</si>
  <si>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</si>
  <si>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</si>
  <si>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</si>
  <si>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</si>
  <si>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</si>
  <si>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</si>
  <si>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</si>
  <si>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</si>
  <si>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</si>
  <si>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</si>
  <si>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</si>
  <si>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</si>
  <si>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</si>
  <si>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</si>
  <si>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</si>
  <si>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</si>
  <si>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</si>
  <si>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</si>
  <si>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</si>
  <si>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</si>
  <si>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</si>
  <si>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</si>
  <si>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</si>
  <si>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</si>
  <si>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</si>
  <si>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</si>
  <si>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</si>
  <si>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</si>
  <si>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</si>
  <si>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</si>
  <si>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</si>
  <si>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</si>
  <si>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</si>
  <si>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</si>
  <si>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</si>
  <si>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</si>
  <si>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</si>
  <si>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</si>
  <si>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</si>
  <si>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</si>
  <si>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</si>
  <si>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</si>
  <si>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</si>
  <si>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</si>
  <si>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</si>
  <si>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</si>
  <si>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</si>
  <si>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</si>
  <si>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</si>
  <si>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</si>
  <si>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</si>
  <si>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</si>
  <si>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</si>
  <si>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</si>
  <si>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</si>
  <si>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</si>
  <si>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</si>
  <si>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</si>
  <si>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</si>
  <si>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</si>
  <si>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</si>
  <si>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</si>
  <si>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</si>
  <si>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</si>
  <si>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</si>
  <si>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</si>
  <si>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</si>
  <si>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</si>
  <si>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</si>
  <si>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</si>
  <si>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</si>
  <si>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</si>
  <si>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</si>
  <si>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</si>
  <si>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</si>
  <si>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</si>
  <si>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</si>
  <si>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</si>
  <si>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</si>
  <si>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</si>
  <si>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</si>
  <si>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</si>
  <si>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</si>
  <si>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</si>
  <si>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</si>
  <si>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</si>
  <si>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</si>
  <si>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</si>
  <si>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</si>
  <si>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</si>
  <si>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</si>
  <si>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</si>
  <si>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</si>
  <si>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</si>
  <si>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</si>
  <si>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</si>
  <si>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</si>
  <si>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</si>
  <si>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</si>
  <si>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</si>
  <si>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</si>
  <si>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</si>
  <si>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</si>
  <si>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</si>
  <si>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</si>
  <si>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</si>
  <si>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</si>
  <si>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</si>
  <si>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</si>
  <si>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</si>
  <si>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</si>
  <si>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</si>
  <si>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</si>
  <si>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</si>
  <si>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</si>
  <si>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</si>
  <si>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</si>
  <si>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</si>
  <si>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</si>
  <si>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</si>
  <si>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</si>
  <si>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</si>
  <si>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</si>
  <si>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</si>
  <si>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</si>
  <si>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</si>
  <si>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</si>
  <si>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</si>
  <si>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</si>
  <si>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</si>
  <si>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</si>
  <si>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</si>
  <si>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</si>
  <si>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</si>
  <si>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</si>
  <si>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</si>
  <si>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</si>
  <si>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</si>
  <si>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</si>
  <si>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</si>
  <si>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</si>
  <si>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</si>
  <si>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</si>
  <si>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</si>
  <si>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</si>
  <si>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</si>
  <si>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</si>
  <si>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</si>
  <si>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</si>
  <si>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</si>
  <si>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</si>
  <si>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</si>
  <si>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</si>
  <si>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</si>
  <si>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</si>
  <si>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</si>
  <si>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</si>
  <si>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</si>
  <si>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</si>
  <si>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</si>
  <si>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</si>
  <si>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</si>
  <si>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</si>
  <si>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</si>
  <si>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</si>
  <si>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</si>
  <si>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</si>
  <si>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</si>
  <si>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</si>
  <si>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</si>
  <si>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</si>
  <si>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</si>
  <si>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</si>
  <si>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</si>
  <si>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</si>
  <si>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</si>
  <si>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</si>
  <si>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</si>
  <si>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</si>
  <si>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</si>
  <si>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</si>
  <si>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</si>
  <si>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</si>
  <si>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</si>
  <si>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</si>
  <si>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</si>
  <si>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</si>
  <si>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</si>
  <si>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</si>
  <si>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</si>
  <si>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</si>
  <si>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</si>
  <si>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</si>
  <si>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</si>
  <si>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</si>
  <si>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</si>
  <si>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</si>
  <si>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</si>
  <si>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</si>
  <si>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</si>
  <si>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</si>
  <si>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</si>
  <si>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</si>
  <si>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</si>
  <si>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</si>
  <si>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</si>
  <si>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</si>
  <si>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</si>
  <si>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</si>
  <si>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</si>
  <si>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</si>
  <si>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</si>
  <si>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</si>
  <si>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</si>
  <si>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</si>
  <si>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</si>
  <si>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</si>
  <si>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</si>
  <si>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</si>
  <si>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</si>
  <si>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</si>
  <si>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</si>
  <si>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</si>
  <si>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</si>
  <si>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</si>
  <si>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</si>
  <si>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</si>
  <si>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</si>
  <si>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</si>
  <si>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</si>
  <si>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</si>
  <si>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</si>
  <si>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</si>
  <si>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</si>
  <si>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</si>
  <si>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</si>
  <si>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</si>
  <si>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</si>
  <si>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</si>
  <si>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</si>
  <si>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</si>
  <si>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</si>
  <si>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</si>
  <si>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</si>
  <si>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</si>
  <si>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</si>
  <si>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</si>
  <si>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</si>
  <si>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</si>
  <si>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</si>
  <si>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</si>
  <si>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</si>
  <si>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</si>
  <si>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</si>
  <si>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</si>
  <si>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</si>
  <si>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</si>
  <si>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</si>
  <si>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</si>
  <si>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</si>
  <si>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</si>
  <si>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</si>
  <si>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</si>
  <si>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</si>
  <si>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</si>
  <si>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</si>
  <si>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</si>
  <si>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</si>
  <si>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</si>
  <si>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</si>
  <si>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</si>
  <si>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</si>
  <si>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</si>
  <si>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</si>
  <si>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</si>
  <si>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</si>
  <si>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</si>
  <si>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</si>
  <si>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</si>
  <si>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</si>
  <si>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</si>
  <si>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</si>
  <si>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</si>
  <si>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</si>
  <si>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</si>
  <si>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</si>
  <si>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</si>
  <si>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</si>
  <si>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</si>
  <si>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</si>
  <si>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</si>
  <si>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</si>
  <si>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</si>
  <si>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</si>
  <si>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</si>
  <si>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</si>
  <si>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</si>
  <si>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</si>
  <si>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</si>
  <si>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</si>
  <si>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</si>
  <si>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</si>
  <si>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</si>
  <si>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</si>
  <si>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</si>
  <si>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</si>
  <si>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</si>
  <si>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</si>
  <si>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</si>
  <si>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</si>
  <si>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</si>
  <si>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</si>
  <si>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</si>
  <si>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</si>
  <si>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</si>
  <si>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</si>
  <si>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</si>
  <si>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</si>
  <si>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</si>
  <si>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</si>
  <si>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</si>
  <si>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</si>
  <si>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</si>
  <si>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</si>
  <si>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</si>
  <si>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</si>
  <si>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</si>
  <si>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</si>
  <si>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</si>
  <si>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</si>
  <si>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</si>
  <si>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</si>
  <si>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</si>
  <si>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</si>
  <si>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</si>
  <si>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</si>
  <si>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</si>
  <si>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</si>
  <si>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</si>
  <si>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</si>
  <si>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</si>
  <si>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</si>
  <si>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</si>
  <si>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</si>
  <si>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</si>
  <si>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</si>
  <si>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</si>
  <si>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</si>
  <si>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</si>
  <si>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</si>
  <si>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</si>
  <si>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</si>
  <si>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</si>
  <si>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</si>
  <si>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</si>
  <si>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</si>
  <si>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</si>
  <si>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</si>
  <si>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</si>
  <si>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</si>
  <si>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</si>
  <si>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</si>
  <si>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</si>
  <si>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</si>
  <si>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</si>
  <si>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</si>
  <si>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</si>
  <si>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</si>
  <si>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</si>
  <si>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</si>
  <si>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</si>
  <si>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</si>
  <si>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</si>
  <si>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</si>
  <si>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</si>
  <si>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</si>
  <si>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</si>
  <si>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</si>
  <si>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</si>
  <si>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</si>
  <si>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</si>
  <si>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</si>
  <si>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</si>
  <si>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</si>
  <si>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</si>
  <si>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</si>
  <si>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</si>
  <si>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</si>
  <si>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</si>
  <si>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</si>
  <si>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</si>
  <si>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</si>
  <si>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</si>
  <si>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</si>
  <si>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</si>
  <si>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</si>
  <si>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</si>
  <si>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</si>
  <si>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</si>
  <si>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</si>
  <si>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</si>
  <si>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</si>
  <si>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</si>
  <si>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</si>
  <si>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</si>
  <si>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</si>
  <si>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</si>
  <si>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</si>
  <si>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</si>
  <si>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</si>
  <si>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</si>
  <si>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</si>
  <si>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</si>
  <si>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</si>
  <si>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</si>
  <si>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</si>
  <si>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</si>
  <si>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</si>
  <si>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</si>
  <si>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</si>
  <si>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</si>
  <si>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</si>
  <si>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</si>
  <si>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</si>
  <si>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</si>
  <si>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</si>
  <si>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</si>
  <si>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</si>
  <si>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</si>
  <si>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</si>
  <si>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</si>
  <si>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</si>
  <si>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</si>
  <si>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</si>
  <si>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</si>
  <si>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</si>
  <si>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</si>
  <si>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</si>
  <si>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</si>
  <si>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</si>
  <si>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</si>
  <si>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</si>
  <si>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</si>
  <si>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</si>
  <si>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</si>
  <si>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</si>
  <si>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</si>
  <si>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</si>
  <si>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</si>
  <si>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</si>
  <si>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</si>
  <si>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</si>
  <si>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</si>
  <si>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</si>
  <si>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</si>
  <si>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</si>
  <si>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</si>
  <si>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</si>
  <si>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</si>
  <si>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</si>
  <si>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</si>
  <si>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</si>
  <si>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</si>
  <si>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</si>
  <si>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</si>
  <si>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</si>
  <si>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</si>
  <si>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</si>
  <si>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</si>
  <si>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</si>
  <si>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</si>
  <si>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</si>
  <si>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</si>
  <si>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</si>
  <si>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</si>
  <si>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</si>
  <si>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</si>
  <si>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</si>
  <si>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</si>
  <si>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</si>
  <si>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</si>
  <si>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</si>
  <si>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</si>
  <si>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</si>
  <si>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</si>
  <si>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</si>
  <si>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</si>
  <si>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</si>
  <si>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</si>
  <si>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</si>
  <si>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</si>
  <si>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</si>
  <si>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</si>
  <si>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</si>
  <si>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</si>
  <si>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</si>
  <si>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</si>
  <si>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</si>
  <si>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</si>
  <si>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</si>
  <si>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</si>
  <si>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</si>
  <si>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</si>
  <si>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</si>
  <si>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</si>
  <si>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</si>
  <si>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</si>
  <si>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</si>
  <si>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</si>
  <si>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</si>
  <si>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</si>
  <si>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</si>
  <si>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</si>
  <si>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</si>
  <si>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</si>
  <si>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</si>
  <si>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</si>
  <si>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</si>
  <si>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</si>
  <si>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</si>
  <si>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</si>
  <si>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</si>
  <si>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</si>
  <si>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</si>
  <si>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</si>
  <si>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</si>
  <si>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</si>
  <si>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</si>
  <si>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</si>
  <si>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</si>
  <si>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</si>
  <si>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</si>
  <si>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</si>
  <si>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</si>
  <si>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</si>
  <si>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</si>
  <si>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</si>
  <si>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</si>
  <si>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</si>
  <si>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</si>
  <si>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</si>
  <si>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</si>
  <si>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</si>
  <si>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</si>
  <si>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</si>
  <si>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</si>
  <si>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</si>
  <si>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</si>
  <si>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</si>
  <si>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</si>
  <si>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</si>
  <si>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</si>
  <si>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</si>
  <si>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</si>
  <si>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</si>
  <si>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</si>
  <si>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</si>
  <si>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</si>
  <si>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</si>
  <si>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</si>
  <si>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</si>
  <si>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</si>
  <si>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</si>
  <si>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</si>
  <si>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</si>
  <si>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</si>
  <si>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</si>
  <si>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</si>
  <si>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</si>
  <si>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</si>
  <si>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</si>
  <si>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</si>
  <si>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</si>
  <si>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</si>
  <si>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</si>
  <si>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</si>
  <si>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</si>
  <si>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</si>
  <si>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</si>
  <si>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</si>
  <si>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</si>
  <si>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</si>
  <si>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</si>
  <si>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</si>
  <si>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</si>
  <si>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</si>
  <si>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</si>
  <si>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</si>
  <si>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</si>
  <si>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</si>
  <si>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</si>
  <si>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</si>
  <si>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</si>
  <si>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</si>
  <si>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</si>
  <si>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</si>
  <si>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</si>
  <si>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</si>
  <si>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</si>
  <si>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</si>
  <si>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</si>
  <si>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</si>
  <si>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</si>
  <si>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</si>
  <si>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</si>
  <si>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</si>
  <si>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</si>
  <si>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</si>
  <si>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</si>
  <si>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</si>
  <si>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</si>
  <si>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</si>
  <si>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</si>
  <si>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</si>
  <si>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</si>
  <si>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</si>
  <si>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</si>
  <si>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</si>
  <si>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</si>
  <si>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</si>
  <si>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</si>
  <si>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</si>
  <si>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</si>
  <si>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</si>
  <si>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</si>
  <si>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</si>
  <si>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</si>
  <si>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</si>
  <si>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</si>
  <si>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</si>
  <si>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</si>
  <si>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</si>
  <si>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</si>
  <si>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</si>
  <si>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</si>
  <si>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</si>
  <si>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</si>
  <si>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</si>
  <si>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</si>
  <si>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</si>
  <si>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</si>
  <si>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</si>
  <si>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</si>
  <si>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</si>
  <si>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</si>
  <si>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</si>
  <si>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</si>
  <si>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</si>
  <si>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</si>
  <si>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</si>
  <si>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</si>
  <si>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</si>
  <si>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</si>
  <si>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</si>
  <si>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</si>
  <si>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</si>
  <si>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</si>
  <si>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</si>
  <si>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</si>
  <si>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</si>
  <si>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</si>
  <si>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</si>
  <si>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</si>
  <si>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</si>
  <si>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</si>
  <si>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</si>
  <si>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</si>
  <si>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</si>
  <si>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</si>
  <si>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</si>
  <si>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</si>
  <si>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</si>
  <si>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</si>
  <si>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</si>
  <si>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</si>
  <si>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</si>
  <si>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</si>
  <si>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</si>
  <si>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</si>
  <si>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</si>
  <si>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</si>
  <si>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</si>
  <si>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</si>
  <si>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</si>
  <si>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</si>
  <si>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</si>
  <si>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</si>
  <si>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</si>
  <si>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</si>
  <si>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</si>
  <si>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</si>
  <si>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</si>
  <si>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</si>
  <si>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</si>
  <si>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</si>
  <si>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</si>
  <si>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</si>
  <si>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</si>
  <si>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</si>
  <si>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</si>
  <si>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</si>
  <si>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</si>
  <si>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</si>
  <si>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</si>
  <si>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</si>
  <si>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</si>
  <si>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</si>
  <si>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</si>
  <si>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</si>
  <si>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</si>
  <si>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</si>
  <si>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</si>
  <si>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</si>
  <si>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</si>
  <si>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</si>
  <si>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</si>
  <si>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</si>
  <si>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</si>
  <si>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</si>
  <si>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</si>
  <si>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</si>
  <si>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</si>
  <si>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</si>
  <si>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</si>
  <si>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</si>
  <si>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</si>
  <si>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</si>
  <si>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</si>
  <si>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</si>
  <si>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</si>
  <si>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</si>
  <si>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</si>
  <si>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</si>
  <si>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</si>
  <si>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</si>
  <si>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</si>
  <si>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</si>
  <si>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</si>
  <si>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</si>
  <si>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</si>
  <si>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</si>
  <si>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</si>
  <si>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</si>
  <si>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</si>
  <si>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</si>
  <si>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</si>
  <si>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</si>
  <si>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</si>
  <si>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</si>
  <si>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</si>
  <si>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</si>
  <si>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</si>
  <si>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</si>
  <si>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</si>
  <si>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</si>
  <si>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</si>
  <si>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</si>
  <si>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</si>
  <si>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</si>
  <si>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</si>
  <si>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</si>
  <si>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</si>
  <si>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</si>
  <si>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</si>
  <si>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</si>
  <si>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</si>
  <si>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</si>
  <si>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</si>
  <si>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</si>
  <si>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</si>
  <si>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</si>
  <si>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</si>
  <si>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</si>
  <si>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</si>
  <si>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</si>
  <si>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</si>
  <si>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</si>
  <si>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</si>
  <si>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</si>
  <si>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</si>
  <si>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</si>
  <si>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</si>
  <si>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</si>
  <si>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</si>
  <si>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</si>
  <si>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</si>
  <si>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</si>
  <si>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</si>
  <si>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</si>
  <si>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</si>
  <si>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</si>
  <si>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</si>
  <si>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</si>
  <si>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</si>
  <si>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</si>
  <si>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</si>
  <si>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</si>
  <si>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</si>
  <si>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</si>
  <si>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</si>
  <si>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</si>
  <si>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</si>
  <si>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</si>
  <si>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</si>
  <si>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</si>
  <si>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</si>
  <si>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</si>
  <si>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</si>
  <si>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</si>
  <si>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</si>
  <si>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</si>
  <si>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</si>
  <si>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</si>
  <si>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</si>
  <si>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</si>
  <si>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</si>
  <si>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</si>
  <si>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</si>
  <si>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</si>
  <si>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</si>
  <si>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</si>
  <si>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</si>
  <si>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</si>
  <si>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</si>
  <si>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</si>
  <si>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</si>
  <si>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</si>
  <si>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</si>
  <si>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</si>
  <si>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</si>
  <si>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</si>
  <si>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</si>
  <si>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</si>
  <si>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</si>
  <si>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</si>
  <si>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</si>
  <si>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</si>
  <si>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</si>
  <si>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</si>
  <si>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</si>
  <si>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</si>
  <si>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</si>
  <si>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</si>
  <si>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</si>
  <si>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</si>
  <si>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</si>
  <si>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</si>
  <si>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</si>
  <si>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</si>
  <si>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</si>
  <si>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</si>
  <si>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</si>
  <si>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</si>
  <si>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</si>
  <si>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</si>
  <si>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</si>
  <si>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</si>
  <si>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</si>
  <si>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</si>
  <si>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</si>
  <si>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</si>
  <si>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</si>
  <si>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</si>
  <si>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</si>
  <si>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</si>
  <si>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</si>
  <si>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</si>
  <si>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</si>
  <si>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</si>
  <si>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</si>
  <si>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</si>
  <si>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</si>
  <si>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</si>
  <si>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</si>
  <si>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</si>
  <si>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</si>
  <si>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</si>
  <si>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</si>
  <si>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</si>
  <si>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</si>
  <si>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</si>
  <si>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</si>
  <si>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</si>
  <si>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</si>
  <si>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</si>
  <si>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</si>
  <si>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</si>
  <si>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</si>
  <si>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</si>
  <si>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</si>
  <si>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</si>
  <si>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</si>
  <si>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</si>
  <si>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</si>
  <si>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</si>
  <si>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</si>
  <si>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</si>
  <si>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</si>
  <si>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</si>
  <si>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</si>
  <si>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</si>
  <si>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</si>
  <si>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</si>
  <si>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</si>
  <si>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</si>
  <si>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</si>
  <si>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</si>
  <si>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</si>
  <si>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</si>
  <si>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</si>
  <si>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</si>
  <si>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</si>
  <si>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</si>
  <si>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</si>
  <si>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</si>
  <si>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</si>
  <si>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</si>
  <si>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</si>
  <si>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</si>
  <si>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</si>
  <si>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</si>
  <si>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</si>
  <si>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</si>
  <si>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</si>
  <si>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</si>
  <si>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</si>
  <si>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</si>
  <si>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</si>
  <si>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</si>
  <si>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</si>
  <si>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</si>
  <si>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</si>
  <si>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</si>
  <si>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</si>
  <si>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</si>
  <si>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</si>
  <si>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</si>
  <si>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</si>
  <si>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</si>
  <si>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</si>
  <si>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</si>
  <si>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</si>
  <si>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</si>
  <si>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</si>
  <si>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</si>
  <si>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</si>
  <si>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</si>
  <si>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</si>
  <si>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</si>
  <si>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</si>
  <si>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</si>
  <si>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</si>
  <si>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</si>
  <si>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</si>
  <si>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</si>
  <si>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</si>
  <si>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</si>
  <si>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</si>
  <si>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</si>
  <si>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</si>
  <si>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</si>
  <si>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</si>
  <si>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</si>
  <si>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</si>
  <si>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</si>
  <si>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</si>
  <si>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</si>
  <si>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</si>
  <si>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</si>
  <si>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</si>
  <si>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</si>
  <si>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</si>
  <si>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</si>
  <si>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</si>
  <si>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</si>
  <si>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</si>
  <si>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</si>
  <si>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</si>
  <si>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</si>
  <si>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</si>
  <si>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</si>
  <si>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</si>
  <si>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</si>
  <si>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</si>
  <si>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</si>
  <si>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</si>
  <si>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</si>
  <si>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</si>
  <si>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</si>
  <si>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</si>
  <si>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</si>
  <si>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</si>
  <si>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</si>
  <si>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</si>
  <si>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</si>
  <si>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</si>
  <si>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</si>
  <si>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</si>
  <si>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</si>
  <si>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</si>
  <si>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</si>
  <si>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</si>
  <si>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</si>
  <si>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</si>
  <si>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</si>
  <si>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</si>
  <si>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</si>
  <si>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</si>
  <si>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</si>
  <si>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</si>
  <si>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</si>
  <si>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</si>
  <si>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</si>
  <si>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</si>
  <si>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</si>
  <si>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</si>
  <si>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</si>
  <si>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</si>
  <si>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</si>
  <si>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</si>
  <si>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</si>
  <si>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</si>
  <si>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</si>
  <si>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</si>
  <si>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</si>
  <si>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</si>
  <si>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</si>
  <si>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</si>
  <si>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</si>
  <si>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</si>
  <si>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</si>
  <si>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</si>
  <si>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</si>
  <si>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</si>
  <si>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</si>
  <si>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</si>
  <si>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</si>
  <si>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</si>
  <si>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</si>
  <si>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</si>
  <si>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</si>
  <si>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</si>
  <si>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</si>
  <si>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</si>
  <si>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</si>
  <si>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</si>
  <si>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</si>
  <si>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</si>
  <si>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</si>
  <si>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</si>
  <si>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</si>
  <si>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</si>
  <si>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</si>
  <si>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</si>
  <si>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</si>
  <si>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</si>
  <si>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</si>
  <si>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</si>
  <si>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</si>
  <si>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</si>
  <si>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</si>
  <si>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</si>
  <si>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</si>
  <si>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</si>
  <si>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</si>
  <si>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</si>
  <si>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</si>
  <si>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</si>
  <si>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</si>
  <si>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</si>
  <si>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</si>
  <si>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</si>
  <si>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</si>
  <si>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</si>
  <si>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</si>
  <si>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</si>
  <si>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</si>
  <si>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</si>
  <si>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</si>
  <si>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</si>
  <si>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</si>
  <si>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</si>
  <si>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</si>
  <si>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</si>
  <si>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</si>
  <si>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</si>
  <si>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</si>
  <si>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</si>
  <si>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</si>
  <si>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</si>
  <si>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</si>
  <si>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</si>
  <si>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</si>
  <si>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</si>
  <si>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</si>
  <si>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</si>
  <si>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</si>
  <si>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</si>
  <si>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</si>
  <si>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</si>
  <si>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</si>
  <si>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</si>
  <si>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</si>
  <si>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</si>
  <si>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</si>
  <si>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</si>
  <si>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</si>
  <si>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</si>
  <si>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</si>
  <si>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</si>
  <si>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</si>
  <si>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</si>
  <si>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</si>
  <si>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</si>
  <si>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</si>
  <si>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</si>
  <si>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</si>
  <si>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</si>
  <si>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</si>
  <si>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</si>
  <si>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</si>
  <si>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</si>
  <si>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</si>
  <si>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</si>
  <si>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</si>
  <si>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</si>
  <si>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</si>
  <si>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</si>
  <si>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</si>
  <si>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</si>
  <si>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</si>
  <si>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</si>
  <si>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</si>
  <si>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</si>
  <si>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</si>
  <si>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</si>
  <si>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</si>
  <si>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</si>
  <si>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</si>
  <si>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</si>
  <si>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</si>
  <si>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</si>
  <si>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</si>
  <si>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</si>
  <si>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</si>
  <si>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</si>
  <si>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</si>
  <si>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</si>
  <si>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</si>
  <si>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</si>
  <si>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</si>
  <si>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</si>
  <si>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</si>
  <si>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</si>
  <si>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</si>
  <si>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</si>
  <si>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</si>
  <si>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</si>
  <si>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</si>
  <si>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</si>
  <si>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</si>
  <si>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</si>
  <si>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</si>
  <si>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</si>
  <si>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</si>
  <si>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</si>
  <si>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</si>
  <si>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</si>
  <si>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</si>
  <si>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</si>
  <si>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</si>
  <si>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</si>
  <si>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</si>
  <si>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</si>
  <si>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</si>
  <si>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</si>
  <si>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</si>
  <si>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</si>
  <si>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</si>
  <si>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</si>
  <si>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</si>
  <si>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</si>
  <si>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</si>
  <si>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</si>
  <si>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</si>
  <si>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</si>
  <si>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</si>
  <si>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</si>
  <si>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</si>
  <si>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</si>
  <si>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</si>
  <si>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</si>
  <si>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</si>
  <si>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</si>
  <si>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</si>
  <si>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</si>
  <si>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</si>
  <si>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</si>
  <si>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</si>
  <si>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</si>
  <si>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</si>
  <si>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</si>
  <si>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</si>
  <si>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</si>
  <si>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</si>
  <si>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</si>
  <si>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</si>
  <si>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</si>
  <si>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</si>
  <si>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</si>
  <si>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</si>
  <si>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</si>
  <si>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</si>
  <si>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</si>
  <si>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</si>
  <si>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</si>
  <si>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</si>
  <si>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</si>
  <si>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</si>
  <si>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</si>
  <si>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</si>
  <si>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</si>
  <si>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</si>
  <si>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</si>
  <si>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</si>
  <si>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</si>
  <si>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</si>
  <si>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</si>
  <si>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</si>
  <si>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</si>
  <si>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</si>
  <si>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</si>
  <si>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</si>
  <si>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</si>
  <si>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</si>
  <si>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</si>
  <si>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</si>
  <si>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</si>
  <si>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</si>
  <si>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</si>
  <si>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</si>
  <si>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</si>
  <si>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</si>
  <si>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</si>
  <si>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</si>
  <si>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</si>
  <si>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</si>
  <si>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</si>
  <si>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</si>
  <si>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</si>
  <si>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</si>
  <si>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</si>
  <si>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</si>
  <si>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</si>
  <si>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</si>
  <si>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</si>
  <si>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</si>
  <si>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</si>
  <si>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</si>
  <si>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</si>
  <si>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</si>
  <si>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</si>
  <si>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</si>
  <si>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</si>
  <si>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</si>
  <si>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</si>
  <si>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</si>
  <si>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</si>
  <si>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</si>
  <si>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</si>
  <si>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</si>
  <si>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</si>
  <si>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</si>
  <si>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</si>
  <si>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</si>
  <si>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</si>
  <si>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</si>
  <si>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</si>
  <si>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</si>
  <si>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</si>
  <si>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</si>
  <si>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</si>
  <si>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</si>
  <si>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</si>
  <si>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</si>
  <si>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</si>
  <si>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</si>
  <si>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</si>
  <si>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</si>
  <si>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</si>
  <si>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</si>
  <si>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</si>
  <si>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</si>
  <si>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</si>
  <si>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</si>
  <si>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</si>
  <si>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</si>
  <si>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</si>
  <si>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</si>
  <si>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</si>
  <si>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</si>
  <si>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</si>
  <si>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</si>
  <si>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</si>
  <si>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</si>
  <si>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</si>
  <si>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</si>
  <si>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</si>
  <si>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</si>
  <si>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</si>
  <si>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</si>
  <si>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</si>
  <si>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</si>
  <si>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</si>
  <si>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</si>
  <si>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</si>
  <si>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</si>
  <si>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</si>
  <si>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</si>
  <si>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</si>
  <si>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</si>
  <si>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</si>
  <si>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</si>
  <si>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</si>
  <si>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</si>
  <si>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</si>
  <si>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</si>
  <si>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</si>
  <si>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</si>
  <si>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</si>
  <si>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</si>
  <si>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</si>
  <si>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</si>
  <si>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</si>
  <si>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</si>
  <si>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</si>
  <si>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</si>
  <si>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</si>
  <si>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</si>
  <si>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</si>
  <si>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</si>
  <si>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</si>
  <si>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</si>
  <si>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</si>
  <si>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</si>
  <si>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</si>
  <si>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</si>
  <si>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</si>
  <si>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</si>
  <si>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</si>
  <si>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</si>
  <si>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</si>
  <si>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</si>
  <si>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</si>
  <si>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</si>
  <si>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</si>
  <si>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</si>
  <si>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</si>
  <si>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</si>
  <si>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</si>
  <si>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</si>
  <si>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</si>
  <si>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</si>
  <si>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</si>
  <si>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</si>
  <si>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</si>
  <si>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</si>
  <si>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</si>
  <si>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</si>
  <si>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</si>
  <si>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</si>
  <si>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</si>
  <si>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</si>
  <si>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</si>
  <si>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</si>
  <si>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</si>
  <si>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</si>
  <si>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</si>
  <si>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</si>
  <si>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</si>
  <si>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</si>
  <si>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</si>
  <si>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</si>
  <si>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</si>
  <si>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</si>
  <si>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</si>
  <si>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</si>
  <si>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</si>
  <si>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</si>
  <si>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</si>
  <si>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</si>
  <si>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</si>
  <si>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</si>
  <si>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</si>
  <si>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</si>
  <si>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</si>
  <si>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</si>
  <si>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</si>
  <si>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</si>
  <si>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</si>
  <si>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</si>
  <si>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</si>
  <si>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</si>
  <si>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</si>
  <si>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</si>
  <si>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</si>
  <si>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</si>
  <si>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</si>
  <si>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</si>
  <si>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</si>
  <si>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</si>
  <si>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</si>
  <si>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</si>
  <si>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</si>
  <si>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</si>
  <si>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</si>
  <si>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</si>
  <si>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</si>
  <si>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</si>
  <si>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</si>
  <si>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</si>
  <si>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</si>
  <si>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</si>
  <si>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</si>
  <si>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</si>
  <si>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</si>
  <si>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</si>
  <si>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</si>
  <si>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</si>
  <si>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</si>
  <si>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</si>
  <si>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</si>
  <si>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</si>
  <si>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</si>
  <si>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</si>
  <si>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</si>
  <si>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</si>
  <si>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</si>
  <si>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</si>
  <si>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</si>
  <si>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</si>
  <si>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</si>
  <si>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</si>
  <si>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</si>
  <si>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</si>
  <si>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</si>
  <si>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</si>
  <si>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</si>
  <si>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</si>
  <si>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</si>
  <si>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</si>
  <si>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</si>
  <si>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</si>
  <si>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</si>
  <si>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</si>
  <si>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</si>
  <si>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</si>
  <si>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</si>
  <si>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</si>
  <si>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</si>
  <si>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</si>
  <si>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</si>
  <si>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</si>
  <si>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</si>
  <si>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</si>
  <si>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</si>
  <si>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</si>
  <si>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</si>
  <si>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</si>
  <si>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</si>
  <si>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</si>
  <si>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</si>
  <si>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</si>
  <si>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</si>
  <si>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</si>
  <si>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</si>
  <si>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</si>
  <si>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</si>
  <si>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</si>
  <si>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</si>
  <si>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</si>
  <si>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</si>
  <si>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</si>
  <si>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</si>
  <si>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</si>
  <si>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</si>
  <si>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</si>
  <si>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</si>
  <si>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</si>
  <si>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</si>
  <si>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</si>
  <si>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</si>
  <si>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</si>
  <si>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</si>
  <si>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</si>
  <si>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</si>
  <si>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</si>
  <si>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</si>
  <si>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</si>
  <si>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</si>
  <si>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</si>
  <si>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</si>
  <si>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</si>
  <si>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</si>
  <si>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</si>
  <si>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</si>
  <si>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</si>
  <si>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</si>
  <si>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</si>
  <si>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</si>
  <si>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</si>
  <si>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</si>
  <si>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</si>
  <si>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</si>
  <si>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</si>
  <si>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</si>
  <si>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</si>
  <si>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</si>
  <si>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</si>
  <si>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</si>
  <si>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</si>
  <si>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</si>
  <si>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</si>
  <si>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</si>
  <si>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</si>
  <si>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</si>
  <si>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</si>
  <si>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</si>
  <si>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</si>
  <si>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</si>
  <si>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</si>
  <si>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</si>
  <si>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</si>
  <si>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</si>
  <si>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</si>
  <si>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</si>
  <si>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</si>
  <si>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</si>
  <si>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</si>
  <si>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</si>
  <si>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</si>
  <si>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</si>
  <si>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</si>
  <si>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</si>
  <si>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</si>
  <si>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</si>
  <si>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</si>
  <si>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</si>
  <si>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</si>
  <si>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</si>
  <si>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</si>
  <si>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</si>
  <si>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</si>
  <si>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</si>
  <si>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</si>
  <si>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</si>
  <si>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</si>
  <si>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</si>
  <si>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</si>
  <si>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</si>
  <si>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</si>
  <si>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</si>
  <si>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</si>
  <si>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</si>
  <si>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</si>
  <si>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</si>
  <si>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</si>
  <si>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</si>
  <si>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</si>
  <si>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</si>
  <si>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</si>
  <si>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</si>
  <si>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</si>
  <si>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</si>
  <si>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</si>
  <si>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</si>
  <si>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</si>
  <si>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</si>
  <si>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</si>
  <si>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</si>
  <si>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</si>
  <si>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</si>
  <si>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</si>
  <si>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</si>
  <si>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</si>
  <si>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</si>
  <si>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</si>
  <si>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</si>
  <si>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</si>
  <si>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</si>
  <si>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</si>
  <si>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</si>
  <si>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</si>
  <si>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</si>
  <si>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</si>
  <si>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</si>
  <si>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</si>
  <si>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</si>
  <si>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</si>
  <si>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</si>
  <si>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</si>
  <si>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</si>
  <si>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</si>
  <si>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</si>
  <si>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</si>
  <si>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</si>
  <si>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</si>
  <si>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</si>
  <si>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</si>
  <si>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</si>
  <si>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</si>
  <si>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</si>
  <si>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</si>
  <si>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</si>
  <si>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</si>
  <si>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</si>
  <si>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</si>
  <si>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</si>
  <si>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</si>
  <si>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</si>
  <si>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</si>
  <si>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</si>
  <si>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</si>
  <si>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</si>
  <si>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</si>
  <si>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</si>
  <si>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</si>
  <si>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</si>
  <si>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</si>
  <si>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</si>
  <si>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</si>
  <si>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</si>
  <si>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</si>
  <si>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</si>
  <si>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</si>
  <si>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</si>
  <si>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</si>
  <si>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</si>
  <si>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</si>
  <si>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</si>
  <si>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</si>
  <si>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</si>
  <si>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</si>
  <si>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</si>
  <si>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</si>
  <si>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</si>
  <si>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</si>
  <si>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</si>
  <si>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</si>
  <si>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</si>
  <si>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</si>
  <si>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</si>
  <si>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</si>
  <si>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</si>
  <si>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</si>
  <si>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</si>
  <si>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</si>
  <si>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</si>
  <si>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</si>
  <si>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</si>
  <si>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</si>
  <si>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</si>
  <si>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</si>
  <si>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</si>
  <si>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</si>
  <si>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</si>
  <si>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</si>
  <si>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</si>
  <si>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</si>
  <si>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</si>
  <si>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</si>
  <si>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</si>
  <si>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</si>
  <si>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</si>
  <si>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</si>
  <si>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</si>
  <si>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</si>
  <si>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</si>
  <si>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</si>
  <si>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</si>
  <si>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</si>
  <si>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</si>
  <si>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</si>
  <si>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</si>
  <si>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</si>
  <si>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</si>
  <si>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</si>
  <si>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</si>
  <si>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</si>
  <si>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</si>
  <si>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</si>
  <si>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</si>
  <si>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</si>
  <si>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</si>
  <si>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</si>
  <si>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</si>
  <si>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</si>
  <si>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</si>
  <si>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</si>
  <si>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</si>
  <si>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</si>
  <si>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</si>
  <si>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</si>
  <si>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</si>
  <si>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</si>
  <si>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</si>
  <si>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</si>
  <si>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</si>
  <si>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</si>
  <si>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</si>
  <si>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</si>
  <si>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</si>
  <si>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</si>
  <si>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</si>
  <si>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</si>
  <si>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</si>
  <si>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</si>
  <si>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</si>
  <si>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</si>
  <si>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</si>
  <si>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</si>
  <si>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</si>
  <si>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</si>
  <si>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</si>
  <si>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</si>
  <si>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</si>
  <si>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</si>
  <si>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</si>
  <si>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</si>
  <si>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</si>
  <si>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</si>
  <si>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</si>
  <si>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</si>
  <si>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</si>
  <si>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</si>
  <si>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</si>
  <si>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</si>
  <si>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</si>
  <si>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</si>
  <si>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</si>
  <si>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</si>
  <si>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</si>
  <si>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</si>
  <si>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</si>
  <si>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</si>
  <si>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</si>
  <si>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</si>
  <si>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</si>
  <si>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</si>
  <si>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</si>
  <si>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</si>
  <si>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</si>
  <si>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</si>
  <si>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</si>
  <si>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</si>
  <si>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</si>
  <si>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</si>
  <si>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</si>
  <si>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</si>
  <si>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</si>
  <si>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</si>
  <si>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</si>
  <si>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</si>
  <si>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</si>
  <si>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</si>
  <si>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</si>
  <si>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</si>
  <si>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</si>
  <si>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</si>
  <si>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</si>
  <si>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</si>
  <si>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</si>
  <si>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</si>
  <si>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</si>
  <si>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</si>
  <si>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</si>
  <si>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</si>
  <si>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</si>
  <si>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</si>
  <si>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</si>
  <si>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</si>
  <si>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</si>
  <si>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</si>
  <si>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</si>
  <si>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</si>
  <si>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</si>
  <si>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</si>
  <si>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</si>
  <si>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</si>
  <si>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</si>
  <si>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</si>
  <si>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</si>
  <si>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</si>
  <si>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</si>
  <si>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</si>
  <si>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</si>
  <si>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</si>
  <si>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</si>
  <si>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</si>
  <si>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</si>
  <si>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</si>
  <si>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</si>
  <si>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</si>
  <si>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</si>
  <si>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</si>
  <si>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</si>
  <si>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</si>
  <si>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</si>
  <si>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</si>
  <si>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</si>
  <si>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</si>
  <si>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</si>
  <si>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</si>
  <si>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</si>
  <si>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</si>
  <si>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</si>
  <si>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</si>
  <si>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</si>
  <si>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</si>
  <si>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</si>
  <si>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</si>
  <si>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</si>
  <si>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</si>
  <si>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</si>
  <si>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</si>
  <si>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</si>
  <si>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</si>
  <si>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</si>
  <si>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</si>
  <si>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</si>
  <si>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</si>
  <si>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</si>
  <si>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</si>
  <si>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</si>
  <si>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</si>
  <si>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</si>
  <si>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</si>
  <si>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</si>
  <si>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</si>
  <si>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</si>
  <si>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</si>
  <si>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</si>
  <si>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</si>
  <si>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</si>
  <si>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</si>
  <si>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</si>
  <si>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</si>
  <si>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</si>
  <si>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</si>
  <si>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</si>
  <si>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</si>
  <si>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</si>
  <si>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</si>
  <si>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</si>
  <si>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</si>
  <si>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</si>
  <si>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</si>
  <si>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</si>
  <si>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</si>
  <si>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</si>
  <si>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</si>
  <si>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</si>
  <si>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</si>
  <si>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</si>
  <si>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</si>
  <si>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</si>
  <si>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</si>
  <si>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</si>
  <si>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</si>
  <si>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</si>
  <si>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</si>
  <si>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</si>
  <si>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</si>
  <si>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</si>
  <si>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</si>
  <si>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</si>
  <si>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</si>
  <si>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</si>
  <si>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</si>
  <si>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</si>
  <si>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</si>
  <si>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</si>
  <si>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</si>
  <si>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</si>
  <si>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</si>
  <si>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</si>
  <si>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</si>
  <si>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</si>
  <si>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</si>
  <si>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</si>
  <si>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</si>
  <si>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</si>
  <si>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</si>
  <si>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</si>
  <si>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</si>
  <si>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</si>
  <si>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</si>
  <si>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</si>
  <si>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</si>
  <si>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</si>
  <si>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</si>
  <si>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</si>
  <si>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</si>
  <si>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</si>
  <si>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</si>
  <si>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</si>
  <si>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</si>
  <si>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</si>
  <si>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</si>
  <si>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</si>
  <si>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</si>
  <si>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</si>
  <si>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</si>
  <si>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</si>
  <si>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</si>
  <si>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</si>
  <si>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</si>
  <si>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</si>
  <si>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</si>
  <si>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</si>
  <si>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</si>
  <si>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</si>
  <si>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</si>
  <si>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</si>
  <si>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</si>
  <si>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</si>
  <si>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</si>
  <si>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</si>
  <si>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</si>
  <si>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</si>
  <si>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</si>
  <si>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</si>
  <si>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</si>
  <si>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</si>
  <si>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</si>
  <si>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</si>
  <si>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</si>
  <si>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</si>
  <si>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</si>
  <si>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</si>
  <si>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</si>
  <si>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</si>
  <si>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</si>
  <si>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</si>
  <si>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</si>
  <si>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</si>
  <si>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</si>
  <si>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</si>
  <si>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</si>
  <si>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</si>
  <si>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</si>
  <si>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</si>
  <si>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</si>
  <si>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</si>
  <si>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</si>
  <si>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</si>
  <si>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</si>
  <si>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</si>
  <si>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</si>
  <si>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</si>
  <si>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</si>
  <si>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</si>
  <si>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</si>
  <si>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</si>
  <si>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</si>
  <si>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</si>
  <si>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</si>
  <si>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</si>
  <si>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</si>
  <si>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</si>
  <si>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</si>
  <si>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</si>
  <si>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</si>
  <si>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</si>
  <si>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</si>
  <si>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</si>
  <si>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</si>
  <si>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</si>
  <si>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</si>
  <si>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</si>
  <si>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</si>
  <si>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</si>
  <si>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</si>
  <si>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</si>
  <si>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</si>
  <si>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</si>
  <si>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</si>
  <si>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</si>
  <si>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</si>
  <si>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</si>
  <si>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</si>
  <si>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</si>
  <si>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</si>
  <si>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</si>
  <si>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</si>
  <si>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</si>
  <si>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</si>
  <si>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</si>
  <si>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</si>
  <si>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</si>
  <si>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</si>
  <si>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</si>
  <si>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</si>
  <si>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</si>
  <si>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</si>
  <si>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</si>
  <si>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</si>
  <si>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</si>
  <si>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</si>
  <si>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</si>
  <si>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</si>
  <si>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</si>
  <si>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</si>
  <si>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</si>
  <si>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</si>
  <si>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</si>
  <si>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</si>
  <si>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</si>
  <si>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</si>
  <si>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</si>
  <si>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</si>
  <si>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</si>
  <si>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</si>
  <si>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</si>
  <si>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</si>
  <si>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</si>
  <si>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</si>
  <si>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</si>
  <si>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</si>
  <si>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</si>
  <si>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</si>
  <si>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</si>
  <si>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</si>
  <si>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</si>
  <si>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</si>
  <si>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</si>
  <si>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</si>
  <si>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</si>
  <si>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</si>
  <si>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</si>
  <si>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</si>
  <si>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</si>
  <si>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</si>
  <si>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</si>
  <si>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</si>
  <si>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</si>
  <si>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</si>
  <si>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</si>
  <si>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</si>
  <si>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</si>
  <si>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</si>
  <si>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</si>
  <si>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</si>
  <si>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</si>
  <si>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</si>
  <si>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</si>
  <si>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</si>
  <si>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</si>
  <si>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</si>
  <si>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</si>
  <si>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</si>
  <si>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</si>
  <si>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</si>
  <si>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</si>
  <si>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</si>
  <si>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</si>
  <si>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</si>
  <si>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</si>
  <si>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</si>
  <si>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</si>
  <si>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</si>
  <si>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</si>
  <si>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</si>
  <si>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</si>
  <si>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</si>
  <si>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</si>
  <si>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</si>
  <si>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</si>
  <si>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</si>
  <si>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</si>
  <si>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</si>
  <si>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</si>
  <si>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</si>
  <si>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</si>
  <si>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</si>
  <si>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</si>
  <si>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</si>
  <si>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</si>
  <si>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</si>
  <si>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</si>
  <si>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</si>
  <si>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</si>
  <si>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</si>
  <si>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</si>
  <si>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</si>
  <si>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</si>
  <si>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</si>
  <si>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</si>
  <si>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</si>
  <si>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</si>
  <si>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</si>
  <si>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</si>
  <si>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</si>
  <si>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</si>
  <si>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</si>
  <si>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</si>
  <si>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</si>
  <si>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</si>
  <si>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</si>
  <si>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</si>
  <si>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</si>
  <si>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</si>
  <si>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</si>
  <si>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</si>
  <si>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</si>
  <si>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</si>
  <si>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</si>
  <si>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</si>
  <si>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</si>
  <si>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</si>
  <si>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</si>
  <si>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</si>
  <si>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</si>
  <si>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</si>
  <si>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</si>
  <si>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</si>
  <si>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</si>
  <si>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</si>
  <si>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</si>
  <si>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</si>
  <si>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</si>
  <si>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</si>
  <si>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</si>
  <si>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</si>
  <si>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</si>
  <si>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</si>
  <si>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</si>
  <si>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</si>
  <si>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</si>
  <si>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</si>
  <si>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</si>
  <si>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</si>
  <si>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</si>
  <si>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</si>
  <si>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</si>
  <si>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</si>
  <si>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</si>
  <si>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</si>
  <si>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</si>
  <si>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</si>
  <si>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</si>
  <si>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</si>
  <si>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</si>
  <si>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</si>
  <si>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</si>
  <si>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</si>
  <si>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</si>
  <si>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</si>
  <si>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</si>
  <si>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</si>
  <si>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</si>
  <si>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</si>
  <si>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</si>
  <si>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</si>
  <si>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</si>
  <si>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</si>
  <si>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</si>
  <si>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</si>
  <si>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</si>
  <si>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</si>
  <si>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</si>
  <si>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</si>
  <si>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</si>
  <si>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</si>
  <si>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</si>
  <si>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</si>
  <si>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</si>
  <si>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</si>
  <si>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</si>
  <si>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</si>
  <si>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</si>
  <si>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</si>
  <si>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</si>
  <si>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</si>
  <si>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</si>
  <si>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</si>
  <si>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</si>
  <si>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</si>
  <si>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</si>
  <si>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</si>
  <si>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</si>
  <si>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</si>
  <si>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</si>
  <si>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</si>
  <si>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</si>
  <si>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</si>
  <si>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</si>
  <si>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</si>
  <si>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</si>
  <si>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</si>
  <si>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</si>
  <si>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</si>
  <si>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</si>
  <si>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</si>
  <si>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</si>
  <si>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</si>
  <si>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</si>
  <si>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</si>
  <si>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</si>
  <si>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</si>
  <si>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</si>
  <si>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</si>
  <si>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</si>
  <si>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</si>
  <si>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</si>
  <si>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</si>
  <si>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</si>
  <si>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</si>
  <si>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</si>
  <si>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</si>
  <si>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</si>
  <si>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</si>
  <si>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</si>
  <si>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</si>
  <si>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</si>
  <si>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</si>
  <si>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</si>
  <si>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</si>
  <si>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</si>
  <si>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</si>
  <si>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</si>
  <si>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</si>
  <si>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</si>
  <si>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</si>
  <si>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</si>
  <si>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</si>
  <si>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</si>
  <si>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</si>
  <si>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</si>
  <si>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</si>
  <si>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</si>
  <si>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</si>
  <si>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</si>
  <si>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</si>
  <si>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</si>
  <si>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</si>
  <si>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</si>
  <si>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</si>
  <si>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</si>
  <si>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</si>
  <si>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</si>
  <si>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</si>
  <si>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</si>
  <si>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</si>
  <si>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</si>
  <si>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</si>
  <si>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</si>
  <si>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</si>
  <si>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</si>
  <si>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</si>
  <si>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</si>
  <si>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</si>
  <si>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</si>
  <si>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</si>
  <si>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</si>
  <si>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</si>
  <si>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</si>
  <si>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</si>
  <si>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</si>
  <si>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</si>
  <si>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</si>
  <si>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</si>
  <si>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</si>
  <si>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</si>
  <si>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</si>
  <si>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</si>
  <si>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</si>
  <si>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</si>
  <si>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</si>
  <si>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</si>
  <si>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</si>
  <si>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</si>
  <si>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</si>
  <si>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</si>
  <si>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</si>
  <si>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</si>
  <si>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</si>
  <si>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</si>
  <si>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</si>
  <si>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</si>
  <si>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</si>
  <si>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</si>
  <si>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</si>
  <si>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</si>
  <si>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</si>
  <si>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</si>
  <si>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</si>
  <si>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</si>
  <si>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</si>
  <si>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</si>
  <si>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</si>
  <si>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</si>
  <si>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</si>
  <si>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</si>
  <si>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</si>
  <si>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</si>
  <si>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</si>
  <si>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</si>
  <si>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</si>
  <si>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</si>
  <si>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</si>
  <si>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</si>
  <si>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</si>
  <si>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</si>
  <si>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</si>
  <si>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</si>
  <si>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</si>
  <si>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</si>
  <si>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</si>
  <si>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</si>
  <si>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</si>
  <si>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</si>
  <si>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</si>
  <si>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</si>
  <si>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</si>
  <si>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</si>
  <si>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</si>
  <si>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</si>
  <si>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</si>
  <si>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</si>
  <si>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</si>
  <si>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</si>
  <si>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</si>
  <si>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</si>
  <si>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</si>
  <si>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</si>
  <si>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</si>
  <si>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</si>
  <si>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</si>
  <si>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</si>
  <si>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</si>
  <si>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</si>
  <si>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</si>
  <si>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</si>
  <si>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</si>
  <si>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</si>
  <si>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</si>
  <si>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</si>
  <si>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</si>
  <si>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</si>
  <si>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</si>
  <si>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</si>
  <si>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</si>
  <si>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</si>
  <si>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</si>
  <si>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</si>
  <si>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</si>
  <si>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</si>
  <si>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</si>
  <si>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</si>
  <si>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</si>
  <si>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</si>
  <si>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</si>
  <si>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</si>
  <si>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</si>
  <si>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</si>
  <si>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</si>
  <si>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</si>
  <si>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</si>
  <si>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</si>
  <si>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</si>
  <si>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</si>
  <si>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</si>
  <si>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</si>
  <si>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</si>
  <si>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</si>
  <si>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</si>
  <si>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</si>
  <si>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</si>
  <si>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</si>
  <si>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</si>
  <si>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</si>
  <si>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</si>
  <si>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</si>
  <si>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</si>
  <si>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</si>
  <si>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</si>
  <si>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</si>
  <si>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</si>
  <si>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</si>
  <si>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</si>
  <si>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</si>
  <si>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</si>
  <si>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</si>
  <si>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</si>
  <si>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</si>
  <si>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</si>
  <si>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</si>
  <si>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</si>
  <si>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</si>
  <si>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</si>
  <si>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</si>
  <si>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</si>
  <si>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</si>
  <si>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</si>
  <si>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</si>
  <si>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</si>
  <si>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</si>
  <si>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</si>
  <si>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</si>
  <si>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</si>
  <si>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</si>
  <si>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</si>
  <si>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</si>
  <si>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</si>
  <si>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</si>
  <si>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</si>
  <si>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</si>
  <si>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</si>
  <si>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</si>
  <si>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</si>
  <si>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</si>
  <si>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</si>
  <si>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</si>
  <si>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</si>
  <si>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</si>
  <si>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</si>
  <si>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</si>
  <si>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</si>
  <si>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</si>
  <si>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</si>
  <si>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</si>
  <si>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</si>
  <si>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</si>
  <si>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</si>
  <si>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</si>
  <si>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</si>
  <si>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</si>
  <si>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</si>
  <si>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</si>
  <si>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</si>
  <si>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</si>
  <si>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</si>
  <si>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</si>
  <si>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</si>
  <si>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</si>
  <si>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</si>
  <si>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</si>
  <si>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</si>
  <si>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</si>
  <si>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</si>
  <si>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</si>
  <si>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</si>
  <si>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</si>
  <si>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</si>
  <si>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</si>
  <si>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</si>
  <si>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</si>
  <si>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</si>
  <si>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</si>
  <si>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</si>
  <si>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</si>
  <si>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</si>
  <si>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</si>
  <si>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</si>
  <si>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</si>
  <si>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</si>
  <si>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</si>
  <si>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</si>
  <si>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</si>
  <si>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</si>
  <si>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</si>
  <si>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</si>
  <si>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</si>
  <si>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</si>
  <si>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</si>
  <si>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</si>
  <si>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</si>
  <si>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</si>
  <si>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</si>
  <si>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</si>
  <si>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</si>
  <si>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</si>
  <si>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</si>
  <si>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</si>
  <si>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</si>
  <si>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</si>
  <si>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</si>
  <si>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</si>
  <si>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</si>
  <si>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</si>
  <si>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</si>
  <si>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</si>
  <si>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</si>
  <si>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</si>
  <si>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</si>
  <si>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</si>
  <si>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</si>
  <si>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</si>
  <si>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</si>
  <si>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</si>
  <si>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</si>
  <si>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</si>
  <si>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</si>
  <si>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</si>
  <si>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</si>
  <si>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</si>
  <si>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</si>
  <si>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</si>
  <si>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</si>
  <si>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</si>
  <si>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</si>
  <si>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</si>
  <si>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</si>
  <si>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</si>
  <si>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</si>
  <si>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</si>
  <si>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</si>
  <si>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</si>
  <si>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</si>
  <si>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</si>
  <si>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</si>
  <si>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</si>
  <si>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</si>
  <si>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</si>
  <si>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</si>
  <si>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</si>
  <si>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</si>
  <si>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</si>
  <si>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</si>
  <si>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</si>
  <si>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</si>
  <si>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</si>
  <si>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</si>
  <si>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</si>
  <si>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</si>
  <si>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</si>
  <si>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</si>
  <si>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</si>
  <si>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</si>
  <si>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</si>
  <si>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</si>
  <si>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</si>
  <si>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</si>
  <si>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</si>
  <si>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</si>
  <si>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</si>
  <si>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</si>
  <si>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</si>
  <si>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</si>
  <si>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</si>
  <si>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</si>
  <si>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</si>
  <si>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</si>
  <si>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</si>
  <si>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</si>
  <si>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</si>
  <si>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</si>
  <si>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</si>
  <si>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</si>
  <si>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</si>
  <si>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</si>
  <si>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</si>
  <si>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</si>
  <si>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</si>
  <si>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</si>
  <si>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</si>
  <si>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</si>
  <si>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</si>
  <si>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</si>
  <si>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</si>
  <si>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</si>
  <si>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</si>
  <si>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</si>
  <si>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</si>
  <si>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</si>
  <si>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</si>
  <si>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</si>
  <si>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</si>
  <si>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</si>
  <si>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</si>
  <si>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</si>
  <si>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</si>
  <si>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</si>
  <si>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</si>
  <si>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</si>
  <si>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</si>
  <si>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</si>
  <si>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</si>
  <si>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</si>
  <si>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</si>
  <si>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</si>
  <si>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</si>
  <si>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</si>
  <si>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</si>
  <si>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</si>
  <si>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</si>
  <si>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</si>
  <si>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</si>
  <si>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</si>
  <si>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</si>
  <si>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</si>
  <si>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</si>
  <si>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</si>
  <si>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</si>
  <si>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</si>
  <si>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</si>
  <si>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</si>
  <si>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</si>
  <si>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</si>
  <si>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</si>
  <si>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</si>
  <si>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</si>
  <si>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</si>
  <si>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</si>
  <si>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</si>
  <si>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</si>
  <si>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</si>
  <si>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</si>
  <si>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</si>
  <si>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</si>
  <si>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</si>
  <si>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</si>
  <si>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</si>
  <si>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</si>
  <si>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</si>
  <si>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</si>
  <si>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</si>
  <si>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</si>
  <si>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</si>
  <si>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</si>
  <si>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</si>
  <si>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</si>
  <si>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</si>
  <si>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</si>
  <si>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</si>
  <si>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</si>
  <si>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</si>
  <si>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</si>
  <si>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</si>
  <si>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</si>
  <si>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</si>
  <si>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</si>
  <si>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</si>
  <si>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</si>
  <si>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</si>
  <si>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</si>
  <si>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</si>
  <si>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</si>
  <si>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</si>
  <si>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</si>
  <si>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</si>
  <si>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</si>
  <si>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</si>
  <si>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</si>
  <si>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</si>
  <si>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</si>
  <si>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</si>
  <si>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</si>
  <si>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</si>
  <si>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</si>
  <si>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</si>
  <si>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</si>
  <si>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</si>
  <si>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</si>
  <si>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</si>
  <si>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</si>
  <si>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</si>
  <si>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</si>
  <si>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</si>
  <si>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</si>
  <si>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</si>
  <si>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</si>
  <si>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</si>
  <si>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</si>
  <si>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</si>
  <si>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</si>
  <si>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</si>
  <si>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</si>
  <si>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</si>
  <si>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</si>
  <si>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</si>
  <si>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</si>
  <si>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</si>
  <si>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</si>
  <si>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</si>
  <si>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</si>
  <si>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</si>
  <si>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</si>
  <si>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</si>
  <si>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</si>
  <si>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</si>
  <si>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</si>
  <si>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</si>
  <si>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</si>
  <si>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</si>
  <si>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</si>
  <si>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</si>
  <si>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</si>
  <si>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</si>
  <si>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</si>
  <si>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</si>
  <si>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</si>
  <si>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</si>
  <si>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</si>
  <si>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</si>
  <si>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</si>
  <si>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</si>
  <si>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</si>
  <si>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</si>
  <si>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</si>
  <si>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</si>
  <si>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</si>
  <si>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</si>
  <si>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</si>
  <si>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</si>
  <si>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</si>
  <si>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</si>
  <si>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</si>
  <si>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</si>
  <si>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</si>
  <si>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</si>
  <si>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</si>
  <si>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</si>
  <si>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</si>
  <si>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</si>
  <si>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</si>
  <si>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</si>
  <si>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</si>
  <si>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</si>
  <si>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</si>
  <si>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</si>
  <si>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</si>
  <si>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</si>
  <si>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</si>
  <si>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</si>
  <si>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</si>
  <si>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</si>
  <si>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</si>
  <si>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</si>
  <si>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</si>
  <si>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</si>
  <si>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</si>
  <si>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</si>
  <si>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</si>
  <si>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</si>
  <si>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</si>
  <si>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</si>
  <si>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</si>
  <si>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</si>
  <si>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</si>
  <si>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</si>
  <si>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</si>
  <si>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</si>
  <si>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</si>
  <si>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</si>
  <si>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</si>
  <si>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</si>
  <si>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</si>
  <si>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</si>
  <si>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</si>
  <si>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</si>
  <si>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</si>
  <si>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</si>
  <si>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</si>
  <si>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</si>
  <si>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</si>
  <si>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</si>
  <si>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</si>
  <si>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</si>
  <si>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</si>
  <si>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</si>
  <si>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</si>
  <si>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</si>
  <si>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</si>
  <si>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</si>
  <si>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</si>
  <si>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</si>
  <si>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</si>
  <si>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</si>
  <si>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</si>
  <si>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</si>
  <si>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</si>
  <si>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</si>
  <si>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</si>
  <si>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</si>
  <si>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</si>
  <si>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</si>
  <si>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</si>
  <si>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</si>
  <si>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</si>
  <si>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</si>
  <si>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</si>
  <si>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</si>
  <si>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</si>
  <si>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</si>
  <si>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</si>
  <si>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</si>
  <si>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</si>
  <si>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</si>
  <si>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</si>
  <si>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</si>
  <si>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</si>
  <si>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</si>
  <si>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</si>
  <si>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</si>
  <si>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</si>
  <si>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</si>
  <si>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</si>
  <si>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</si>
  <si>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</si>
  <si>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</si>
  <si>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</si>
  <si>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</si>
  <si>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</si>
  <si>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</si>
  <si>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</si>
  <si>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</si>
  <si>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</si>
  <si>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</si>
  <si>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</si>
  <si>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</si>
  <si>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</si>
  <si>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</si>
  <si>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</si>
  <si>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</si>
  <si>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</si>
  <si>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</si>
  <si>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</si>
  <si>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</si>
  <si>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</si>
  <si>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</si>
  <si>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</si>
  <si>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</si>
  <si>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</si>
  <si>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</si>
  <si>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</si>
  <si>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</si>
  <si>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</si>
  <si>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</si>
  <si>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</si>
  <si>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</si>
  <si>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</si>
  <si>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</si>
  <si>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</si>
  <si>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</si>
  <si>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</si>
  <si>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</si>
  <si>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</si>
  <si>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</si>
  <si>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</si>
  <si>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</si>
  <si>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</si>
  <si>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</si>
  <si>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</si>
  <si>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</si>
  <si>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</si>
  <si>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</si>
  <si>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</si>
  <si>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</si>
  <si>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</si>
  <si>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</si>
  <si>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</si>
  <si>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</si>
  <si>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</si>
  <si>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</si>
  <si>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</si>
  <si>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</si>
  <si>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</si>
  <si>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</si>
  <si>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</si>
  <si>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</si>
  <si>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</si>
  <si>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</si>
  <si>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</si>
  <si>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</si>
  <si>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</si>
  <si>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</si>
  <si>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</si>
  <si>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</si>
  <si>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</si>
  <si>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</si>
  <si>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</si>
  <si>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</si>
  <si>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</si>
  <si>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</si>
  <si>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</si>
  <si>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</si>
  <si>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</si>
  <si>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</si>
  <si>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</si>
  <si>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</si>
  <si>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</si>
  <si>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</si>
  <si>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</si>
  <si>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</si>
  <si>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</si>
  <si>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</si>
  <si>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</si>
  <si>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</si>
  <si>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</si>
  <si>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</si>
  <si>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</si>
  <si>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</si>
  <si>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</si>
  <si>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</si>
  <si>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</si>
  <si>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</si>
  <si>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</si>
  <si>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</si>
  <si>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</si>
  <si>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</si>
  <si>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</si>
  <si>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</si>
  <si>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</si>
  <si>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</si>
  <si>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</si>
  <si>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</si>
  <si>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</si>
  <si>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</si>
  <si>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</si>
  <si>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</si>
  <si>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</si>
  <si>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</si>
  <si>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</si>
  <si>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</si>
  <si>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</si>
  <si>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</si>
  <si>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</si>
  <si>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</si>
  <si>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</si>
  <si>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</si>
  <si>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</si>
  <si>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</si>
  <si>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</si>
  <si>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</si>
  <si>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</si>
  <si>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</si>
  <si>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</si>
  <si>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</si>
  <si>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</si>
  <si>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</si>
  <si>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</si>
  <si>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</si>
  <si>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</si>
  <si>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</si>
  <si>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</si>
  <si>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</si>
  <si>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</si>
  <si>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</si>
  <si>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</si>
  <si>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</si>
  <si>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</si>
  <si>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</si>
  <si>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</si>
  <si>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</si>
  <si>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</si>
  <si>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</si>
  <si>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</si>
  <si>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</si>
  <si>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</si>
  <si>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</si>
  <si>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</si>
  <si>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</si>
  <si>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</si>
  <si>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</si>
  <si>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</si>
  <si>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</si>
  <si>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</si>
  <si>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</si>
  <si>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</si>
  <si>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</si>
  <si>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</si>
  <si>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</si>
  <si>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</si>
  <si>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</si>
  <si>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</si>
  <si>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</si>
  <si>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</si>
  <si>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</si>
  <si>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</si>
  <si>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</si>
  <si>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</si>
  <si>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</si>
  <si>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</si>
  <si>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</si>
  <si>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</si>
  <si>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</si>
  <si>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</si>
  <si>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</si>
  <si>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</si>
  <si>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</si>
  <si>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</si>
  <si>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</si>
  <si>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</si>
  <si>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</si>
  <si>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</si>
  <si>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</si>
  <si>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</si>
  <si>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</si>
  <si>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</si>
  <si>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</si>
  <si>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</si>
  <si>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</si>
  <si>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</si>
  <si>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</si>
  <si>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</si>
  <si>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</si>
  <si>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</si>
  <si>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</si>
  <si>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</si>
  <si>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</si>
  <si>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</si>
  <si>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</si>
  <si>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</si>
  <si>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</si>
  <si>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</si>
  <si>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</si>
  <si>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</si>
  <si>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</si>
  <si>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</si>
  <si>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</si>
  <si>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</si>
  <si>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</si>
  <si>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</si>
  <si>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</si>
  <si>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</si>
  <si>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</si>
  <si>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</si>
  <si>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</si>
  <si>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</si>
  <si>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</si>
  <si>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</si>
  <si>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</si>
  <si>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</si>
  <si>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</si>
  <si>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</si>
  <si>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</si>
  <si>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</si>
  <si>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</si>
  <si>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</si>
  <si>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</si>
  <si>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</si>
  <si>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</si>
  <si>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</si>
  <si>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</si>
  <si>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</si>
  <si>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</si>
  <si>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</si>
  <si>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</si>
  <si>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</si>
  <si>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</si>
  <si>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</si>
  <si>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</si>
  <si>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</si>
  <si>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</si>
  <si>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</si>
  <si>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</si>
  <si>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</si>
  <si>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</si>
  <si>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</si>
  <si>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</si>
  <si>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</si>
  <si>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</si>
  <si>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</si>
  <si>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</si>
  <si>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</si>
  <si>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</si>
  <si>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</si>
  <si>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</si>
  <si>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抵押</t>
  </si>
  <si>
    <t>房地产抵押价值</t>
  </si>
  <si>
    <t>北京市</t>
  </si>
  <si>
    <t>企业</t>
  </si>
  <si>
    <t>是</t>
  </si>
  <si>
    <t>地上</t>
  </si>
  <si>
    <t>地下</t>
  </si>
  <si>
    <t>商业</t>
    <phoneticPr fontId="7" type="noConversion"/>
  </si>
  <si>
    <t>成新度</t>
  </si>
  <si>
    <t>收益法 (元)</t>
  </si>
  <si>
    <t>自定义容积率</t>
  </si>
  <si>
    <t>不临65条商业街</t>
  </si>
  <si>
    <t>与级别开发程度不一致</t>
  </si>
  <si>
    <t>通路</t>
  </si>
  <si>
    <t>通电</t>
  </si>
  <si>
    <t>通讯</t>
  </si>
  <si>
    <t>通上水</t>
  </si>
  <si>
    <t>通下水</t>
  </si>
  <si>
    <t>通热</t>
  </si>
  <si>
    <t>平整</t>
  </si>
  <si>
    <t>较好</t>
  </si>
  <si>
    <t>一般</t>
  </si>
  <si>
    <t>较差</t>
  </si>
  <si>
    <t>好</t>
  </si>
  <si>
    <t>押一</t>
  </si>
  <si>
    <t>钢混</t>
  </si>
  <si>
    <t>非生产用房</t>
  </si>
  <si>
    <t>否</t>
  </si>
  <si>
    <t>未包含在土地购买价格中</t>
  </si>
  <si>
    <t>已包含在土地取得成本中</t>
  </si>
  <si>
    <t>成本法 (元)</t>
  </si>
  <si>
    <r>
      <t>1</t>
    </r>
    <r>
      <rPr>
        <sz val="10"/>
        <color indexed="8"/>
        <rFont val="宋体"/>
        <family val="3"/>
        <charset val="134"/>
      </rPr>
      <t>层</t>
    </r>
    <phoneticPr fontId="3" type="noConversion"/>
  </si>
  <si>
    <r>
      <t>2</t>
    </r>
    <r>
      <rPr>
        <sz val="10"/>
        <color indexed="8"/>
        <rFont val="宋体"/>
        <family val="3"/>
        <charset val="134"/>
      </rPr>
      <t>层</t>
    </r>
    <phoneticPr fontId="3" type="noConversion"/>
  </si>
  <si>
    <t>楼层修正</t>
  </si>
  <si>
    <t>楼面单价</t>
  </si>
  <si>
    <t>自定义</t>
  </si>
  <si>
    <t>需求单价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</si>
</sst>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12" borderId="0" xfId="0" applyFont="1" applyFill="1" applyAlignment="1" applyProtection="1">
      <alignment horizontal="righ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6"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418619</xdr:colOff>
      <xdr:row>20</xdr:row>
      <xdr:rowOff>9095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47619" cy="3438095"/>
        </a:xfrm>
        <a:prstGeom prst="rect">
          <a:avLst/>
        </a:prstGeom>
      </xdr:spPr>
    </xdr:pic>
    <xdr:clientData/>
  </xdr:twoCellAnchor>
  <xdr:twoCellAnchor editAs="oneCell">
    <xdr:from>
      <xdr:col>0</xdr:col>
      <xdr:colOff>0</xdr:colOff>
      <xdr:row>21</xdr:row>
      <xdr:rowOff>0</xdr:rowOff>
    </xdr:from>
    <xdr:to>
      <xdr:col>5</xdr:col>
      <xdr:colOff>313857</xdr:colOff>
      <xdr:row>27</xdr:row>
      <xdr:rowOff>161776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3742857" cy="1190476"/>
        </a:xfrm>
        <a:prstGeom prst="rect">
          <a:avLst/>
        </a:prstGeom>
      </xdr:spPr>
    </xdr:pic>
    <xdr:clientData/>
  </xdr:twoCellAnchor>
  <xdr:twoCellAnchor editAs="oneCell">
    <xdr:from>
      <xdr:col>0</xdr:col>
      <xdr:colOff>0</xdr:colOff>
      <xdr:row>29</xdr:row>
      <xdr:rowOff>0</xdr:rowOff>
    </xdr:from>
    <xdr:to>
      <xdr:col>5</xdr:col>
      <xdr:colOff>256714</xdr:colOff>
      <xdr:row>36</xdr:row>
      <xdr:rowOff>104612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972050"/>
          <a:ext cx="3685714" cy="1304762"/>
        </a:xfrm>
        <a:prstGeom prst="rect">
          <a:avLst/>
        </a:prstGeom>
      </xdr:spPr>
    </xdr:pic>
    <xdr:clientData/>
  </xdr:twoCellAnchor>
  <xdr:twoCellAnchor editAs="oneCell">
    <xdr:from>
      <xdr:col>0</xdr:col>
      <xdr:colOff>0</xdr:colOff>
      <xdr:row>38</xdr:row>
      <xdr:rowOff>0</xdr:rowOff>
    </xdr:from>
    <xdr:to>
      <xdr:col>5</xdr:col>
      <xdr:colOff>180524</xdr:colOff>
      <xdr:row>44</xdr:row>
      <xdr:rowOff>152252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515100"/>
          <a:ext cx="3609524" cy="11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估价对象为北京市房地产，为所有。根据《国有土地使用证》[]，估价对象（分摊）出让国有建设用地使用权面积为0平方米，建筑面积为1840.42平方米。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估价对象为北京市房地产,属开发建设的，该项目尚在开发建设中。根据《国有土地使用证》[]，估价对象（分摊）出让国有建设用地使用权面积为0平方米，规划建筑面积为1840.42平方米。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2024年9月30日</v>
      </c>
    </row>
    <row r="13" spans="1:2" s="1203" customFormat="1">
      <c r="A13" s="1201" t="s">
        <v>529</v>
      </c>
      <c r="B13" s="1202" t="str">
        <f>'预评函-1'!A18</f>
        <v>本次估价的“房地产价值”是指在正常市场情况下，在价值时点2024年9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4117</v>
      </c>
    </row>
    <row r="21" spans="1:2" s="1203" customFormat="1">
      <c r="A21" s="1201" t="s">
        <v>537</v>
      </c>
      <c r="B21" s="1202">
        <f ca="1">'预评函-2'!D7</f>
        <v>22368</v>
      </c>
    </row>
    <row r="22" spans="1:2" s="1203" customFormat="1">
      <c r="A22" s="1201" t="s">
        <v>538</v>
      </c>
      <c r="B22" s="1202" t="str">
        <f ca="1">'预评函-2'!D6</f>
        <v>肆仟壹佰壹拾柒万元整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4117</v>
      </c>
    </row>
    <row r="31" spans="1:2" s="1203" customFormat="1">
      <c r="A31" s="1201" t="s">
        <v>576</v>
      </c>
      <c r="B31" s="1202">
        <f ca="1">'预评函-2'!D15</f>
        <v>22368</v>
      </c>
    </row>
    <row r="32" spans="1:2" s="1203" customFormat="1">
      <c r="A32" s="1201" t="s">
        <v>543</v>
      </c>
      <c r="B32" s="1202" t="str">
        <f ca="1">'预评函-2'!D14</f>
        <v>肆仟壹佰壹拾柒万元整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1840.42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2579</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2580</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1" t="s">
        <v>2582</v>
      </c>
      <c r="J2" s="3491"/>
      <c r="K2" s="3491"/>
      <c r="L2" s="3491"/>
      <c r="M2" s="3491"/>
      <c r="N2" s="3491"/>
      <c r="O2" s="3491"/>
      <c r="P2" s="3491"/>
      <c r="Q2" s="3491"/>
      <c r="R2" s="3491"/>
    </row>
    <row r="3" spans="1:18">
      <c r="A3" s="3020" t="s">
        <v>2503</v>
      </c>
      <c r="B3" s="3021">
        <f>项目基本情况!D3</f>
        <v>45565</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2.21</v>
      </c>
      <c r="D5" s="3025">
        <f>IF(ISERROR(ROUND(POWER(1+E5,A5-C5)*(POWER(1+E5,C5)-1)/(POWER(1+E5,A5)-1),3)),0,ROUND(POWER(1+E5,A5-C5)*(POWER(1+E5,C5)-1)/(POWER(1+E5,A5)-1),4))</f>
        <v>0.10489999999999999</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12.22</v>
      </c>
      <c r="D6" s="3025">
        <f>IF(ISERROR(ROUND(POWER(1+E6,A6-C6)*(POWER(1+E6,C6)-1)/(POWER(1+E6,A6)-1),3)),0,ROUND(POWER(1+E6,A6-C6)*(POWER(1+E6,C6)-1)/(POWER(1+E6,A6)-1),4))</f>
        <v>0.44309999999999999</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32.24</v>
      </c>
      <c r="D7" s="3025">
        <f>IF(ISERROR(ROUND(POWER(1+E7,A7-C7)*(POWER(1+E7,C7)-1)/(POWER(1+E7,A7)-1),3)),0,ROUND(POWER(1+E7,A7-C7)*(POWER(1+E7,C7)-1)/(POWER(1+E7,A7)-1),4))</f>
        <v>0.76690000000000003</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N49" sqref="N4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45565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3388</v>
      </c>
      <c r="C8" s="2390"/>
      <c r="D8" s="3495" t="s">
        <v>2177</v>
      </c>
      <c r="E8" s="2391" t="s">
        <v>3389</v>
      </c>
      <c r="F8" s="2392"/>
      <c r="G8" s="2663"/>
      <c r="H8" s="2663"/>
      <c r="I8" s="2663"/>
      <c r="J8" s="2439"/>
      <c r="K8" s="2614"/>
      <c r="L8" s="2613"/>
      <c r="M8" s="2613"/>
      <c r="N8" s="2439"/>
      <c r="O8" s="2450"/>
      <c r="P8" s="2439"/>
      <c r="Q8" s="2439"/>
      <c r="R8" s="2439"/>
    </row>
    <row r="9" spans="1:30" ht="13.5" thickBot="1">
      <c r="A9" s="2393" t="s">
        <v>2178</v>
      </c>
      <c r="B9" s="2394" t="s">
        <v>3389</v>
      </c>
      <c r="C9" s="2395"/>
      <c r="D9" s="3496"/>
      <c r="E9" s="2394"/>
      <c r="F9" s="2396"/>
      <c r="G9" s="2665"/>
      <c r="H9" s="2665"/>
      <c r="I9" s="2665"/>
      <c r="J9" s="2439"/>
      <c r="K9" s="2616"/>
      <c r="L9" s="2613"/>
      <c r="M9" s="2613"/>
      <c r="N9" s="2439"/>
      <c r="O9" s="2450"/>
      <c r="P9" s="2439"/>
      <c r="Q9" s="2439"/>
      <c r="R9" s="2439"/>
    </row>
    <row r="10" spans="1:30" ht="13.5" thickTop="1">
      <c r="A10" s="2397" t="s">
        <v>2179</v>
      </c>
      <c r="B10" s="2398" t="s">
        <v>3390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3391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v>54556</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24.63</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1840.42</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v>2000</v>
      </c>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f>2024-(G22+'数据-取费表'!B21)</f>
        <v>22</v>
      </c>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f>40-G23</f>
        <v>18</v>
      </c>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216</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43" sqref="I4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1840.42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1840.42</v>
      </c>
      <c r="H5" s="13">
        <f t="shared" ref="H5:AT5" si="0">SUM(H13:H656)</f>
        <v>1840.42</v>
      </c>
      <c r="I5" s="13">
        <f t="shared" si="0"/>
        <v>916.73</v>
      </c>
      <c r="J5" s="13">
        <f t="shared" si="0"/>
        <v>0</v>
      </c>
      <c r="K5" s="13">
        <f t="shared" si="0"/>
        <v>923.69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1840.42</v>
      </c>
      <c r="BA5" s="15">
        <f t="shared" si="1"/>
        <v>1840.42</v>
      </c>
      <c r="BB5" s="15">
        <f t="shared" si="1"/>
        <v>916.73</v>
      </c>
      <c r="BC5" s="15">
        <f t="shared" si="1"/>
        <v>923.69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3393</v>
      </c>
      <c r="J9" s="809"/>
      <c r="K9" s="1603" t="s">
        <v>3394</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3392</v>
      </c>
      <c r="E13" s="13">
        <f>IF($C$3="是",ROUND($A$3*G13/$B$3,2),ROUND($A$3*(G13-AT13)/$B$3,2))</f>
        <v>0</v>
      </c>
      <c r="F13" s="29"/>
      <c r="G13" s="30">
        <f>H13+AC13+AT13</f>
        <v>1840.42</v>
      </c>
      <c r="H13" s="17">
        <f>SUMIF(I$12:AB$12,"总值",I13:AB13)</f>
        <v>1840.42</v>
      </c>
      <c r="I13" s="1626">
        <v>916.73</v>
      </c>
      <c r="J13" s="1626"/>
      <c r="K13" s="1626">
        <v>923.69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1840.42</v>
      </c>
      <c r="BA13" s="13">
        <f>SUM(BB13:BK13)</f>
        <v>1840.42</v>
      </c>
      <c r="BB13" s="13">
        <f>IF($D13="是",I13-J13,0)</f>
        <v>916.73</v>
      </c>
      <c r="BC13" s="13">
        <f>IF($D13="是",K13-L13,0)</f>
        <v>923.69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1840.42</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1840.42</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916.73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923.69</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1840.42</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3395</v>
      </c>
      <c r="D19" s="45">
        <f>ROUND($D$3*E19/$E$3,2)</f>
        <v>0</v>
      </c>
      <c r="E19" s="53">
        <f t="shared" ref="E19:E26" si="1">SUM(F19:G19)</f>
        <v>1840.42</v>
      </c>
      <c r="F19" s="2795">
        <f>'数据-基础表'!I13</f>
        <v>916.73</v>
      </c>
      <c r="G19" s="2796">
        <f>'数据-基础表'!K13</f>
        <v>923.69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1840.42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1840.42</v>
      </c>
      <c r="F27" s="1140">
        <f>IF(SUM(F19:F26)=E8,SUM(F19:F26),"地上面积有误")</f>
        <v>916.73</v>
      </c>
      <c r="G27" s="1142">
        <f>SUM(G19:G26)</f>
        <v>923.69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1840.42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1840.42</v>
      </c>
      <c r="F31" s="677">
        <f>F27+F30</f>
        <v>916.73</v>
      </c>
      <c r="G31" s="678">
        <f>G27+G30</f>
        <v>923.69</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V25" sqref="V2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45565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54556</v>
      </c>
      <c r="F6" s="64">
        <f>SUMIF(项目基本情况!C$12:I$12,C6,项目基本情况!C$15:I$15)</f>
        <v>24.63</v>
      </c>
      <c r="G6" s="65">
        <f>IF(ISERROR(ROUND(POWER(1+H6,D6-F6)*(POWER(1+H6,F6)-1)/(POWER(1+H6,D6)-1),3)),0,ROUND(POWER(1+H6,D6-F6)*(POWER(1+H6,F6)-1)/(POWER(1+H6,D6)-1),3))</f>
        <v>0.81499999999999995</v>
      </c>
      <c r="H6" s="732">
        <v>0.05</v>
      </c>
      <c r="I6" s="732">
        <v>5.5E-2</v>
      </c>
      <c r="J6" s="66">
        <v>7.0000000000000007E-2</v>
      </c>
      <c r="K6" s="1030">
        <f>SUMIF('数据-汇总表'!C$19:C$33,A6,'数据-汇总表'!E$19:E$33)</f>
        <v>1840.42</v>
      </c>
      <c r="L6" s="733">
        <v>3500</v>
      </c>
      <c r="M6" s="67">
        <f t="shared" ref="M6:M14" si="0">ROUND(K6*L6/10000,0)</f>
        <v>644</v>
      </c>
      <c r="N6" s="731">
        <f>N21</f>
        <v>0.7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4.8</v>
      </c>
      <c r="V6" s="70">
        <v>0.02</v>
      </c>
      <c r="W6" s="70">
        <v>0.1</v>
      </c>
      <c r="X6" s="1040"/>
      <c r="Y6" s="71">
        <f>N6</f>
        <v>0.7</v>
      </c>
      <c r="Z6" s="72"/>
      <c r="AA6" s="66"/>
      <c r="AB6" s="66"/>
      <c r="AC6" s="1040"/>
      <c r="AD6" s="73"/>
      <c r="AE6" s="1041">
        <f ca="1">IF(AN6="",0,SUMIF(INDIRECT("'"&amp;AN6&amp;"'"&amp;"!E:E"),$AE$5,INDIRECT("'"&amp;AN6&amp;"'"&amp;"!F:F")))</f>
        <v>24.63</v>
      </c>
      <c r="AF6" s="1348"/>
      <c r="AG6" s="138">
        <f>IF(AF6="",0,AE6-AF6)</f>
        <v>0</v>
      </c>
      <c r="AH6" s="74"/>
      <c r="AI6" s="76">
        <v>365</v>
      </c>
      <c r="AJ6" s="77"/>
      <c r="AK6" s="78">
        <v>5.0000000000000001E-3</v>
      </c>
      <c r="AL6" s="79">
        <v>1.5E-3</v>
      </c>
      <c r="AM6" s="80">
        <v>0.01</v>
      </c>
      <c r="AN6" s="1715" t="s">
        <v>3397</v>
      </c>
      <c r="AO6" s="52">
        <f ca="1">SUMIF(INDIRECT("'"&amp;AN6&amp;"'"&amp;"!A:A"),"总价",INDIRECT("'"&amp;AN6&amp;"'"&amp;"!B:B"))</f>
        <v>3824.6828999999998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0.81499999999999995</v>
      </c>
      <c r="H16" s="90">
        <f>ROUND(SUMPRODUCT(H6:H13,K6:K13)/SUMPRODUCT((H6:H13&gt;0)*(K6:K13)),3)</f>
        <v>0.05</v>
      </c>
      <c r="I16" s="91"/>
      <c r="J16" s="91"/>
      <c r="K16" s="92">
        <f>SUM(K6:K15)</f>
        <v>1840.42</v>
      </c>
      <c r="L16" s="93">
        <f>ROUND(M16*10000/SUM(K6:K14),0)</f>
        <v>3499</v>
      </c>
      <c r="M16" s="93">
        <f>SUM(M6:M14)</f>
        <v>644</v>
      </c>
      <c r="N16" s="94">
        <f>ROUND(SUMPRODUCT(M6:M14,N6:N14)/M16,3)</f>
        <v>0.7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项目基本情况!G22</f>
        <v>2000</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f>ROUND(1-(2024-N18)/60,2)</f>
        <v>0.6</v>
      </c>
      <c r="O19" s="2671">
        <v>0.5</v>
      </c>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2301</v>
      </c>
      <c r="D20" s="2676"/>
      <c r="E20" s="2673"/>
      <c r="F20" s="2673"/>
      <c r="G20" s="2673"/>
      <c r="H20" s="2673"/>
      <c r="I20" s="2673"/>
      <c r="J20" s="2673"/>
      <c r="K20" s="2672"/>
      <c r="L20" s="2672"/>
      <c r="M20" s="2671"/>
      <c r="N20" s="2671">
        <v>0.8</v>
      </c>
      <c r="O20" s="2671">
        <f>1-O19</f>
        <v>0.5</v>
      </c>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ROUND(N19*O19+N20*O20,2)</f>
        <v>0.7</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3449" t="s">
        <v>3419</v>
      </c>
      <c r="T22" s="2671">
        <f>'数据-汇总表'!F19</f>
        <v>916.73</v>
      </c>
      <c r="U22" s="2671">
        <v>5</v>
      </c>
      <c r="V22" s="2671">
        <v>1</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3449" t="s">
        <v>3420</v>
      </c>
      <c r="T23" s="2671">
        <f>'数据-汇总表'!G19</f>
        <v>923.69</v>
      </c>
      <c r="U23" s="2671">
        <f>U22*V23</f>
        <v>2.5</v>
      </c>
      <c r="V23" s="2671">
        <v>0.5</v>
      </c>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f>T22+T23</f>
        <v>1840.42</v>
      </c>
      <c r="U24" s="2671">
        <f>(U22*T22+U23*T23)/T24</f>
        <v>3.7452728181610717</v>
      </c>
      <c r="V24" s="2671">
        <f>(V22*T22+V23*T23)/T24</f>
        <v>0.74905456363221434</v>
      </c>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v>320</v>
      </c>
      <c r="U25" s="2671">
        <f>3200000/T24/365</f>
        <v>4.7636535615083693</v>
      </c>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3382</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3.3500000000000002E-2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45565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22368</v>
      </c>
      <c r="D5" s="2512" t="e">
        <f>ROUND(B5*10000/$B$2,0)</f>
        <v>#DIV/0!</v>
      </c>
      <c r="E5" s="2686"/>
      <c r="F5" s="2687"/>
      <c r="G5" s="2687"/>
      <c r="H5" s="2688"/>
      <c r="I5" s="2688"/>
      <c r="J5" s="2688"/>
      <c r="K5" s="2688"/>
    </row>
    <row r="6" spans="1:11" ht="16.5">
      <c r="A6" s="2512" t="s">
        <v>656</v>
      </c>
      <c r="B6" s="2512">
        <f>SUM(G14:G23)</f>
        <v>0</v>
      </c>
      <c r="C6" s="2512">
        <f ca="1">IF(B6=G14,结果表!H108,ROUND(B6*10000/$B$1,0))</f>
        <v>22368</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3357</v>
      </c>
      <c r="D10" s="2512" t="s">
        <v>3358</v>
      </c>
      <c r="E10" s="3441"/>
      <c r="F10" s="3445" t="s">
        <v>3359</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1" zoomScale="115" zoomScaleNormal="100" zoomScaleSheetLayoutView="115"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3418</v>
      </c>
      <c r="D4" s="1756" t="s">
        <v>3397</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5</v>
      </c>
      <c r="D14" s="3600">
        <v>5</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1" t="s">
        <v>2131</v>
      </c>
      <c r="F18" s="3632"/>
      <c r="G18" s="3632"/>
      <c r="H18" s="3632"/>
      <c r="I18" s="3632"/>
      <c r="K18" s="302" t="s">
        <v>1289</v>
      </c>
      <c r="L18" s="302">
        <f>IF(C1="",'数据-汇总表'!E3,SUMIF(项目类型,C1,'数据-汇总表'!E17:E26)+SUMIF(项目类型,C1,'数据-汇总表'!I17:I26))</f>
        <v>1840.42</v>
      </c>
      <c r="M18" s="302">
        <f>IF(C1="",'数据-汇总表'!E3,SUMIF(项目类型,C1,'数据-汇总表'!E17:E26))</f>
        <v>1840.42</v>
      </c>
    </row>
    <row r="19" spans="1:36" ht="15">
      <c r="A19" s="1761" t="s">
        <v>1290</v>
      </c>
      <c r="B19" s="1762" t="s">
        <v>1291</v>
      </c>
      <c r="C19" s="134">
        <f ca="1">SUMIF(INDIRECT("'"&amp;C4&amp;"'"&amp;"!A:A"),结果表!B19,INDIRECT("'"&amp;C4&amp;"'"&amp;"!B:B"))</f>
        <v>4408.3658999999998</v>
      </c>
      <c r="D19" s="135">
        <f ca="1">SUMIF(INDIRECT("'"&amp;D4&amp;"'"&amp;"!A:A"),结果表!B19,INDIRECT("'"&amp;D4&amp;"'"&amp;"!B:B"))</f>
        <v>3824.6828999999998</v>
      </c>
      <c r="E19" s="1761" t="s">
        <v>1292</v>
      </c>
      <c r="F19" s="1762" t="s">
        <v>1291</v>
      </c>
      <c r="G19" s="136">
        <f ca="1">ROUND(C19*$C$18+D19*$D$18,0)</f>
        <v>4117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23953</v>
      </c>
      <c r="D20" s="138">
        <f ca="1">SUMIF(INDIRECT("'"&amp;D4&amp;"'"&amp;"!A:A"),结果表!B20,INDIRECT("'"&amp;D4&amp;"'"&amp;"!B:B"))</f>
        <v>20782</v>
      </c>
      <c r="E20" s="1764"/>
      <c r="F20" s="1026" t="s">
        <v>1295</v>
      </c>
      <c r="G20" s="139">
        <f ca="1">ROUND(C20*$C$18+D20*$D$18,0)</f>
        <v>22368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0.15260951437307391</v>
      </c>
      <c r="E22" s="129"/>
      <c r="F22" s="129"/>
      <c r="G22" s="129"/>
      <c r="H22" s="129"/>
      <c r="I22" s="129"/>
    </row>
    <row r="23" spans="1:36" ht="13.5" thickBot="1">
      <c r="A23" s="1747"/>
      <c r="B23" s="1747"/>
      <c r="C23" s="1747"/>
      <c r="D23" s="1747"/>
      <c r="E23" s="129"/>
      <c r="F23" s="3789" t="s">
        <v>3424</v>
      </c>
      <c r="G23" s="129"/>
      <c r="H23" s="129"/>
      <c r="I23" s="129"/>
    </row>
    <row r="24" spans="1:36" ht="14.25">
      <c r="A24" s="3624" t="s">
        <v>1299</v>
      </c>
      <c r="B24" s="1762" t="s">
        <v>1291</v>
      </c>
      <c r="C24" s="136">
        <f>IF(B30=0,0,D30)</f>
        <v>0</v>
      </c>
      <c r="D24" s="1769"/>
      <c r="E24" s="129">
        <f>'数据-汇总表'!E19</f>
        <v>1840.42</v>
      </c>
      <c r="F24" s="129">
        <f>5500/E24*10000</f>
        <v>29884.482889775158</v>
      </c>
      <c r="G24" s="129">
        <f ca="1">G20/0.74</f>
        <v>30227.027027027027</v>
      </c>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22368</v>
      </c>
      <c r="D32" s="1775" t="s">
        <v>3422</v>
      </c>
      <c r="E32" s="129"/>
      <c r="F32" s="129"/>
      <c r="G32" s="129"/>
      <c r="H32" s="129"/>
      <c r="I32" s="129"/>
    </row>
    <row r="33" spans="1:15" ht="15">
      <c r="A33" s="786" t="s">
        <v>1306</v>
      </c>
      <c r="B33" s="1776"/>
      <c r="C33" s="1777" t="s">
        <v>3423</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4117</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45565</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2" t="s">
        <v>1340</v>
      </c>
      <c r="L48" s="3542"/>
      <c r="M48" s="3545">
        <f ca="1">H101</f>
        <v>4117</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4117</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220</v>
      </c>
      <c r="E52" s="2334" t="s">
        <v>1354</v>
      </c>
      <c r="F52" s="2554">
        <f>'数据-取费表'!B41</f>
        <v>5.6000000000000001E-2</v>
      </c>
      <c r="G52" s="2555"/>
      <c r="H52" s="2544"/>
      <c r="I52" s="1807"/>
      <c r="J52" s="2523">
        <v>1</v>
      </c>
      <c r="K52" s="3567" t="s">
        <v>1355</v>
      </c>
      <c r="L52" s="3567"/>
      <c r="M52" s="2525" t="b">
        <f>D48</f>
        <v>0</v>
      </c>
      <c r="N52" s="2523" t="str">
        <f>E48</f>
        <v>销售额×税（费）率</v>
      </c>
      <c r="O52" s="2526">
        <f>F48</f>
        <v>5.6000000000000001E-2</v>
      </c>
    </row>
    <row r="53" spans="1:35" ht="12" customHeight="1">
      <c r="A53" s="2335" t="s">
        <v>1356</v>
      </c>
      <c r="B53" s="3591" t="s">
        <v>2291</v>
      </c>
      <c r="C53" s="3592"/>
      <c r="D53" s="1087">
        <f ca="1">ROUND(D45*'数据-取费表'!B41/(1+'数据-取费表'!C42),0)</f>
        <v>220</v>
      </c>
      <c r="E53" s="2334" t="s">
        <v>1354</v>
      </c>
      <c r="F53" s="2554">
        <f>'数据-取费表'!B41</f>
        <v>5.6000000000000001E-2</v>
      </c>
      <c r="G53" s="2555"/>
      <c r="H53" s="2544"/>
      <c r="I53" s="1807"/>
      <c r="J53" s="2523">
        <v>2</v>
      </c>
      <c r="K53" s="3567" t="s">
        <v>1357</v>
      </c>
      <c r="L53" s="3567"/>
      <c r="M53" s="2525">
        <f t="shared" ref="M53:O54" ca="1" si="0">D55</f>
        <v>2</v>
      </c>
      <c r="N53" s="2523" t="str">
        <f t="shared" si="0"/>
        <v>销售额×税（费）率</v>
      </c>
      <c r="O53" s="2526" t="str">
        <f t="shared" si="0"/>
        <v>免征</v>
      </c>
    </row>
    <row r="54" spans="1:35" ht="12" customHeight="1">
      <c r="A54" s="2335" t="s">
        <v>1358</v>
      </c>
      <c r="B54" s="3591" t="s">
        <v>2292</v>
      </c>
      <c r="C54" s="3592"/>
      <c r="D54" s="1087">
        <f ca="1">C68</f>
        <v>220</v>
      </c>
      <c r="E54" s="327" t="s">
        <v>1359</v>
      </c>
      <c r="F54" s="2554">
        <f>'数据-取费表'!B41</f>
        <v>5.6000000000000001E-2</v>
      </c>
      <c r="G54" s="2555"/>
      <c r="H54" s="2556"/>
      <c r="I54" s="1807"/>
      <c r="J54" s="2523">
        <v>3</v>
      </c>
      <c r="K54" s="3567" t="s">
        <v>1360</v>
      </c>
      <c r="L54" s="3567"/>
      <c r="M54" s="2525">
        <f t="shared" ca="1" si="0"/>
        <v>2330</v>
      </c>
      <c r="N54" s="2523" t="str">
        <f t="shared" si="0"/>
        <v>增值额×税（费）率</v>
      </c>
      <c r="O54" s="2527" t="str">
        <f t="shared" si="0"/>
        <v>免征</v>
      </c>
    </row>
    <row r="55" spans="1:35" ht="24" customHeight="1">
      <c r="A55" s="3627" t="s">
        <v>1361</v>
      </c>
      <c r="B55" s="3605"/>
      <c r="C55" s="3605"/>
      <c r="D55" s="2324">
        <f ca="1">IF(H55="个人住宅",0,ROUND(D45*I55,0))</f>
        <v>2</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39</v>
      </c>
      <c r="N55" s="2040" t="str">
        <f>E59</f>
        <v>差额计税</v>
      </c>
      <c r="O55" s="2529">
        <f>F59</f>
        <v>0.01</v>
      </c>
    </row>
    <row r="56" spans="1:35" ht="24.75">
      <c r="A56" s="3627" t="s">
        <v>1363</v>
      </c>
      <c r="B56" s="3605"/>
      <c r="C56" s="3605"/>
      <c r="D56" s="2324">
        <f ca="1">IF(H56="个人住宅",D57,D58)</f>
        <v>2330</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2371</v>
      </c>
      <c r="O57" s="2533"/>
      <c r="P57" s="2690">
        <f ca="1">N57/M49</f>
        <v>0.57590478503764875</v>
      </c>
    </row>
    <row r="58" spans="1:35" ht="24.75">
      <c r="A58" s="2335" t="s">
        <v>1352</v>
      </c>
      <c r="B58" s="3591" t="s">
        <v>1369</v>
      </c>
      <c r="C58" s="3590"/>
      <c r="D58" s="2324">
        <f ca="1">IF(H58="转让取得",C81,C97)</f>
        <v>2330</v>
      </c>
      <c r="E58" s="2334" t="s">
        <v>1364</v>
      </c>
      <c r="F58" s="302" t="s">
        <v>28</v>
      </c>
      <c r="G58" s="2555"/>
      <c r="H58" s="2558"/>
      <c r="I58" s="1808"/>
      <c r="J58" s="3567"/>
      <c r="K58" s="3567"/>
      <c r="L58" s="2530" t="s">
        <v>1370</v>
      </c>
      <c r="M58" s="2534"/>
      <c r="N58" s="2535" t="str">
        <f ca="1">NUMBERSTRING(INT(N57*10000),2)&amp;"元整"</f>
        <v>贰仟叁佰柒拾壹万元整</v>
      </c>
      <c r="O58" s="2536"/>
    </row>
    <row r="59" spans="1:35" ht="24.75" thickBot="1">
      <c r="A59" s="3571" t="s">
        <v>1371</v>
      </c>
      <c r="B59" s="3572"/>
      <c r="C59" s="3572"/>
      <c r="D59" s="2560">
        <f ca="1">IF(H59="非个人房产","——",IF(H59="个人住宅（满五唯一有凭证）",0,IF(H59="个人其他（无凭证）",ROUND(D45*F59,0),ROUND(C67*F59,0))))</f>
        <v>39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f ca="1">M49-N57</f>
        <v>1746</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壹仟柒佰肆拾陆万元整</v>
      </c>
      <c r="O60" s="2536"/>
    </row>
    <row r="61" spans="1:35" ht="13.5" thickBot="1">
      <c r="A61" s="3626" t="s">
        <v>1373</v>
      </c>
      <c r="B61" s="3626"/>
      <c r="C61" s="3626"/>
      <c r="D61" s="3626"/>
      <c r="E61" s="3626"/>
      <c r="F61" s="1808"/>
      <c r="G61" s="1808"/>
      <c r="H61" s="1810"/>
      <c r="I61" s="129"/>
      <c r="J61" s="2523">
        <f>J59+1</f>
        <v>7</v>
      </c>
      <c r="K61" s="3567" t="s">
        <v>1374</v>
      </c>
      <c r="L61" s="3567"/>
      <c r="M61" s="2540"/>
      <c r="N61" s="2541">
        <f ca="1">ROUND(N59*10000/'数据-汇总表'!E3,0)</f>
        <v>9487</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3921</v>
      </c>
      <c r="D63" s="167"/>
      <c r="E63" s="168"/>
      <c r="F63" s="1808"/>
      <c r="G63" s="1808"/>
      <c r="H63" s="1810"/>
      <c r="I63" s="129"/>
      <c r="J63" s="3550" t="s">
        <v>1379</v>
      </c>
      <c r="K63" s="1332" t="s">
        <v>1380</v>
      </c>
      <c r="L63" s="1332">
        <f ca="1">IF(M49&gt;10000,M49*0.5%,IF(AND(M49&gt;1000,M49&lt;=10000),M49*1%,IF(AND(M49&gt;100,M49&lt;=1000),M49*3%,IF(AND(M49&gt;10,M49&lt;=100),M49*5%,M49*8%))))</f>
        <v>41.17</v>
      </c>
      <c r="M63" s="302">
        <f ca="1">ROUND(L63,1)</f>
        <v>41.2</v>
      </c>
      <c r="N63" s="2543"/>
      <c r="Z63" s="1752"/>
      <c r="AI63" s="1753"/>
    </row>
    <row r="64" spans="1:35" ht="14.25" customHeight="1">
      <c r="A64" s="169" t="s">
        <v>325</v>
      </c>
      <c r="B64" s="170" t="s">
        <v>1381</v>
      </c>
      <c r="C64" s="2565">
        <f ca="1">D45</f>
        <v>4117</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20.585000000000001</v>
      </c>
      <c r="M64" s="302">
        <f t="shared" ref="M64:M65" ca="1" si="1">ROUND(L64,1)</f>
        <v>20.6</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4.117</v>
      </c>
      <c r="M65" s="302">
        <f t="shared" ca="1" si="1"/>
        <v>4.0999999999999996</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20.585000000000001</v>
      </c>
      <c r="M66" s="302">
        <f ca="1">IF(L66&gt;0.5,0.5,ROUND(L66,0))</f>
        <v>0.5</v>
      </c>
      <c r="N66" s="2544" t="s">
        <v>1388</v>
      </c>
      <c r="Z66" s="1752"/>
      <c r="AI66" s="1753"/>
    </row>
    <row r="67" spans="1:35" ht="14.25" customHeight="1">
      <c r="A67" s="173" t="s">
        <v>328</v>
      </c>
      <c r="B67" s="174" t="s">
        <v>1389</v>
      </c>
      <c r="C67" s="2568">
        <f ca="1">C63-C66</f>
        <v>3921</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220</v>
      </c>
      <c r="D68" s="2570">
        <f>'数据-取费表'!B41</f>
        <v>5.6000000000000001E-2</v>
      </c>
      <c r="E68" s="178"/>
      <c r="F68" s="1808"/>
      <c r="G68" s="1808"/>
      <c r="H68" s="1810"/>
      <c r="I68" s="129"/>
      <c r="J68" s="3550"/>
      <c r="K68" s="1332" t="s">
        <v>1392</v>
      </c>
      <c r="L68" s="1332">
        <f ca="1">IF(M49&gt;10000,M49*0.5%,IF(AND(M49&gt;5000,M49&lt;=10000),M49*1%,IF(AND(M49&gt;1000,M49&lt;=5000),M49*2%,IF(AND(M49&gt;200,M49&lt;=1000),M49*3%,M49*5%))))</f>
        <v>82.34</v>
      </c>
      <c r="M68" s="302">
        <f ca="1">ROUND(L68,1)</f>
        <v>82.3</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151</v>
      </c>
      <c r="N69" s="2545">
        <f ca="1">M69/M49</f>
        <v>3.6677192130191889E-2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3921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24</v>
      </c>
      <c r="D78" s="2577">
        <f>'数据-取费表'!B43</f>
        <v>6.000000000000001E-3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3897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162.375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2330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3921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24</v>
      </c>
      <c r="D93" s="2577">
        <f>'数据-取费表'!B43</f>
        <v>6.000000000000001E-3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3897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162.375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2330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成本法 (元)</v>
      </c>
      <c r="D101" s="2586" t="str">
        <f>D4</f>
        <v>收益法 (元)</v>
      </c>
      <c r="E101" s="3546" t="s">
        <v>1431</v>
      </c>
      <c r="F101" s="3547"/>
      <c r="G101" s="1827" t="s">
        <v>1432</v>
      </c>
      <c r="H101" s="2595">
        <f ca="1">H118</f>
        <v>4117</v>
      </c>
      <c r="I101" s="129"/>
    </row>
    <row r="102" spans="1:35" ht="18.75" customHeight="1">
      <c r="A102" s="3578" t="s">
        <v>1433</v>
      </c>
      <c r="B102" s="2584" t="s">
        <v>1432</v>
      </c>
      <c r="C102" s="2585">
        <f ca="1">IF(D32="楼面单价",ROUND(C19,0),C19)</f>
        <v>4408</v>
      </c>
      <c r="D102" s="2586">
        <f ca="1">IF(D32="楼面单价",ROUND(D19,0),D19)</f>
        <v>3825</v>
      </c>
      <c r="E102" s="3546"/>
      <c r="F102" s="3547"/>
      <c r="G102" s="1827" t="s">
        <v>1434</v>
      </c>
      <c r="H102" s="2555">
        <f ca="1">I118</f>
        <v>22368</v>
      </c>
      <c r="I102" s="129"/>
    </row>
    <row r="103" spans="1:35" ht="42.75" customHeight="1">
      <c r="A103" s="3578"/>
      <c r="B103" s="2584" t="s">
        <v>1434</v>
      </c>
      <c r="C103" s="2587">
        <f ca="1">C20</f>
        <v>23953</v>
      </c>
      <c r="D103" s="2588">
        <f ca="1">D20</f>
        <v>20782</v>
      </c>
      <c r="E103" s="3539" t="s">
        <v>1435</v>
      </c>
      <c r="F103" s="3540"/>
      <c r="G103" s="1828" t="s">
        <v>1436</v>
      </c>
      <c r="H103" s="2595">
        <f>IF(D36="正常操作",H104+H105+H106,H105+H106)</f>
        <v>0</v>
      </c>
      <c r="I103" s="129"/>
    </row>
    <row r="104" spans="1:35" ht="18.75" customHeight="1">
      <c r="A104" s="3578" t="s">
        <v>1437</v>
      </c>
      <c r="B104" s="2589" t="s">
        <v>1432</v>
      </c>
      <c r="C104" s="2590">
        <f ca="1">H118</f>
        <v>4117</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22368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4117</v>
      </c>
      <c r="I107" s="129"/>
    </row>
    <row r="108" spans="1:35" ht="18.75" customHeight="1">
      <c r="A108" s="129"/>
      <c r="B108" s="129"/>
      <c r="C108" s="129"/>
      <c r="D108" s="129"/>
      <c r="E108" s="3579"/>
      <c r="F108" s="3547"/>
      <c r="G108" s="1827" t="s">
        <v>1434</v>
      </c>
      <c r="H108" s="2555">
        <f ca="1">IF(H107=H101,H102,ROUND(H107*10000/'数据-汇总表'!E3,0))</f>
        <v>22368</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1840.42</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4117</v>
      </c>
      <c r="I118" s="2329">
        <f ca="1">ROUND(IF(D32="楼面单价",C32,H118*10000/B118),0)</f>
        <v>22368</v>
      </c>
    </row>
    <row r="119" spans="1:27" ht="18.75" customHeight="1">
      <c r="A119" s="3554" t="s">
        <v>1452</v>
      </c>
      <c r="B119" s="3554"/>
      <c r="C119" s="3554"/>
      <c r="D119" s="3560" t="str">
        <f>NUMBERSTRING(INT(D118*10000),2)&amp;"元整"</f>
        <v>零元整</v>
      </c>
      <c r="E119" s="3561"/>
      <c r="F119" s="3560" t="str">
        <f>NUMBERSTRING(INT(F118*10000),2)&amp;"元整"</f>
        <v>零元整</v>
      </c>
      <c r="G119" s="3561"/>
      <c r="H119" s="3560" t="str">
        <f ca="1">NUMBERSTRING(INT(H118*10000),2)&amp;"元整"</f>
        <v>肆仟壹佰壹拾柒万元整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4117</v>
      </c>
      <c r="E122" s="3556"/>
      <c r="F122" s="3556"/>
      <c r="G122" s="3556"/>
      <c r="H122" s="3556"/>
      <c r="I122" s="3557"/>
      <c r="AA122" s="725"/>
    </row>
    <row r="123" spans="1:27" ht="18.75" customHeight="1">
      <c r="A123" s="3554" t="s">
        <v>1452</v>
      </c>
      <c r="B123" s="3554"/>
      <c r="C123" s="3554"/>
      <c r="D123" s="3560" t="str">
        <f ca="1">NUMBERSTRING(INT(D122*10000),2)&amp;"元整"</f>
        <v>肆仟壹佰壹拾柒万元整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733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3983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37</v>
      </c>
      <c r="D10" s="845">
        <f ca="1">IF(B1="",'数据-汇总表'!E6,IF(INDIRECT("'数据-取费表'!c"&amp;$G$1)="住宅",INDIRECT("'数据-取费表'!s"&amp;$G$1),INDIRECT("'数据-取费表'!k"&amp;$G$1)+INDIRECT("'数据-取费表'!s"&amp;$G$1)))</f>
        <v>1840.42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37</v>
      </c>
      <c r="D19" s="849">
        <f ca="1">D9+D10</f>
        <v>1840.42</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3</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8</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713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644</v>
      </c>
      <c r="D34" s="217"/>
      <c r="E34" s="220"/>
      <c r="F34" s="257">
        <f ca="1">IF('数据-取费表'!B24=0,1,IF(B1="",'数据-取费表'!N16,INDIRECT("'数据-取费表'!n"&amp;$G$1)))</f>
        <v>1</v>
      </c>
      <c r="G34" s="219" t="s">
        <v>1526</v>
      </c>
    </row>
    <row r="35" spans="1:7" ht="13.5" customHeight="1">
      <c r="A35" s="780" t="s">
        <v>351</v>
      </c>
      <c r="B35" s="215" t="s">
        <v>1527</v>
      </c>
      <c r="C35" s="220">
        <f ca="1">ROUND(C34*F35,0)</f>
        <v>19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37</v>
      </c>
      <c r="D37" s="217">
        <f ca="1">D19</f>
        <v>1840.42</v>
      </c>
      <c r="E37" s="249">
        <f>'数据-取费表'!B35</f>
        <v>200</v>
      </c>
      <c r="F37" s="259"/>
      <c r="G37" s="261" t="s">
        <v>1532</v>
      </c>
    </row>
    <row r="38" spans="1:7" ht="13.5" customHeight="1">
      <c r="A38" s="780" t="s">
        <v>354</v>
      </c>
      <c r="B38" s="215" t="s">
        <v>1533</v>
      </c>
      <c r="C38" s="220">
        <f ca="1">ROUND(C34*F38,0)</f>
        <v>13</v>
      </c>
      <c r="D38" s="220"/>
      <c r="E38" s="220"/>
      <c r="F38" s="259">
        <f>'数据-取费表'!B36</f>
        <v>0.02</v>
      </c>
      <c r="G38" s="219" t="s">
        <v>1528</v>
      </c>
    </row>
    <row r="39" spans="1:7" s="214" customFormat="1" ht="13.5" customHeight="1">
      <c r="A39" s="255" t="s">
        <v>1534</v>
      </c>
      <c r="B39" s="210" t="s">
        <v>1535</v>
      </c>
      <c r="C39" s="232">
        <f ca="1">ROUND(C33*F20,0)</f>
        <v>14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24</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145</v>
      </c>
      <c r="D45" s="235">
        <f ca="1">C47</f>
        <v>4.0000000000000001E-3</v>
      </c>
      <c r="E45" s="236" t="s">
        <v>1539</v>
      </c>
      <c r="F45" s="246">
        <f ca="1">F27</f>
        <v>0.2</v>
      </c>
      <c r="G45" s="247" t="s">
        <v>1548</v>
      </c>
    </row>
    <row r="46" spans="1:7" s="214" customFormat="1" ht="13.5" customHeight="1">
      <c r="A46" s="780" t="s">
        <v>346</v>
      </c>
      <c r="B46" s="248" t="s">
        <v>1549</v>
      </c>
      <c r="C46" s="249">
        <f ca="1">ROUND((C33+C39)*F27,0)</f>
        <v>145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972</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680</v>
      </c>
      <c r="D51" s="232"/>
      <c r="E51" s="232"/>
      <c r="F51" s="264"/>
      <c r="G51" s="234" t="s">
        <v>1560</v>
      </c>
    </row>
    <row r="52" spans="1:7" s="208" customFormat="1" ht="16.5" thickBot="1">
      <c r="A52" s="265" t="s">
        <v>1561</v>
      </c>
      <c r="B52" s="266"/>
      <c r="C52" s="267">
        <f ca="1">C31+C51</f>
        <v>733</v>
      </c>
      <c r="D52" s="266"/>
      <c r="E52" s="266"/>
      <c r="F52" s="266"/>
      <c r="G52" s="268"/>
    </row>
    <row r="55" spans="1:7" ht="15">
      <c r="B55" s="270" t="s">
        <v>1562</v>
      </c>
      <c r="C55" s="271"/>
    </row>
    <row r="56" spans="1:7">
      <c r="B56" s="273" t="s">
        <v>802</v>
      </c>
      <c r="C56" s="275">
        <f ca="1">1-C57</f>
        <v>7.1999999999999953E-2</v>
      </c>
    </row>
    <row r="57" spans="1:7">
      <c r="B57" s="273" t="s">
        <v>803</v>
      </c>
      <c r="C57" s="274">
        <f ca="1">ROUND(C51/C52,3)</f>
        <v>0.92800000000000005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B1" zoomScaleNormal="70" zoomScaleSheetLayoutView="10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4408.3658999999998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23953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26581358</v>
      </c>
      <c r="D5" s="211" t="s">
        <v>1469</v>
      </c>
      <c r="E5" s="212" t="s">
        <v>1470</v>
      </c>
      <c r="F5" s="212" t="s">
        <v>1471</v>
      </c>
      <c r="G5" s="213"/>
    </row>
    <row r="6" spans="1:8" s="214" customFormat="1" ht="13.5" customHeight="1">
      <c r="A6" s="778" t="s">
        <v>1472</v>
      </c>
      <c r="B6" s="215" t="s">
        <v>1473</v>
      </c>
      <c r="C6" s="216">
        <f>ROUND(基准地价修正!C33*基准地价修正!D33+基准地价修正!C37*基准地价修正!D37,0)</f>
        <v>25437432</v>
      </c>
      <c r="D6" s="217"/>
      <c r="E6" s="218"/>
      <c r="F6" s="218"/>
      <c r="G6" s="219"/>
    </row>
    <row r="7" spans="1:8" s="214" customFormat="1" ht="13.5" customHeight="1">
      <c r="A7" s="778" t="s">
        <v>1474</v>
      </c>
      <c r="B7" s="215" t="s">
        <v>1475</v>
      </c>
      <c r="C7" s="220">
        <f>ROUND(C6*F7,0)</f>
        <v>775842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368084</v>
      </c>
      <c r="D8" s="222"/>
      <c r="E8" s="220"/>
      <c r="F8" s="221"/>
      <c r="G8" s="1856" t="s">
        <v>3416</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368084</v>
      </c>
      <c r="D10" s="845">
        <f ca="1">IF(B1="",'数据-汇总表'!E6,IF(INDIRECT("'数据-取费表'!c"&amp;$G$1)="住宅",INDIRECT("'数据-取费表'!s"&amp;$G$1),INDIRECT("'数据-取费表'!k"&amp;$G$1)+INDIRECT("'数据-取费表'!s"&amp;$G$1)))</f>
        <v>1840.42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1840.42</v>
      </c>
      <c r="E19" s="211">
        <f>'数据-取费表'!B31</f>
        <v>200</v>
      </c>
      <c r="F19" s="231"/>
      <c r="G19" s="1856" t="s">
        <v>3417</v>
      </c>
    </row>
    <row r="20" spans="1:7" s="214" customFormat="1" ht="13.5" customHeight="1">
      <c r="A20" s="255" t="s">
        <v>1574</v>
      </c>
      <c r="B20" s="210" t="s">
        <v>1575</v>
      </c>
      <c r="C20" s="232">
        <f ca="1">ROUND((C5+C19)*F20,0)</f>
        <v>531627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1828592</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1810782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17810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5422597</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5422597</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37271338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7131627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6441470</v>
      </c>
      <c r="D34" s="217"/>
      <c r="E34" s="220"/>
      <c r="F34" s="257"/>
      <c r="G34" s="219"/>
    </row>
    <row r="35" spans="1:7" ht="13.5" customHeight="1">
      <c r="A35" s="780" t="s">
        <v>351</v>
      </c>
      <c r="B35" s="215" t="s">
        <v>1527</v>
      </c>
      <c r="C35" s="220">
        <f ca="1">ROUND(C34*F35,0)</f>
        <v>193244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368084</v>
      </c>
      <c r="D37" s="217">
        <f ca="1">D19</f>
        <v>1840.42</v>
      </c>
      <c r="E37" s="249">
        <f>'数据-取费表'!B35</f>
        <v>200</v>
      </c>
      <c r="F37" s="259"/>
      <c r="G37" s="261"/>
    </row>
    <row r="38" spans="1:7" ht="13.5" customHeight="1">
      <c r="A38" s="780" t="s">
        <v>354</v>
      </c>
      <c r="B38" s="215" t="s">
        <v>1533</v>
      </c>
      <c r="C38" s="220">
        <f ca="1">ROUND(C34*F38,0)</f>
        <v>128829</v>
      </c>
      <c r="D38" s="220"/>
      <c r="E38" s="220"/>
      <c r="F38" s="259">
        <f>'数据-取费表'!B36</f>
        <v>0.02</v>
      </c>
      <c r="G38" s="219" t="s">
        <v>1528</v>
      </c>
    </row>
    <row r="39" spans="1:7" s="214" customFormat="1" ht="13.5" customHeight="1">
      <c r="A39" s="255" t="s">
        <v>1534</v>
      </c>
      <c r="B39" s="210" t="s">
        <v>1535</v>
      </c>
      <c r="C39" s="232">
        <f ca="1">ROUND(C33*F20,0)</f>
        <v>142633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243688</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238910</v>
      </c>
      <c r="D42" s="238"/>
      <c r="E42" s="238"/>
      <c r="F42" s="239"/>
      <c r="G42" s="3633" t="s">
        <v>1591</v>
      </c>
    </row>
    <row r="43" spans="1:7" ht="13.5" customHeight="1">
      <c r="A43" s="780" t="s">
        <v>347</v>
      </c>
      <c r="B43" s="215" t="s">
        <v>1545</v>
      </c>
      <c r="C43" s="238">
        <f ca="1">ROUND(IF('数据-取费表'!B22&lt;=1,C39*F22*'数据-取费表'!B20/2,C39*(POWER((1+F22),'数据-取费表'!B20/2)-1)),0)</f>
        <v>4778</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1454852</v>
      </c>
      <c r="D45" s="235">
        <f ca="1">C47</f>
        <v>4.0000000000000001E-3</v>
      </c>
      <c r="E45" s="236" t="s">
        <v>1539</v>
      </c>
      <c r="F45" s="246">
        <f ca="1">F27</f>
        <v>0.2</v>
      </c>
      <c r="G45" s="247" t="s">
        <v>1548</v>
      </c>
    </row>
    <row r="46" spans="1:7" s="214" customFormat="1" ht="13.5" customHeight="1">
      <c r="A46" s="780" t="s">
        <v>346</v>
      </c>
      <c r="B46" s="248" t="s">
        <v>1549</v>
      </c>
      <c r="C46" s="249">
        <f ca="1">ROUND((C33+C39)*F27,0)</f>
        <v>1454852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9731887</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6812321</v>
      </c>
      <c r="D51" s="232"/>
      <c r="E51" s="232"/>
      <c r="F51" s="264"/>
      <c r="G51" s="234" t="s">
        <v>1560</v>
      </c>
    </row>
    <row r="52" spans="1:7" s="208" customFormat="1" ht="16.5" thickBot="1">
      <c r="A52" s="265" t="s">
        <v>1561</v>
      </c>
      <c r="B52" s="266"/>
      <c r="C52" s="267">
        <f ca="1">C31+C51</f>
        <v>44083659</v>
      </c>
      <c r="D52" s="266"/>
      <c r="E52" s="266"/>
      <c r="F52" s="266"/>
      <c r="G52" s="268"/>
    </row>
    <row r="55" spans="1:7" ht="15">
      <c r="B55" s="270" t="s">
        <v>1562</v>
      </c>
      <c r="C55" s="271"/>
    </row>
    <row r="56" spans="1:7">
      <c r="B56" s="273" t="s">
        <v>802</v>
      </c>
      <c r="C56" s="275">
        <f ca="1">1-C57</f>
        <v>0.84499999999999997</v>
      </c>
    </row>
    <row r="57" spans="1:7">
      <c r="B57" s="273" t="s">
        <v>803</v>
      </c>
      <c r="C57" s="274">
        <f ca="1">ROUND(C51/C52,3)</f>
        <v>0.155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-45</v>
      </c>
      <c r="C2" s="276" t="s">
        <v>1595</v>
      </c>
      <c r="D2" s="276"/>
      <c r="E2" s="2806"/>
      <c r="F2" s="2806"/>
      <c r="G2" s="2806"/>
      <c r="H2" s="2806"/>
      <c r="I2" s="2806"/>
      <c r="J2" s="2806"/>
      <c r="K2" s="2806"/>
    </row>
    <row r="3" spans="1:33" ht="18" customHeight="1" thickBot="1">
      <c r="A3" s="203" t="s">
        <v>1464</v>
      </c>
      <c r="B3" s="204">
        <f ca="1">ROUND(B2*10000/IF(C1="",'数据-汇总表'!E3,INDIRECT("'数据-取费表'!K"&amp;$K$1)),0)</f>
        <v>-245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1840.42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1840.42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37</v>
      </c>
      <c r="D20" s="846">
        <f ca="1">IF(C1="",'数据-汇总表'!E6,IF(INDIRECT("'数据-取费表'!c"&amp;$K$1)="住宅",INDIRECT("'数据-取费表'!s"&amp;$K$1),INDIRECT("'数据-取费表'!k"&amp;$K$1)+INDIRECT("'数据-取费表'!s"&amp;$K$1)))</f>
        <v>1840.42</v>
      </c>
      <c r="E20" s="21">
        <f>'数据-取费表'!B28</f>
        <v>200</v>
      </c>
      <c r="F20" s="804"/>
      <c r="G20" s="12"/>
      <c r="H20" s="809"/>
      <c r="I20" s="809"/>
      <c r="J20" s="809"/>
      <c r="K20" s="810"/>
    </row>
    <row r="21" spans="1:33" s="803" customFormat="1" ht="13.5" customHeight="1">
      <c r="A21" s="790" t="s">
        <v>357</v>
      </c>
      <c r="B21" s="813" t="s">
        <v>1628</v>
      </c>
      <c r="C21" s="814">
        <f ca="1">C16+C17+C18</f>
        <v>37</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8</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8</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24.63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3824.6828999999998</v>
      </c>
      <c r="C2" s="1387" t="s">
        <v>879</v>
      </c>
      <c r="D2" s="1471">
        <f ca="1">C40+J29+L46</f>
        <v>38246829</v>
      </c>
      <c r="E2" s="1388" t="s">
        <v>880</v>
      </c>
      <c r="F2" s="1389"/>
      <c r="G2" s="2706"/>
      <c r="H2" s="2695"/>
      <c r="I2" s="2695"/>
      <c r="J2" s="2695"/>
      <c r="K2" s="2696"/>
      <c r="L2" s="2695"/>
      <c r="M2" s="2695"/>
    </row>
    <row r="3" spans="1:37" ht="18" customHeight="1" thickBot="1">
      <c r="A3" s="1390" t="s">
        <v>881</v>
      </c>
      <c r="B3" s="1391">
        <f ca="1">IF(ISERROR(D2/F43),0,ROUND(D2/F43,0))</f>
        <v>20782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2905601</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2901974</v>
      </c>
      <c r="D6" s="155" t="s">
        <v>2106</v>
      </c>
      <c r="E6" s="302" t="s">
        <v>696</v>
      </c>
      <c r="F6" s="303">
        <f ca="1">INDIRECT("'数据-取费表'!u"&amp;$G$1)</f>
        <v>4.8</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1840.42</v>
      </c>
      <c r="G7" s="1384"/>
      <c r="H7" s="304"/>
      <c r="I7" s="3639"/>
      <c r="J7" s="306"/>
      <c r="K7" s="307"/>
      <c r="L7" s="302" t="s">
        <v>697</v>
      </c>
      <c r="M7" s="303">
        <f ca="1">F7</f>
        <v>1840.42</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3627</v>
      </c>
      <c r="D10" s="1366" t="s">
        <v>2116</v>
      </c>
      <c r="E10" s="313" t="s">
        <v>701</v>
      </c>
      <c r="F10" s="1116" t="s">
        <v>3412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6812321</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6441470</v>
      </c>
      <c r="D14" s="1345" t="s">
        <v>708</v>
      </c>
      <c r="E14" s="1342"/>
      <c r="F14" s="319"/>
      <c r="G14" s="1384"/>
      <c r="H14" s="982" t="s">
        <v>398</v>
      </c>
      <c r="I14" s="302" t="s">
        <v>709</v>
      </c>
      <c r="J14" s="21">
        <f ca="1">C29</f>
        <v>9731887</v>
      </c>
      <c r="K14" s="12"/>
      <c r="L14" s="807"/>
      <c r="M14" s="808"/>
    </row>
    <row r="15" spans="1:37" s="1397" customFormat="1" ht="18" customHeight="1" thickBot="1">
      <c r="A15" s="982" t="s">
        <v>399</v>
      </c>
      <c r="B15" s="302" t="s">
        <v>710</v>
      </c>
      <c r="C15" s="21">
        <f ca="1">ROUND(C14*F15,0)</f>
        <v>193244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48659</v>
      </c>
      <c r="K16" s="1087" t="s">
        <v>715</v>
      </c>
      <c r="L16" s="1088"/>
      <c r="M16" s="1072"/>
    </row>
    <row r="17" spans="1:37" s="1397" customFormat="1" ht="18" customHeight="1">
      <c r="A17" s="982" t="s">
        <v>681</v>
      </c>
      <c r="B17" s="302" t="s">
        <v>716</v>
      </c>
      <c r="C17" s="21">
        <f ca="1">ROUND(F17*(F43+INDIRECT("'数据-取费表'!S"&amp;$G$1)),0)</f>
        <v>368084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128829</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7131627</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142633</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48659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243688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-48659</v>
      </c>
      <c r="K25" s="1095" t="s">
        <v>753</v>
      </c>
      <c r="L25" s="1096"/>
      <c r="M25" s="1097"/>
    </row>
    <row r="26" spans="1:37" ht="18" customHeight="1">
      <c r="A26" s="982" t="s">
        <v>397</v>
      </c>
      <c r="B26" s="302" t="s">
        <v>754</v>
      </c>
      <c r="C26" s="21">
        <f ca="1">ROUND((C19+C20)*F26,0)</f>
        <v>1454852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9731887</v>
      </c>
      <c r="D29" s="1092"/>
      <c r="E29" s="1090"/>
      <c r="F29" s="1093"/>
      <c r="G29" s="1396"/>
      <c r="H29" s="334" t="s">
        <v>396</v>
      </c>
      <c r="I29" s="335" t="s">
        <v>768</v>
      </c>
      <c r="J29" s="336">
        <f ca="1">ROUND(J26/(1+F40)^F41,0)</f>
        <v>0</v>
      </c>
      <c r="K29" s="337" t="s">
        <v>769</v>
      </c>
      <c r="L29" s="338"/>
      <c r="M29" s="339">
        <f ca="1">INDIRECT("'数据-取费表'!k"&amp;$G$1)</f>
        <v>1840.42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574359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486426</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154772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331654</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48659</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10218</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29056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2331242</v>
      </c>
      <c r="D39" s="1095" t="s">
        <v>773</v>
      </c>
      <c r="E39" s="1096"/>
      <c r="F39" s="1097"/>
      <c r="G39" s="1384"/>
      <c r="H39" s="2700"/>
      <c r="I39" s="1398"/>
      <c r="J39" s="1399"/>
      <c r="K39" s="2704"/>
      <c r="L39" s="2700"/>
      <c r="M39" s="2700"/>
    </row>
    <row r="40" spans="1:18" ht="18" customHeight="1">
      <c r="A40" s="299" t="s">
        <v>395</v>
      </c>
      <c r="B40" s="300" t="s">
        <v>774</v>
      </c>
      <c r="C40" s="301">
        <f ca="1">ROUND(C39*(1-((1+F42)/(1+F40))^F41)/(F40-F42),0)</f>
        <v>37591187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24.63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20425</v>
      </c>
      <c r="D43" s="337" t="s">
        <v>777</v>
      </c>
      <c r="E43" s="338" t="s">
        <v>778</v>
      </c>
      <c r="F43" s="339">
        <f ca="1">INDIRECT("'数据-取费表'!k"&amp;$G$1)</f>
        <v>1840.42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f ca="1">ROUND((C68-C40)/10000,4)</f>
        <v>-3837.5342999999998</v>
      </c>
      <c r="D45" s="3432" t="s">
        <v>3354</v>
      </c>
      <c r="E45" s="1400"/>
      <c r="F45" s="1400"/>
      <c r="O45" s="1403" t="s">
        <v>808</v>
      </c>
      <c r="P45" s="1461"/>
      <c r="Q45" s="1461"/>
      <c r="R45" s="1461"/>
    </row>
    <row r="46" spans="1:18" s="1384" customFormat="1" ht="13.5" thickBot="1">
      <c r="A46" s="1404" t="s">
        <v>809</v>
      </c>
      <c r="C46" s="1405">
        <f ca="1">ROUND(C45,0)</f>
        <v>-3838</v>
      </c>
      <c r="D46" s="1406" t="str">
        <f>C2</f>
        <v>万元</v>
      </c>
      <c r="I46" s="1407" t="s">
        <v>810</v>
      </c>
      <c r="J46" s="1408"/>
      <c r="K46" s="1409"/>
      <c r="L46" s="1410">
        <f ca="1">IF(M47="住宅",0,IF(L48&gt;J51,L60,J60))</f>
        <v>655642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3413</v>
      </c>
      <c r="K47" s="1416" t="s">
        <v>816</v>
      </c>
      <c r="L47" s="1417">
        <f ca="1">INDIRECT("'数据-取费表'!d"&amp;$G$1)</f>
        <v>40</v>
      </c>
      <c r="M47" s="1380" t="str">
        <f>IF(ISNUMBER(FIND("住宅",C1)),"住宅","非住宅")</f>
        <v>非住宅</v>
      </c>
      <c r="O47" s="1418" t="s">
        <v>403</v>
      </c>
      <c r="P47" s="1419" t="s">
        <v>817</v>
      </c>
      <c r="Q47" s="1420">
        <f ca="1">C40+J29</f>
        <v>37591187</v>
      </c>
      <c r="R47" s="1420" t="s">
        <v>818</v>
      </c>
    </row>
    <row r="48" spans="1:18" s="1384" customFormat="1" ht="28.5" thickBot="1">
      <c r="A48" s="1110" t="s">
        <v>438</v>
      </c>
      <c r="B48" s="300" t="s">
        <v>692</v>
      </c>
      <c r="C48" s="1359">
        <f ca="1">C49+C53+C55</f>
        <v>0</v>
      </c>
      <c r="D48" s="1112"/>
      <c r="E48" s="1113"/>
      <c r="F48" s="962"/>
      <c r="G48" s="722"/>
      <c r="H48" s="723"/>
      <c r="I48" s="1421" t="s">
        <v>819</v>
      </c>
      <c r="J48" s="1422" t="s">
        <v>3414</v>
      </c>
      <c r="K48" s="1423" t="s">
        <v>820</v>
      </c>
      <c r="L48" s="1424">
        <f ca="1">INDIRECT("'数据-取费表'!f"&amp;$G$1)</f>
        <v>24.63</v>
      </c>
      <c r="O48" s="1418" t="s">
        <v>404</v>
      </c>
      <c r="P48" s="1419" t="s">
        <v>821</v>
      </c>
      <c r="Q48" s="1420">
        <f ca="1">J60</f>
        <v>655642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项目基本情况!G22</f>
        <v>2000</v>
      </c>
      <c r="K49" s="1423" t="s">
        <v>824</v>
      </c>
      <c r="L49" s="1427"/>
      <c r="O49" s="1428" t="s">
        <v>405</v>
      </c>
      <c r="P49" s="1419" t="s">
        <v>825</v>
      </c>
      <c r="Q49" s="1420">
        <f ca="1">C29</f>
        <v>9731887</v>
      </c>
      <c r="R49" s="1420" t="s">
        <v>818</v>
      </c>
    </row>
    <row r="50" spans="1:18" s="1384" customFormat="1" ht="13.5" thickBot="1">
      <c r="A50" s="976"/>
      <c r="B50" s="979"/>
      <c r="C50" s="980"/>
      <c r="D50" s="953"/>
      <c r="E50" s="1056" t="s">
        <v>697</v>
      </c>
      <c r="F50" s="1057">
        <f ca="1">F7</f>
        <v>1840.42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36</v>
      </c>
      <c r="K51" s="1434" t="s">
        <v>830</v>
      </c>
      <c r="L51" s="1435">
        <f ca="1">ROUND(-PV(INDIRECT("'数据-取费表'!h"&amp;$G$1),J51,(C39-C13*C76),0),0)</f>
        <v>30684143</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'数据-取费表'!J6+0.5%</f>
        <v>7.5000000000000011E-2</v>
      </c>
      <c r="K52" s="1437" t="s">
        <v>833</v>
      </c>
      <c r="L52" s="1438"/>
      <c r="O52" s="1428" t="s">
        <v>408</v>
      </c>
      <c r="P52" s="1419" t="s">
        <v>834</v>
      </c>
      <c r="Q52" s="1420">
        <f ca="1">J53</f>
        <v>24.63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24.63</v>
      </c>
      <c r="K53" s="3636" t="s">
        <v>837</v>
      </c>
      <c r="L53" s="3637"/>
      <c r="O53" s="1418" t="s">
        <v>409</v>
      </c>
      <c r="P53" s="1419" t="s">
        <v>838</v>
      </c>
      <c r="Q53" s="1420">
        <f ca="1">Q47+Q48</f>
        <v>38246829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6812321</v>
      </c>
      <c r="D56" s="1447"/>
      <c r="E56" s="1448"/>
      <c r="F56" s="1440"/>
      <c r="I56" s="1449" t="s">
        <v>842</v>
      </c>
      <c r="J56" s="1450" t="s">
        <v>3415</v>
      </c>
      <c r="K56" s="1421" t="s">
        <v>843</v>
      </c>
      <c r="L56" s="1424" t="str">
        <f ca="1">IF(L48&lt;J51,"——",L48-J51)</f>
        <v>——</v>
      </c>
      <c r="O56" s="1418" t="s">
        <v>403</v>
      </c>
      <c r="P56" s="1419" t="s">
        <v>817</v>
      </c>
      <c r="Q56" s="1420">
        <f ca="1">C40+J29</f>
        <v>37591187</v>
      </c>
      <c r="R56" s="1420" t="s">
        <v>818</v>
      </c>
    </row>
    <row r="57" spans="1:18" s="1384" customFormat="1" ht="24.75" thickBot="1">
      <c r="A57" s="1451"/>
      <c r="B57" s="950" t="s">
        <v>767</v>
      </c>
      <c r="C57" s="238">
        <f ca="1">C29</f>
        <v>9731887</v>
      </c>
      <c r="D57" s="1452"/>
      <c r="E57" s="1453"/>
      <c r="F57" s="1454"/>
      <c r="I57" s="1455" t="s">
        <v>844</v>
      </c>
      <c r="J57" s="1456">
        <f ca="1">IF(OR(M47="住宅",J51&lt;L48,J56="是"),"——",J51-L48)</f>
        <v>11.370000000000001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58877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3892755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655642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37591187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48659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10218</v>
      </c>
      <c r="D65" s="964" t="s">
        <v>743</v>
      </c>
      <c r="E65" s="950" t="s">
        <v>744</v>
      </c>
      <c r="F65" s="330">
        <f t="shared" ca="1" si="0"/>
        <v>1.5E-3</v>
      </c>
      <c r="I65" s="1462" t="s">
        <v>867</v>
      </c>
      <c r="J65" s="1463">
        <v>40</v>
      </c>
      <c r="K65" s="1463">
        <v>30</v>
      </c>
      <c r="L65" s="1463">
        <v>50</v>
      </c>
      <c r="M65" s="1465">
        <v>0.02</v>
      </c>
      <c r="O65" s="1418" t="s">
        <v>403</v>
      </c>
      <c r="P65" s="1419" t="s">
        <v>868</v>
      </c>
      <c r="Q65" s="1420">
        <f ca="1">C40+J29</f>
        <v>37591187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-58877</v>
      </c>
      <c r="D67" s="963" t="s">
        <v>753</v>
      </c>
      <c r="E67" s="968"/>
      <c r="F67" s="969"/>
      <c r="O67" s="1428" t="s">
        <v>405</v>
      </c>
      <c r="P67" s="1419" t="s">
        <v>850</v>
      </c>
      <c r="Q67" s="1466">
        <f ca="1">L51</f>
        <v>30684143</v>
      </c>
      <c r="R67" s="1420" t="s">
        <v>870</v>
      </c>
    </row>
    <row r="68" spans="1:18" s="1384" customFormat="1" ht="16.5" thickBot="1">
      <c r="A68" s="947" t="s">
        <v>395</v>
      </c>
      <c r="B68" s="948" t="s">
        <v>774</v>
      </c>
      <c r="C68" s="301">
        <f ca="1">ROUND(C67*(1-((1+F70)/(1+F68))^F69)/(F68-F70),0)</f>
        <v>-784156</v>
      </c>
      <c r="D68" s="965" t="s">
        <v>758</v>
      </c>
      <c r="E68" s="950" t="s">
        <v>759</v>
      </c>
      <c r="F68" s="312">
        <f ca="1">F40</f>
        <v>5.5E-2</v>
      </c>
      <c r="O68" s="1428" t="s">
        <v>406</v>
      </c>
      <c r="P68" s="1467" t="s">
        <v>871</v>
      </c>
      <c r="Q68" s="1420">
        <f ca="1">ROUND(Q69-Q70*Q71,0)</f>
        <v>1854380</v>
      </c>
      <c r="R68" s="1420" t="s">
        <v>414</v>
      </c>
    </row>
    <row r="69" spans="1:18" s="1384" customFormat="1" ht="13.5" thickBot="1">
      <c r="A69" s="951"/>
      <c r="B69" s="952"/>
      <c r="C69" s="306"/>
      <c r="D69" s="970" t="s">
        <v>762</v>
      </c>
      <c r="E69" s="950" t="s">
        <v>763</v>
      </c>
      <c r="F69" s="333">
        <f ca="1">F41</f>
        <v>24.63</v>
      </c>
      <c r="O69" s="1428" t="s">
        <v>411</v>
      </c>
      <c r="P69" s="1467" t="s">
        <v>872</v>
      </c>
      <c r="Q69" s="1420">
        <f ca="1">C39</f>
        <v>2331242</v>
      </c>
      <c r="R69" s="1420" t="s">
        <v>818</v>
      </c>
    </row>
    <row r="70" spans="1:18" s="1384" customFormat="1" ht="13.5" thickBot="1">
      <c r="A70" s="954"/>
      <c r="B70" s="955"/>
      <c r="C70" s="310"/>
      <c r="D70" s="966"/>
      <c r="E70" s="950" t="s">
        <v>766</v>
      </c>
      <c r="F70" s="1054"/>
      <c r="O70" s="1428" t="s">
        <v>412</v>
      </c>
      <c r="P70" s="1467" t="s">
        <v>873</v>
      </c>
      <c r="Q70" s="1420">
        <f ca="1">C13</f>
        <v>6812321</v>
      </c>
      <c r="R70" s="1420" t="s">
        <v>818</v>
      </c>
    </row>
    <row r="71" spans="1:18" s="1384" customFormat="1" ht="13.5" thickBot="1">
      <c r="A71" s="971" t="s">
        <v>396</v>
      </c>
      <c r="B71" s="972" t="s">
        <v>776</v>
      </c>
      <c r="C71" s="336">
        <f ca="1">ROUND(C68/F71,0)</f>
        <v>-426</v>
      </c>
      <c r="D71" s="973" t="s">
        <v>777</v>
      </c>
      <c r="E71" s="974" t="s">
        <v>778</v>
      </c>
      <c r="F71" s="339">
        <f ca="1">F43</f>
        <v>1840.42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476862</v>
      </c>
      <c r="D75" s="1384"/>
      <c r="E75" s="1384"/>
      <c r="F75" s="1384"/>
      <c r="K75" s="1402"/>
      <c r="L75" s="1384"/>
      <c r="O75" s="1418" t="s">
        <v>409</v>
      </c>
      <c r="P75" s="1419" t="s">
        <v>838</v>
      </c>
      <c r="Q75" s="1420">
        <f ca="1">Q65+Q66</f>
        <v>37591187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0.79500000000000004</v>
      </c>
    </row>
    <row r="80" spans="1:18">
      <c r="B80" s="340" t="s">
        <v>800</v>
      </c>
      <c r="C80" s="274">
        <f ca="1">ROUND(C75/C39,3)</f>
        <v>0.20499999999999999</v>
      </c>
    </row>
    <row r="81" spans="2:3">
      <c r="B81" s="270" t="s">
        <v>801</v>
      </c>
      <c r="C81" s="238"/>
    </row>
    <row r="82" spans="2:3">
      <c r="B82" s="273" t="s">
        <v>802</v>
      </c>
      <c r="C82" s="275">
        <f ca="1">1-C83</f>
        <v>0.81899999999999995</v>
      </c>
    </row>
    <row r="83" spans="2:3">
      <c r="B83" s="273" t="s">
        <v>803</v>
      </c>
      <c r="C83" s="274">
        <f ca="1">ROUND(C13/C40,3)</f>
        <v>0.18099999999999999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3360</v>
      </c>
      <c r="E2" s="3444"/>
      <c r="F2" s="2846"/>
      <c r="G2" s="2847"/>
      <c r="H2" s="2848"/>
      <c r="I2" s="2849"/>
      <c r="J2" s="3641" t="s">
        <v>2319</v>
      </c>
      <c r="K2" s="3642"/>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43" t="s">
        <v>2329</v>
      </c>
      <c r="K3" s="3644"/>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43" t="s">
        <v>2331</v>
      </c>
      <c r="K4" s="3644"/>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45" t="s">
        <v>2335</v>
      </c>
      <c r="B6" s="3646"/>
      <c r="C6" s="3647"/>
      <c r="D6" s="2870"/>
      <c r="E6" s="2871"/>
      <c r="F6" s="2872"/>
      <c r="G6" s="2873"/>
      <c r="H6" s="2848"/>
      <c r="I6" s="2849"/>
      <c r="J6" s="3648">
        <v>1</v>
      </c>
      <c r="K6" s="3649"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48"/>
      <c r="K7" s="3650"/>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52" t="s">
        <v>2349</v>
      </c>
      <c r="C8" s="3653"/>
      <c r="D8" s="2889" t="s">
        <v>2350</v>
      </c>
      <c r="E8" s="2890" t="s">
        <v>2351</v>
      </c>
      <c r="F8" s="2891" t="s">
        <v>2352</v>
      </c>
      <c r="G8" s="2892"/>
      <c r="H8" s="2848"/>
      <c r="I8" s="2849"/>
      <c r="J8" s="3648"/>
      <c r="K8" s="3650"/>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52" t="s">
        <v>2355</v>
      </c>
      <c r="C9" s="3653"/>
      <c r="D9" s="2889">
        <f>ROUND(D6*E9,0)</f>
        <v>0</v>
      </c>
      <c r="E9" s="2893"/>
      <c r="F9" s="2894" t="s">
        <v>2356</v>
      </c>
      <c r="G9" s="2873"/>
      <c r="H9" s="2848"/>
      <c r="I9" s="2849"/>
      <c r="J9" s="3648"/>
      <c r="K9" s="3650"/>
      <c r="L9" s="2883" t="s">
        <v>2357</v>
      </c>
      <c r="M9" s="2884"/>
      <c r="N9" s="2860"/>
      <c r="O9" s="2885"/>
      <c r="P9" s="2885"/>
      <c r="Q9" s="2886">
        <v>365</v>
      </c>
      <c r="R9" s="2887">
        <f t="shared" si="0"/>
        <v>0</v>
      </c>
      <c r="S9" s="2841"/>
      <c r="T9" s="2841"/>
      <c r="U9" s="2841"/>
      <c r="V9" s="2849"/>
    </row>
    <row r="10" spans="1:22" s="2853" customFormat="1" ht="13.15" customHeight="1">
      <c r="A10" s="2888">
        <v>2</v>
      </c>
      <c r="B10" s="3652" t="s">
        <v>2358</v>
      </c>
      <c r="C10" s="3653"/>
      <c r="D10" s="2889">
        <f>ROUND(D6*E10,0)</f>
        <v>0</v>
      </c>
      <c r="E10" s="2893"/>
      <c r="F10" s="2894" t="s">
        <v>2359</v>
      </c>
      <c r="G10" s="2873"/>
      <c r="H10" s="2848"/>
      <c r="I10" s="2849"/>
      <c r="J10" s="3648"/>
      <c r="K10" s="3650"/>
      <c r="L10" s="2883" t="s">
        <v>2360</v>
      </c>
      <c r="M10" s="2884"/>
      <c r="N10" s="2860"/>
      <c r="O10" s="2885"/>
      <c r="P10" s="2885"/>
      <c r="Q10" s="2886">
        <v>365</v>
      </c>
      <c r="R10" s="2887">
        <f t="shared" si="0"/>
        <v>0</v>
      </c>
      <c r="S10" s="2841"/>
      <c r="T10" s="2841"/>
      <c r="U10" s="2841"/>
      <c r="V10" s="2849"/>
    </row>
    <row r="11" spans="1:22" s="2853" customFormat="1" ht="13.15" customHeight="1">
      <c r="A11" s="2888">
        <v>3</v>
      </c>
      <c r="B11" s="3652" t="s">
        <v>2361</v>
      </c>
      <c r="C11" s="3653"/>
      <c r="D11" s="2889">
        <f>D12+D14+D15+D16</f>
        <v>0</v>
      </c>
      <c r="E11" s="2895" t="e">
        <f>D11/D6</f>
        <v>#DIV/0!</v>
      </c>
      <c r="F11" s="2891"/>
      <c r="G11" s="2892"/>
      <c r="H11" s="2848"/>
      <c r="I11" s="2849"/>
      <c r="J11" s="3648"/>
      <c r="K11" s="3650"/>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54" t="s">
        <v>2364</v>
      </c>
      <c r="C12" s="3655"/>
      <c r="D12" s="2897">
        <f>ROUND(D13*1.2%*(1-30%),0)</f>
        <v>0</v>
      </c>
      <c r="E12" s="2898">
        <v>1.2E-2</v>
      </c>
      <c r="F12" s="2891" t="s">
        <v>2365</v>
      </c>
      <c r="G12" s="2892"/>
      <c r="H12" s="2848"/>
      <c r="I12" s="2849"/>
      <c r="J12" s="3648"/>
      <c r="K12" s="3650"/>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48"/>
      <c r="K13" s="3650"/>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54" t="s">
        <v>2370</v>
      </c>
      <c r="C14" s="3655"/>
      <c r="D14" s="2897">
        <f>ROUND(E14*B5/10000,0)</f>
        <v>0</v>
      </c>
      <c r="E14" s="2886"/>
      <c r="F14" s="2891" t="s">
        <v>2371</v>
      </c>
      <c r="G14" s="2892"/>
      <c r="H14" s="2848"/>
      <c r="I14" s="2849"/>
      <c r="J14" s="3648"/>
      <c r="K14" s="3651"/>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54" t="s">
        <v>2374</v>
      </c>
      <c r="C15" s="3655"/>
      <c r="D15" s="2897">
        <f>ROUND(D6*E15,0)</f>
        <v>0</v>
      </c>
      <c r="E15" s="2898">
        <v>5.5E-2</v>
      </c>
      <c r="F15" s="2891" t="s">
        <v>2375</v>
      </c>
      <c r="G15" s="2873"/>
      <c r="H15" s="2848"/>
      <c r="I15" s="2849"/>
      <c r="J15" s="3648">
        <v>2</v>
      </c>
      <c r="K15" s="3649"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54" t="s">
        <v>2383</v>
      </c>
      <c r="C16" s="3655"/>
      <c r="D16" s="2908">
        <f>D6*E16</f>
        <v>0</v>
      </c>
      <c r="E16" s="2909"/>
      <c r="F16" s="2894" t="s">
        <v>2384</v>
      </c>
      <c r="G16" s="2873"/>
      <c r="H16" s="2848"/>
      <c r="I16" s="2849"/>
      <c r="J16" s="3648"/>
      <c r="K16" s="3650"/>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2386</v>
      </c>
      <c r="C17" s="3657"/>
      <c r="D17" s="2911">
        <f>ROUND(D6*E17,0)</f>
        <v>0</v>
      </c>
      <c r="E17" s="2912"/>
      <c r="F17" s="2913" t="s">
        <v>2387</v>
      </c>
      <c r="G17" s="2873"/>
      <c r="H17" s="2848"/>
      <c r="I17" s="2849"/>
      <c r="J17" s="3648"/>
      <c r="K17" s="3650"/>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48"/>
      <c r="K18" s="3650"/>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48"/>
      <c r="K19" s="3651"/>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48"/>
      <c r="K21" s="3650"/>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48"/>
      <c r="K22" s="3650"/>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48"/>
      <c r="K23" s="3650"/>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48"/>
      <c r="K24" s="3651"/>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58">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41" t="s">
        <v>2319</v>
      </c>
      <c r="K32" s="3642"/>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43" t="s">
        <v>2329</v>
      </c>
      <c r="K33" s="3644"/>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43" t="s">
        <v>2331</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48">
        <v>1</v>
      </c>
      <c r="K36" s="3649"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48"/>
      <c r="K40" s="3651"/>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3824.6828999999998</v>
      </c>
      <c r="C2" s="1872" t="s">
        <v>1651</v>
      </c>
      <c r="D2" s="1873" t="s">
        <v>1652</v>
      </c>
      <c r="E2" s="2607">
        <f>SUM(E6:E13)</f>
        <v>1840.42</v>
      </c>
      <c r="F2" s="2707"/>
      <c r="G2" s="1489"/>
      <c r="H2" s="1489"/>
      <c r="I2" s="1489"/>
      <c r="J2" s="1489"/>
      <c r="K2" s="1489"/>
      <c r="L2" s="1489"/>
      <c r="M2" s="1489"/>
      <c r="N2" s="1489"/>
      <c r="O2" s="1489"/>
      <c r="P2" s="1489"/>
      <c r="Q2" s="1489"/>
      <c r="R2" s="1489"/>
      <c r="S2" s="1489"/>
    </row>
    <row r="3" spans="1:22" ht="15.75">
      <c r="A3" s="1870" t="s">
        <v>686</v>
      </c>
      <c r="B3" s="2601">
        <f ca="1">ROUND(B2*10000/E2,0)</f>
        <v>20782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3824.6828999999998</v>
      </c>
      <c r="C6" s="1872" t="s">
        <v>1651</v>
      </c>
      <c r="D6" s="2709"/>
      <c r="E6" s="2606">
        <f>IF(OR(A6=0,F6="否"),0,'数据-取费表'!K6+'数据-取费表'!S6)</f>
        <v>1840.42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1840.42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45565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2024-9</v>
      </c>
      <c r="D58" s="1185">
        <f>EDATE(C58,-1)</f>
        <v>45505</v>
      </c>
      <c r="E58" s="1185">
        <f>EDATE(D58,-1)</f>
        <v>45474</v>
      </c>
      <c r="F58" s="1185">
        <f t="shared" ref="F58:O58" si="19">EDATE(E58,-1)</f>
        <v>45444</v>
      </c>
      <c r="G58" s="1185">
        <f t="shared" si="19"/>
        <v>45413</v>
      </c>
      <c r="H58" s="1185">
        <f t="shared" si="19"/>
        <v>45383</v>
      </c>
      <c r="I58" s="1185">
        <f t="shared" si="19"/>
        <v>45352</v>
      </c>
      <c r="J58" s="1185">
        <f t="shared" si="19"/>
        <v>45323</v>
      </c>
      <c r="K58" s="1185">
        <f t="shared" si="19"/>
        <v>45292</v>
      </c>
      <c r="L58" s="1185">
        <f t="shared" si="19"/>
        <v>45261</v>
      </c>
      <c r="M58" s="1185">
        <f t="shared" si="19"/>
        <v>45231</v>
      </c>
      <c r="N58" s="1185">
        <f t="shared" si="19"/>
        <v>45200</v>
      </c>
      <c r="O58" s="1185">
        <f t="shared" si="19"/>
        <v>45170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1840.42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45565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2024-9</v>
      </c>
      <c r="D58" s="1185">
        <f>EDATE(C58,-1)</f>
        <v>45505</v>
      </c>
      <c r="E58" s="1185">
        <f t="shared" ref="E58:N58" si="16">EDATE(D58,-1)</f>
        <v>45474</v>
      </c>
      <c r="F58" s="1185">
        <f t="shared" si="16"/>
        <v>45444</v>
      </c>
      <c r="G58" s="1185">
        <f t="shared" si="16"/>
        <v>45413</v>
      </c>
      <c r="H58" s="1185">
        <f t="shared" si="16"/>
        <v>45383</v>
      </c>
      <c r="I58" s="1185">
        <f t="shared" si="16"/>
        <v>45352</v>
      </c>
      <c r="J58" s="1185">
        <f t="shared" si="16"/>
        <v>45323</v>
      </c>
      <c r="K58" s="1185">
        <f t="shared" si="16"/>
        <v>45292</v>
      </c>
      <c r="L58" s="1185">
        <f t="shared" si="16"/>
        <v>45261</v>
      </c>
      <c r="M58" s="1185">
        <f t="shared" si="16"/>
        <v>45231</v>
      </c>
      <c r="N58" s="1185">
        <f t="shared" si="16"/>
        <v>45200</v>
      </c>
      <c r="O58" s="1185">
        <f>EDATE(N58,-1)</f>
        <v>45170</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1840.42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45565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2024-9</v>
      </c>
      <c r="D59" s="1185">
        <f>EDATE(C59,-1)</f>
        <v>45505</v>
      </c>
      <c r="E59" s="1185">
        <f>EDATE(D59,-1)</f>
        <v>45474</v>
      </c>
      <c r="F59" s="1185">
        <f t="shared" ref="F59:O59" si="16">EDATE(E59,-1)</f>
        <v>45444</v>
      </c>
      <c r="G59" s="1185">
        <f t="shared" si="16"/>
        <v>45413</v>
      </c>
      <c r="H59" s="1185">
        <f t="shared" si="16"/>
        <v>45383</v>
      </c>
      <c r="I59" s="1185">
        <f t="shared" si="16"/>
        <v>45352</v>
      </c>
      <c r="J59" s="1185">
        <f t="shared" si="16"/>
        <v>45323</v>
      </c>
      <c r="K59" s="1185">
        <f t="shared" si="16"/>
        <v>45292</v>
      </c>
      <c r="L59" s="1185">
        <f t="shared" si="16"/>
        <v>45261</v>
      </c>
      <c r="M59" s="1185">
        <f t="shared" si="16"/>
        <v>45231</v>
      </c>
      <c r="N59" s="1185">
        <f t="shared" si="16"/>
        <v>45200</v>
      </c>
      <c r="O59" s="1185">
        <f t="shared" si="16"/>
        <v>45170</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1840.42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45565</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2024-9</v>
      </c>
      <c r="D52" s="1185">
        <f>EDATE(C52,-1)</f>
        <v>45505</v>
      </c>
      <c r="E52" s="1185">
        <f t="shared" ref="E52:O52" si="16">EDATE(D52,-1)</f>
        <v>45474</v>
      </c>
      <c r="F52" s="1185">
        <f t="shared" si="16"/>
        <v>45444</v>
      </c>
      <c r="G52" s="1185">
        <f t="shared" si="16"/>
        <v>45413</v>
      </c>
      <c r="H52" s="1185">
        <f t="shared" si="16"/>
        <v>45383</v>
      </c>
      <c r="I52" s="1185">
        <f t="shared" si="16"/>
        <v>45352</v>
      </c>
      <c r="J52" s="1185">
        <f t="shared" si="16"/>
        <v>45323</v>
      </c>
      <c r="K52" s="1185">
        <f t="shared" si="16"/>
        <v>45292</v>
      </c>
      <c r="L52" s="1185">
        <f t="shared" si="16"/>
        <v>45261</v>
      </c>
      <c r="M52" s="1185">
        <f t="shared" si="16"/>
        <v>45231</v>
      </c>
      <c r="N52" s="1185">
        <f t="shared" si="16"/>
        <v>45200</v>
      </c>
      <c r="O52" s="1185">
        <f t="shared" si="16"/>
        <v>45170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估价对象为北京市房地产，为所有。根据《国有土地使用证》[]，估价对象（分摊）出让国有建设用地使用权面积为0平方米，建筑面积为1840.42平方米。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估价对象为北京市房地产,属开发建设的，该项目尚在开发建设中。根据《国有土地使用证》[]，估价对象（分摊）出让国有建设用地使用权面积为0平方米，规划建筑面积为1840.42平方米。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2024年9月30日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45565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2024-9</v>
      </c>
      <c r="D48" s="1185">
        <f>EDATE(C48,-1)</f>
        <v>45505</v>
      </c>
      <c r="E48" s="1185">
        <f t="shared" ref="E48:O48" si="16">EDATE(D48,-1)</f>
        <v>45474</v>
      </c>
      <c r="F48" s="1185">
        <f t="shared" si="16"/>
        <v>45444</v>
      </c>
      <c r="G48" s="1185">
        <f t="shared" si="16"/>
        <v>45413</v>
      </c>
      <c r="H48" s="1185">
        <f t="shared" si="16"/>
        <v>45383</v>
      </c>
      <c r="I48" s="1185">
        <f t="shared" si="16"/>
        <v>45352</v>
      </c>
      <c r="J48" s="1185">
        <f t="shared" si="16"/>
        <v>45323</v>
      </c>
      <c r="K48" s="1185">
        <f t="shared" si="16"/>
        <v>45292</v>
      </c>
      <c r="L48" s="1185">
        <f t="shared" si="16"/>
        <v>45261</v>
      </c>
      <c r="M48" s="1185">
        <f t="shared" si="16"/>
        <v>45231</v>
      </c>
      <c r="N48" s="1185">
        <f t="shared" si="16"/>
        <v>45200</v>
      </c>
      <c r="O48" s="1185">
        <f t="shared" si="16"/>
        <v>45170</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45565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2024-9</v>
      </c>
      <c r="D46" s="1185">
        <f>EDATE(C46,-1)</f>
        <v>45505</v>
      </c>
      <c r="E46" s="1185">
        <f t="shared" ref="E46:O46" si="16">EDATE(D46,-1)</f>
        <v>45474</v>
      </c>
      <c r="F46" s="1185">
        <f t="shared" si="16"/>
        <v>45444</v>
      </c>
      <c r="G46" s="1185">
        <f t="shared" si="16"/>
        <v>45413</v>
      </c>
      <c r="H46" s="1185">
        <f t="shared" si="16"/>
        <v>45383</v>
      </c>
      <c r="I46" s="1185">
        <f t="shared" si="16"/>
        <v>45352</v>
      </c>
      <c r="J46" s="1185">
        <f t="shared" si="16"/>
        <v>45323</v>
      </c>
      <c r="K46" s="1185">
        <f t="shared" si="16"/>
        <v>45292</v>
      </c>
      <c r="L46" s="1185">
        <f t="shared" si="16"/>
        <v>45261</v>
      </c>
      <c r="M46" s="1185">
        <f t="shared" si="16"/>
        <v>45231</v>
      </c>
      <c r="N46" s="1185">
        <f t="shared" si="16"/>
        <v>45200</v>
      </c>
      <c r="O46" s="1185">
        <f t="shared" si="16"/>
        <v>45170</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45565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9"/>
      <c r="M10" s="2720"/>
      <c r="N10" s="2720"/>
      <c r="O10" s="2773"/>
      <c r="P10" s="3697"/>
      <c r="Q10" s="1343" t="str">
        <f t="shared" si="6"/>
        <v>土地使用年限（年）</v>
      </c>
      <c r="R10" s="701" t="s">
        <v>14</v>
      </c>
      <c r="S10" s="702">
        <f t="shared" si="0"/>
        <v>123</v>
      </c>
      <c r="T10" s="701" t="s">
        <v>14</v>
      </c>
      <c r="U10" s="702">
        <f t="shared" si="1"/>
        <v>123</v>
      </c>
      <c r="V10" s="701" t="s">
        <v>14</v>
      </c>
      <c r="W10" s="702">
        <f t="shared" si="2"/>
        <v>123</v>
      </c>
      <c r="X10" s="703"/>
      <c r="Y10" s="3609"/>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916.73</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916.73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45565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9"/>
      <c r="M10" s="2720"/>
      <c r="N10" s="2720"/>
      <c r="O10" s="2773"/>
      <c r="P10" s="3697"/>
      <c r="Q10" s="1343" t="str">
        <f t="shared" si="6"/>
        <v>土地使用年限（年）</v>
      </c>
      <c r="R10" s="701" t="s">
        <v>14</v>
      </c>
      <c r="S10" s="702">
        <f t="shared" si="0"/>
        <v>123</v>
      </c>
      <c r="T10" s="701" t="s">
        <v>14</v>
      </c>
      <c r="U10" s="702">
        <f t="shared" si="1"/>
        <v>123</v>
      </c>
      <c r="V10" s="701" t="s">
        <v>14</v>
      </c>
      <c r="W10" s="702">
        <f t="shared" si="2"/>
        <v>123</v>
      </c>
      <c r="X10" s="703"/>
      <c r="Y10" s="3609"/>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916.73</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730</v>
      </c>
      <c r="C2" s="2145" t="s">
        <v>2074</v>
      </c>
      <c r="D2" s="2145" t="s">
        <v>2075</v>
      </c>
      <c r="E2" s="2612">
        <f ca="1">SUMIF(E6:E13,"&lt;&gt;#ref!",E6:E13)</f>
        <v>1840.42</v>
      </c>
      <c r="F2" s="2793"/>
      <c r="G2" s="2793"/>
      <c r="H2" s="2793"/>
      <c r="I2" s="2793"/>
      <c r="J2" s="2793"/>
      <c r="K2" s="2793"/>
      <c r="L2" s="2793"/>
      <c r="M2" s="2793"/>
      <c r="N2" s="2793"/>
      <c r="O2" s="2793"/>
      <c r="P2" s="2793"/>
    </row>
    <row r="3" spans="1:16" ht="15.75">
      <c r="A3" s="2145" t="s">
        <v>2076</v>
      </c>
      <c r="B3" s="2602">
        <f ca="1">ROUND(B2*10000/E2,0)</f>
        <v>3966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730</v>
      </c>
      <c r="C6" s="2145" t="s">
        <v>2074</v>
      </c>
      <c r="D6" s="2793"/>
      <c r="E6" s="2612">
        <f ca="1">SUMIF(INDIRECT("'"&amp;A6&amp;"'"&amp;"!C:C"),"建筑面积",INDIRECT("'"&amp;A6&amp;"'"&amp;"!D:D"))</f>
        <v>1840.42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3" zoomScale="85" zoomScaleNormal="80" zoomScaleSheetLayoutView="85" workbookViewId="0">
      <selection activeCell="G38" sqref="G3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1840.42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730</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19784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3966</v>
      </c>
      <c r="C3" s="1999" t="s">
        <v>1941</v>
      </c>
      <c r="D3" s="2000" t="s">
        <v>1942</v>
      </c>
      <c r="E3" s="3420" t="s">
        <v>2451</v>
      </c>
      <c r="F3" s="2004" t="s">
        <v>3398</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15594</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18420</v>
      </c>
      <c r="N4" s="866">
        <f>SUMPRODUCT((因素修正幅度!B55:B86=I2)*(因素修正幅度!C3:G3=E2)*(因素修正幅度!C55:G86))</f>
        <v>9.5000000000000001E-2</v>
      </c>
      <c r="O4" s="1119"/>
      <c r="P4" s="1119"/>
      <c r="Q4" s="1119"/>
      <c r="R4" s="1212">
        <v>3</v>
      </c>
      <c r="S4" s="3361">
        <f>ROUND(SUMPRODUCT((B106:B110=R4)*(C105:N105=G2)*(C106:N110)),4)</f>
        <v>1.0004999999999999</v>
      </c>
      <c r="T4" s="3361">
        <f t="shared" si="0"/>
        <v>13179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18404</v>
      </c>
      <c r="D5" s="1339">
        <f>ROUND(C6*C17+C20,0)</f>
        <v>18404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11624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18420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11170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25.5">
      <c r="A8" s="3299"/>
      <c r="B8" s="170" t="s">
        <v>1957</v>
      </c>
      <c r="C8" s="2026" t="s">
        <v>3399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3256</v>
      </c>
      <c r="B20" s="167" t="s">
        <v>1994</v>
      </c>
      <c r="C20" s="3325">
        <f>ROUND(IF(F21="与级别开发程度一致",0,(G21-E21)/C21),0)</f>
        <v>-16</v>
      </c>
      <c r="D20" s="3341" t="s">
        <v>1998</v>
      </c>
      <c r="E20" s="3342"/>
      <c r="F20" s="3755" t="s">
        <v>1995</v>
      </c>
      <c r="G20" s="3756"/>
      <c r="H20" s="3326" t="s">
        <v>3401</v>
      </c>
      <c r="I20" s="3326" t="s">
        <v>3402</v>
      </c>
      <c r="J20" s="3327" t="s">
        <v>3403</v>
      </c>
      <c r="K20" s="2047" t="s">
        <v>3404</v>
      </c>
      <c r="L20" s="2047" t="s">
        <v>3405</v>
      </c>
      <c r="M20" s="2047" t="s">
        <v>3406</v>
      </c>
      <c r="N20" s="2047" t="s">
        <v>3407</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3400</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1.0498000000000001</v>
      </c>
      <c r="D23" s="2054" t="s">
        <v>2002</v>
      </c>
      <c r="E23" s="761">
        <v>44197</v>
      </c>
      <c r="F23" s="2054" t="s">
        <v>2003</v>
      </c>
      <c r="G23" s="762">
        <f>'数据-取费表'!B2</f>
        <v>45565</v>
      </c>
      <c r="H23" s="3343" t="s">
        <v>3258</v>
      </c>
      <c r="I23" s="3344" t="str">
        <f>IF(H23="季度增幅（自定义）",SUMIF(N25:N28,E2,O25:O28),"")</f>
        <v/>
      </c>
      <c r="J23" s="3446" t="s">
        <v>3257</v>
      </c>
      <c r="K23" s="1125"/>
      <c r="L23" s="2055" t="s">
        <v>2004</v>
      </c>
      <c r="M23" s="1328">
        <f>ROUND(SUMIF(地价!B2:G2,E2,地价!B16:G16),0)</f>
        <v>350</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0.83</v>
      </c>
      <c r="D24" s="2060" t="s">
        <v>2007</v>
      </c>
      <c r="E24" s="1335">
        <f>存贷款利率!E26/100</f>
        <v>4.3499999999999997E-2</v>
      </c>
      <c r="F24" s="2060" t="s">
        <v>1999</v>
      </c>
      <c r="G24" s="768">
        <f>SUMIF(M30:Q30,E2,M33:Q33)</f>
        <v>5.5E-2</v>
      </c>
      <c r="H24" s="2060" t="s">
        <v>2008</v>
      </c>
      <c r="I24" s="769">
        <f>SUMIF('数据-取费表'!C6:C15,E2,'数据-取费表'!F6:F15)/COUNTIF('数据-取费表'!C6:C15,E2)</f>
        <v>24.63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3421</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1.0267999999999999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730</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183</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19784</v>
      </c>
      <c r="D33" s="2098">
        <f>'数据-汇总表'!F19</f>
        <v>916.73</v>
      </c>
      <c r="E33" s="773">
        <f>ROUND(C33*D33/10000,0)</f>
        <v>1814</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3.3500000000000002E-2</v>
      </c>
      <c r="M36" s="3358">
        <f ca="1">ROUND($L$36*(1+M31),3)</f>
        <v>4.2000000000000003E-2</v>
      </c>
      <c r="N36" s="3358">
        <f ca="1">ROUND($L$36*(1+N31),3)</f>
        <v>0.04</v>
      </c>
      <c r="O36" s="3358">
        <f ca="1">ROUND($L$36*(1+O31),3)</f>
        <v>3.9E-2</v>
      </c>
      <c r="P36" s="3358">
        <f ca="1">ROUND($L$36*(1+P31),3)</f>
        <v>3.6999999999999998E-2</v>
      </c>
      <c r="Q36" s="3358">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7904</v>
      </c>
      <c r="D37" s="2098">
        <f>'数据-汇总表'!G19</f>
        <v>923.69</v>
      </c>
      <c r="E37" s="171">
        <f>ROUND(C37*D37/10000,0)</f>
        <v>730</v>
      </c>
      <c r="F37" s="171">
        <f>SUMIF(修正!A57:A68,G2,修正!B57:B68)</f>
        <v>0.6</v>
      </c>
      <c r="G37" s="171">
        <f>ROUND(IF(E2="工业",C37*$M$42,C37*$M$41),0)</f>
        <v>1976</v>
      </c>
      <c r="H37" s="171">
        <f>D37</f>
        <v>923.69</v>
      </c>
      <c r="I37" s="171">
        <f>ROUND(G37*H37/10000,0)</f>
        <v>183</v>
      </c>
      <c r="J37" s="3012"/>
      <c r="K37" s="3359" t="s">
        <v>3268</v>
      </c>
      <c r="L37" s="3357">
        <f ca="1">L36+K38</f>
        <v>3.85E-2</v>
      </c>
      <c r="M37" s="3358">
        <f ca="1">ROUND($L$37*(1+M31),3)</f>
        <v>4.8000000000000001E-2</v>
      </c>
      <c r="N37" s="3358">
        <f t="shared" ref="N37:Q37" ca="1" si="3">ROUND($L$37*(1+N31),3)</f>
        <v>4.5999999999999999E-2</v>
      </c>
      <c r="O37" s="3358">
        <f t="shared" ca="1" si="3"/>
        <v>4.3999999999999997E-2</v>
      </c>
      <c r="P37" s="3358">
        <f t="shared" ca="1" si="3"/>
        <v>4.2000000000000003E-2</v>
      </c>
      <c r="Q37" s="3358">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3952</v>
      </c>
      <c r="D38" s="2098"/>
      <c r="E38" s="171">
        <f t="shared" ref="E38:E42" si="4">ROUND(C38*D38/10000,0)</f>
        <v>0</v>
      </c>
      <c r="F38" s="171">
        <f>SUMIF(修正!A57:A68,G2,修正!C57:C68)</f>
        <v>0.3</v>
      </c>
      <c r="G38" s="171">
        <f>ROUND(IF(E2="工业",C38*$M$42,C38*$M$41),0)</f>
        <v>988</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3261</v>
      </c>
      <c r="C39" s="175">
        <f>ROUND(D5*C22*C23*C24*C28*F39,0)</f>
        <v>3293</v>
      </c>
      <c r="D39" s="2098"/>
      <c r="E39" s="171">
        <f t="shared" si="4"/>
        <v>0</v>
      </c>
      <c r="F39" s="171">
        <f>SUMIF(修正!A57:A68,G2,修正!D57:D68)</f>
        <v>0.25</v>
      </c>
      <c r="G39" s="171">
        <f>ROUND(IF(E2="工业",C39*$M$42,C39*$M$41),0)</f>
        <v>823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3293</v>
      </c>
      <c r="D40" s="2098"/>
      <c r="E40" s="171">
        <f t="shared" si="4"/>
        <v>0</v>
      </c>
      <c r="F40" s="175">
        <f>SUMIF(修正!A57:A68,G2,修正!E57:E68)</f>
        <v>0.25</v>
      </c>
      <c r="G40" s="171">
        <f>ROUND(IF(E2="工业",C40*$M$42,C40*$M$41),0)</f>
        <v>823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3594</v>
      </c>
      <c r="D41" s="2098"/>
      <c r="E41" s="171">
        <f t="shared" si="4"/>
        <v>0</v>
      </c>
      <c r="F41" s="175">
        <f>SUMIF(修正!A57:A68,G2,修正!F57:F68)</f>
        <v>0.25</v>
      </c>
      <c r="G41" s="171">
        <f>ROUND(IF(E2="工业",C41*$M$42,C41*$M$41),0)</f>
        <v>899</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2156</v>
      </c>
      <c r="D42" s="2103"/>
      <c r="E42" s="187">
        <f t="shared" si="4"/>
        <v>0</v>
      </c>
      <c r="F42" s="767">
        <f>SUMIF(修正!A57:A68,G2,修正!G57:G68)</f>
        <v>0.15</v>
      </c>
      <c r="G42" s="187">
        <f>ROUND(IF(E2="工业",C42*$M$42,C42*$M$41),0)</f>
        <v>539</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0.90569999999999995</v>
      </c>
      <c r="D44" s="171" t="s">
        <v>1999</v>
      </c>
      <c r="E44" s="2153">
        <f>G24</f>
        <v>5.5E-2</v>
      </c>
      <c r="F44" s="171" t="s">
        <v>2008</v>
      </c>
      <c r="G44" s="183">
        <f>项目基本情况!D15+10</f>
        <v>34.629999999999995</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1.0267999999999999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3409</v>
      </c>
      <c r="D50" s="1065">
        <f t="shared" ref="D50:D58" si="7">SUMIF($J$49:$N$49,C50,J50:N50)</f>
        <v>0</v>
      </c>
      <c r="E50" s="744">
        <f>ROUND(SUM(D50:D58),4)</f>
        <v>2.6800000000000001E-2</v>
      </c>
      <c r="F50" s="1814">
        <f>IF(E2="商业",SUMIF(L1:L12,G2,N1:N12),"——")</f>
        <v>9.5000000000000001E-2</v>
      </c>
      <c r="G50" s="1063">
        <f>H50</f>
        <v>1.4200000000000001E-2</v>
      </c>
      <c r="H50" s="1066">
        <f t="shared" ref="H50:H58" si="8">IFERROR(ROUNDDOWN($F$50*I50/2,4),"——")</f>
        <v>1.4200000000000001E-2</v>
      </c>
      <c r="I50" s="3367">
        <v>0.3</v>
      </c>
      <c r="J50" s="1064">
        <f t="shared" ref="J50:J58" si="9">K50+$G50</f>
        <v>2.8400000000000002E-2</v>
      </c>
      <c r="K50" s="1064">
        <f t="shared" ref="K50:K58" si="10">$L50+$G50</f>
        <v>1.4200000000000001E-2</v>
      </c>
      <c r="L50" s="1064">
        <v>0</v>
      </c>
      <c r="M50" s="1064">
        <f t="shared" ref="M50:N58" si="11">L50-$G50</f>
        <v>-1.4200000000000001E-2</v>
      </c>
      <c r="N50" s="1064">
        <f t="shared" si="11"/>
        <v>-2.8400000000000002E-2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3408</v>
      </c>
      <c r="D51" s="1065">
        <f t="shared" si="7"/>
        <v>1.04E-2</v>
      </c>
      <c r="E51" s="745"/>
      <c r="F51" s="1814"/>
      <c r="G51" s="1063">
        <f t="shared" ref="G51:G58" si="12">H51</f>
        <v>1.04E-2</v>
      </c>
      <c r="H51" s="1066">
        <f t="shared" si="8"/>
        <v>1.04E-2</v>
      </c>
      <c r="I51" s="3367">
        <v>0.22</v>
      </c>
      <c r="J51" s="1064">
        <f t="shared" si="9"/>
        <v>2.0799999999999999E-2</v>
      </c>
      <c r="K51" s="1064">
        <f t="shared" si="10"/>
        <v>1.04E-2</v>
      </c>
      <c r="L51" s="1064">
        <v>0</v>
      </c>
      <c r="M51" s="1064">
        <f t="shared" si="11"/>
        <v>-1.04E-2</v>
      </c>
      <c r="N51" s="1064">
        <f t="shared" si="11"/>
        <v>-2.0799999999999999E-2</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t="s">
        <v>3408</v>
      </c>
      <c r="D52" s="1065">
        <f t="shared" si="7"/>
        <v>5.7000000000000002E-3</v>
      </c>
      <c r="E52" s="745"/>
      <c r="F52" s="1814"/>
      <c r="G52" s="1063">
        <f t="shared" si="12"/>
        <v>5.7000000000000002E-3</v>
      </c>
      <c r="H52" s="1066">
        <f t="shared" si="8"/>
        <v>5.7000000000000002E-3</v>
      </c>
      <c r="I52" s="3367">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6.75">
      <c r="A53" s="2130" t="s">
        <v>2054</v>
      </c>
      <c r="B53" s="2135" t="s">
        <v>2055</v>
      </c>
      <c r="C53" s="2044" t="s">
        <v>3409</v>
      </c>
      <c r="D53" s="1065">
        <f t="shared" si="7"/>
        <v>0</v>
      </c>
      <c r="E53" s="745"/>
      <c r="F53" s="1814"/>
      <c r="G53" s="1063">
        <f t="shared" si="12"/>
        <v>2.3E-3</v>
      </c>
      <c r="H53" s="1066">
        <f t="shared" si="8"/>
        <v>2.3E-3</v>
      </c>
      <c r="I53" s="3367">
        <v>0.05</v>
      </c>
      <c r="J53" s="1064">
        <f t="shared" si="9"/>
        <v>4.5999999999999999E-3</v>
      </c>
      <c r="K53" s="1064">
        <f t="shared" si="10"/>
        <v>2.3E-3</v>
      </c>
      <c r="L53" s="1064">
        <v>0</v>
      </c>
      <c r="M53" s="1064">
        <f t="shared" si="11"/>
        <v>-2.3E-3</v>
      </c>
      <c r="N53" s="1064">
        <f t="shared" si="11"/>
        <v>-4.5999999999999999E-3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3410</v>
      </c>
      <c r="D54" s="1065">
        <f t="shared" si="7"/>
        <v>-3.8E-3</v>
      </c>
      <c r="E54" s="745"/>
      <c r="F54" s="1814"/>
      <c r="G54" s="1063">
        <f t="shared" si="12"/>
        <v>3.8E-3</v>
      </c>
      <c r="H54" s="1066">
        <f t="shared" si="8"/>
        <v>3.8E-3</v>
      </c>
      <c r="I54" s="3367">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24">
      <c r="A55" s="2130" t="s">
        <v>2057</v>
      </c>
      <c r="B55" s="2136" t="s">
        <v>2058</v>
      </c>
      <c r="C55" s="2044" t="s">
        <v>3408</v>
      </c>
      <c r="D55" s="1065">
        <f t="shared" si="7"/>
        <v>2.3E-3</v>
      </c>
      <c r="E55" s="745"/>
      <c r="F55" s="1814"/>
      <c r="G55" s="1063">
        <f t="shared" si="12"/>
        <v>2.3E-3</v>
      </c>
      <c r="H55" s="1066">
        <f t="shared" si="8"/>
        <v>2.3E-3</v>
      </c>
      <c r="I55" s="3367">
        <v>0.05</v>
      </c>
      <c r="J55" s="1064">
        <f t="shared" si="9"/>
        <v>4.5999999999999999E-3</v>
      </c>
      <c r="K55" s="1064">
        <f t="shared" si="10"/>
        <v>2.3E-3</v>
      </c>
      <c r="L55" s="1064">
        <v>0</v>
      </c>
      <c r="M55" s="1064">
        <f t="shared" si="11"/>
        <v>-2.3E-3</v>
      </c>
      <c r="N55" s="1064">
        <f t="shared" si="11"/>
        <v>-4.5999999999999999E-3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3408</v>
      </c>
      <c r="D56" s="1065">
        <f t="shared" si="7"/>
        <v>2.3E-3</v>
      </c>
      <c r="E56" s="745"/>
      <c r="F56" s="1814"/>
      <c r="G56" s="1063">
        <f t="shared" si="12"/>
        <v>2.3E-3</v>
      </c>
      <c r="H56" s="1066">
        <f t="shared" si="8"/>
        <v>2.3E-3</v>
      </c>
      <c r="I56" s="3367">
        <v>0.05</v>
      </c>
      <c r="J56" s="1064">
        <f t="shared" si="9"/>
        <v>4.5999999999999999E-3</v>
      </c>
      <c r="K56" s="1064">
        <f t="shared" si="10"/>
        <v>2.3E-3</v>
      </c>
      <c r="L56" s="1064">
        <v>0</v>
      </c>
      <c r="M56" s="1064">
        <f t="shared" si="11"/>
        <v>-2.3E-3</v>
      </c>
      <c r="N56" s="1064">
        <f t="shared" si="11"/>
        <v>-4.5999999999999999E-3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3411</v>
      </c>
      <c r="D57" s="1065">
        <f t="shared" si="7"/>
        <v>7.6E-3</v>
      </c>
      <c r="E57" s="745"/>
      <c r="F57" s="1814"/>
      <c r="G57" s="1063">
        <f t="shared" si="12"/>
        <v>3.8E-3</v>
      </c>
      <c r="H57" s="1066">
        <f t="shared" si="8"/>
        <v>3.8E-3</v>
      </c>
      <c r="I57" s="3367">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3408</v>
      </c>
      <c r="D58" s="1065">
        <f t="shared" si="7"/>
        <v>2.3E-3</v>
      </c>
      <c r="E58" s="746"/>
      <c r="F58" s="1814"/>
      <c r="G58" s="1063">
        <f t="shared" si="12"/>
        <v>2.3E-3</v>
      </c>
      <c r="H58" s="1066">
        <f t="shared" si="8"/>
        <v>2.3E-3</v>
      </c>
      <c r="I58" s="3368">
        <v>0.05</v>
      </c>
      <c r="J58" s="1064">
        <f t="shared" si="9"/>
        <v>4.5999999999999999E-3</v>
      </c>
      <c r="K58" s="1064">
        <f t="shared" si="10"/>
        <v>2.3E-3</v>
      </c>
      <c r="L58" s="1064">
        <v>0</v>
      </c>
      <c r="M58" s="1064">
        <f t="shared" si="11"/>
        <v>-2.3E-3</v>
      </c>
      <c r="N58" s="1064">
        <f t="shared" si="11"/>
        <v>-4.5999999999999999E-3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3272</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3275</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3276</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3277</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3278</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3296</v>
      </c>
      <c r="B103" s="3751"/>
      <c r="C103" s="3751"/>
      <c r="D103" s="3751"/>
      <c r="E103" s="3751"/>
      <c r="F103" s="3751"/>
      <c r="G103" s="3751"/>
      <c r="H103" s="3751"/>
      <c r="I103" s="3751"/>
      <c r="J103" s="3751"/>
      <c r="K103" s="3390"/>
      <c r="L103" s="3390"/>
      <c r="M103" s="3390"/>
      <c r="N103" s="3390"/>
    </row>
    <row r="104" spans="1:14">
      <c r="A104" s="3752" t="s">
        <v>3297</v>
      </c>
      <c r="B104" s="3752" t="s">
        <v>3298</v>
      </c>
      <c r="C104" s="3391" t="s">
        <v>3299</v>
      </c>
      <c r="D104" s="3392"/>
      <c r="E104" s="3392"/>
      <c r="F104" s="3392"/>
      <c r="G104" s="3392"/>
      <c r="H104" s="3392"/>
      <c r="I104" s="3392"/>
      <c r="J104" s="3393"/>
      <c r="K104" s="3394"/>
      <c r="L104" s="3394"/>
      <c r="M104" s="3394"/>
      <c r="N104" s="3394"/>
    </row>
    <row r="105" spans="1:14">
      <c r="A105" s="3752"/>
      <c r="B105" s="3752"/>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38"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3270</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740"/>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741" t="s">
        <v>3313</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2.5</v>
      </c>
      <c r="C116" s="3400" t="s">
        <v>3315</v>
      </c>
      <c r="D116" s="3401">
        <f>SUMPRODUCT((A118:A122=F116)*(B117:M117=H116)*B118:M122)</f>
        <v>0.91400000000000003</v>
      </c>
      <c r="E116" s="2000" t="s">
        <v>3316</v>
      </c>
      <c r="F116" s="3402" t="str">
        <f>E2</f>
        <v>商业</v>
      </c>
      <c r="G116" s="2000" t="s">
        <v>3317</v>
      </c>
      <c r="H116" s="3402" t="str">
        <f>G2</f>
        <v>四级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3331</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3332</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3333</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2614</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4" t="s">
        <v>2609</v>
      </c>
      <c r="B20" s="3757" t="s">
        <v>2630</v>
      </c>
      <c r="C20" s="3103" t="s">
        <v>2441</v>
      </c>
      <c r="D20" s="3104"/>
      <c r="E20" s="3105">
        <v>1</v>
      </c>
      <c r="F20" s="3106" t="s">
        <v>2442</v>
      </c>
      <c r="G20" s="3106"/>
    </row>
    <row r="21" spans="1:13" ht="19.5" customHeight="1">
      <c r="A21" s="3765"/>
      <c r="B21" s="3758"/>
      <c r="C21" s="3107" t="s">
        <v>2443</v>
      </c>
      <c r="D21" s="3108"/>
      <c r="E21" s="3109">
        <v>1</v>
      </c>
      <c r="F21" s="3106" t="s">
        <v>2444</v>
      </c>
      <c r="G21" s="3106"/>
    </row>
    <row r="22" spans="1:13" ht="19.5" customHeight="1">
      <c r="A22" s="3765"/>
      <c r="B22" s="3758"/>
      <c r="C22" s="3107" t="s">
        <v>2445</v>
      </c>
      <c r="D22" s="3108"/>
      <c r="E22" s="3109">
        <v>0.9</v>
      </c>
      <c r="F22" s="3106" t="s">
        <v>2446</v>
      </c>
      <c r="G22" s="3106"/>
    </row>
    <row r="23" spans="1:13" ht="19.5" customHeight="1">
      <c r="A23" s="3765"/>
      <c r="B23" s="3758"/>
      <c r="C23" s="3107" t="s">
        <v>2447</v>
      </c>
      <c r="D23" s="3108"/>
      <c r="E23" s="3109">
        <v>0.9</v>
      </c>
      <c r="F23" s="3106" t="s">
        <v>2448</v>
      </c>
      <c r="G23" s="3106"/>
    </row>
    <row r="24" spans="1:13" ht="19.5" customHeight="1">
      <c r="A24" s="3765"/>
      <c r="B24" s="3758"/>
      <c r="C24" s="3107" t="s">
        <v>2449</v>
      </c>
      <c r="D24" s="3108"/>
      <c r="E24" s="3109">
        <v>0.8</v>
      </c>
      <c r="F24" s="3106" t="s">
        <v>2450</v>
      </c>
      <c r="G24" s="3106"/>
    </row>
    <row r="25" spans="1:13" ht="19.5" customHeight="1" thickBot="1">
      <c r="A25" s="3766"/>
      <c r="B25" s="3759"/>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0" t="s">
        <v>2633</v>
      </c>
      <c r="B27" s="3757" t="s">
        <v>2614</v>
      </c>
      <c r="C27" s="3103" t="s">
        <v>2454</v>
      </c>
      <c r="D27" s="3104"/>
      <c r="E27" s="3105">
        <v>1</v>
      </c>
      <c r="F27" s="3106" t="s">
        <v>2455</v>
      </c>
      <c r="G27" s="3106"/>
    </row>
    <row r="28" spans="1:13" ht="19.5" customHeight="1">
      <c r="A28" s="3761"/>
      <c r="B28" s="3758"/>
      <c r="C28" s="3107" t="s">
        <v>2456</v>
      </c>
      <c r="D28" s="3108"/>
      <c r="E28" s="3109">
        <v>1</v>
      </c>
      <c r="F28" s="3106" t="s">
        <v>2457</v>
      </c>
      <c r="G28" s="3106"/>
    </row>
    <row r="29" spans="1:13" ht="19.5" customHeight="1">
      <c r="A29" s="3761"/>
      <c r="B29" s="3758"/>
      <c r="C29" s="3107" t="s">
        <v>2458</v>
      </c>
      <c r="D29" s="3108"/>
      <c r="E29" s="3109">
        <v>0.8</v>
      </c>
      <c r="F29" s="3106" t="s">
        <v>2459</v>
      </c>
      <c r="G29" s="3106"/>
    </row>
    <row r="30" spans="1:13" ht="19.5" customHeight="1">
      <c r="A30" s="3761"/>
      <c r="B30" s="3758"/>
      <c r="C30" s="3107" t="s">
        <v>2460</v>
      </c>
      <c r="D30" s="3108"/>
      <c r="E30" s="3109">
        <v>0.8</v>
      </c>
      <c r="F30" s="3106" t="s">
        <v>2461</v>
      </c>
      <c r="G30" s="3106"/>
    </row>
    <row r="31" spans="1:13" ht="19.5" customHeight="1">
      <c r="A31" s="3761"/>
      <c r="B31" s="3758"/>
      <c r="C31" s="3107" t="s">
        <v>2462</v>
      </c>
      <c r="D31" s="3108"/>
      <c r="E31" s="3109">
        <v>0.8</v>
      </c>
      <c r="F31" s="3106" t="s">
        <v>2463</v>
      </c>
      <c r="G31" s="3106"/>
    </row>
    <row r="32" spans="1:13" ht="19.5" customHeight="1">
      <c r="A32" s="3761"/>
      <c r="B32" s="3758"/>
      <c r="C32" s="3107" t="s">
        <v>2464</v>
      </c>
      <c r="D32" s="3108"/>
      <c r="E32" s="3109">
        <v>0.7</v>
      </c>
      <c r="F32" s="3106" t="s">
        <v>2465</v>
      </c>
      <c r="G32" s="3106"/>
    </row>
    <row r="33" spans="1:7" ht="19.5" customHeight="1">
      <c r="A33" s="3761"/>
      <c r="B33" s="3758"/>
      <c r="C33" s="3107" t="s">
        <v>2466</v>
      </c>
      <c r="D33" s="3108"/>
      <c r="E33" s="3109">
        <v>0.8</v>
      </c>
      <c r="F33" s="3106" t="s">
        <v>2467</v>
      </c>
      <c r="G33" s="3106"/>
    </row>
    <row r="34" spans="1:7" ht="19.5" customHeight="1">
      <c r="A34" s="3761"/>
      <c r="B34" s="3758"/>
      <c r="C34" s="3107" t="s">
        <v>2468</v>
      </c>
      <c r="D34" s="3108"/>
      <c r="E34" s="3109">
        <v>0.6</v>
      </c>
      <c r="F34" s="3106" t="s">
        <v>2469</v>
      </c>
      <c r="G34" s="3106"/>
    </row>
    <row r="35" spans="1:7" ht="19.5" customHeight="1">
      <c r="A35" s="3761"/>
      <c r="B35" s="3758"/>
      <c r="C35" s="3107" t="s">
        <v>2470</v>
      </c>
      <c r="D35" s="3108"/>
      <c r="E35" s="3109">
        <v>0.2</v>
      </c>
      <c r="F35" s="3106" t="s">
        <v>2471</v>
      </c>
      <c r="G35" s="3106"/>
    </row>
    <row r="36" spans="1:7" ht="19.5" customHeight="1">
      <c r="A36" s="3761"/>
      <c r="B36" s="3758"/>
      <c r="C36" s="3107" t="s">
        <v>2472</v>
      </c>
      <c r="D36" s="3108"/>
      <c r="E36" s="3109">
        <v>0.2</v>
      </c>
      <c r="F36" s="3106" t="s">
        <v>2473</v>
      </c>
      <c r="G36" s="3106"/>
    </row>
    <row r="37" spans="1:7" ht="19.5" customHeight="1">
      <c r="A37" s="3761"/>
      <c r="B37" s="3763" t="s">
        <v>2634</v>
      </c>
      <c r="C37" s="3107" t="s">
        <v>2474</v>
      </c>
      <c r="D37" s="3108"/>
      <c r="E37" s="3109">
        <v>0.6</v>
      </c>
      <c r="F37" s="3106" t="s">
        <v>2475</v>
      </c>
      <c r="G37" s="3106"/>
    </row>
    <row r="38" spans="1:7" ht="19.5" customHeight="1">
      <c r="A38" s="3761"/>
      <c r="B38" s="3758"/>
      <c r="C38" s="3107" t="s">
        <v>2476</v>
      </c>
      <c r="D38" s="3108"/>
      <c r="E38" s="3109">
        <v>0.6</v>
      </c>
      <c r="F38" s="3106" t="s">
        <v>2477</v>
      </c>
      <c r="G38" s="3106"/>
    </row>
    <row r="39" spans="1:7" ht="19.5" customHeight="1" thickBot="1">
      <c r="A39" s="3762"/>
      <c r="B39" s="3759"/>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4" t="s">
        <v>2612</v>
      </c>
      <c r="B41" s="3757" t="s">
        <v>2636</v>
      </c>
      <c r="C41" s="3103" t="s">
        <v>2481</v>
      </c>
      <c r="D41" s="3104"/>
      <c r="E41" s="3105">
        <v>1</v>
      </c>
      <c r="F41" s="3106" t="s">
        <v>2482</v>
      </c>
      <c r="G41" s="3106"/>
    </row>
    <row r="42" spans="1:7" ht="19.5" customHeight="1">
      <c r="A42" s="3765"/>
      <c r="B42" s="3758"/>
      <c r="C42" s="3107" t="s">
        <v>2483</v>
      </c>
      <c r="D42" s="3108"/>
      <c r="E42" s="3109">
        <v>1</v>
      </c>
      <c r="F42" s="3106" t="s">
        <v>2484</v>
      </c>
      <c r="G42" s="3106"/>
    </row>
    <row r="43" spans="1:7" ht="19.5" customHeight="1">
      <c r="A43" s="3765"/>
      <c r="B43" s="3767"/>
      <c r="C43" s="3107" t="s">
        <v>2485</v>
      </c>
      <c r="D43" s="3108"/>
      <c r="E43" s="3109">
        <v>1.5</v>
      </c>
      <c r="F43" s="3106" t="s">
        <v>2486</v>
      </c>
      <c r="G43" s="3106"/>
    </row>
    <row r="44" spans="1:7" ht="19.5" customHeight="1">
      <c r="A44" s="3765"/>
      <c r="B44" s="3118" t="s">
        <v>2637</v>
      </c>
      <c r="C44" s="3107" t="s">
        <v>2638</v>
      </c>
      <c r="D44" s="3108"/>
      <c r="E44" s="3109">
        <v>2</v>
      </c>
      <c r="F44" s="3106" t="s">
        <v>2487</v>
      </c>
      <c r="G44" s="3106"/>
    </row>
    <row r="45" spans="1:7" ht="19.5" customHeight="1">
      <c r="A45" s="3765"/>
      <c r="B45" s="3763" t="s">
        <v>2639</v>
      </c>
      <c r="C45" s="3107" t="s">
        <v>2488</v>
      </c>
      <c r="D45" s="3108"/>
      <c r="E45" s="3109">
        <v>1</v>
      </c>
      <c r="F45" s="3106" t="s">
        <v>2489</v>
      </c>
      <c r="G45" s="3106"/>
    </row>
    <row r="46" spans="1:7" ht="19.5" customHeight="1">
      <c r="A46" s="3765"/>
      <c r="B46" s="3758"/>
      <c r="C46" s="3107" t="s">
        <v>2490</v>
      </c>
      <c r="D46" s="3108"/>
      <c r="E46" s="3109">
        <v>1</v>
      </c>
      <c r="F46" s="3106" t="s">
        <v>2491</v>
      </c>
      <c r="G46" s="3106"/>
    </row>
    <row r="47" spans="1:7" ht="19.5" customHeight="1">
      <c r="A47" s="3765"/>
      <c r="B47" s="3758"/>
      <c r="C47" s="3107" t="s">
        <v>2492</v>
      </c>
      <c r="D47" s="3108"/>
      <c r="E47" s="3109">
        <v>1</v>
      </c>
      <c r="F47" s="3106" t="s">
        <v>2493</v>
      </c>
      <c r="G47" s="3106"/>
    </row>
    <row r="48" spans="1:7" ht="19.5" customHeight="1">
      <c r="A48" s="3765"/>
      <c r="B48" s="3758"/>
      <c r="C48" s="3107" t="s">
        <v>2494</v>
      </c>
      <c r="D48" s="3108"/>
      <c r="E48" s="3109">
        <v>1</v>
      </c>
      <c r="F48" s="3106" t="s">
        <v>2495</v>
      </c>
      <c r="G48" s="3106"/>
    </row>
    <row r="49" spans="1:7" ht="19.5" customHeight="1">
      <c r="A49" s="3765"/>
      <c r="B49" s="3758"/>
      <c r="C49" s="3107" t="s">
        <v>2496</v>
      </c>
      <c r="D49" s="3108"/>
      <c r="E49" s="3109">
        <v>1</v>
      </c>
      <c r="F49" s="3106" t="s">
        <v>2497</v>
      </c>
      <c r="G49" s="3106"/>
    </row>
    <row r="50" spans="1:7" ht="19.5" customHeight="1">
      <c r="A50" s="3765"/>
      <c r="B50" s="3758"/>
      <c r="C50" s="3107" t="s">
        <v>2498</v>
      </c>
      <c r="D50" s="3108"/>
      <c r="E50" s="3109">
        <v>1</v>
      </c>
      <c r="F50" s="3106" t="s">
        <v>2499</v>
      </c>
      <c r="G50" s="3106"/>
    </row>
    <row r="51" spans="1:7" ht="19.5" customHeight="1" thickBot="1">
      <c r="A51" s="3766"/>
      <c r="B51" s="3759"/>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3" t="s">
        <v>2653</v>
      </c>
      <c r="C73" s="3092" t="s">
        <v>2654</v>
      </c>
      <c r="D73" s="3092" t="s">
        <v>2655</v>
      </c>
      <c r="E73" s="3118">
        <v>0.2</v>
      </c>
      <c r="F73" s="3118">
        <v>25</v>
      </c>
    </row>
    <row r="74" spans="1:7" ht="24">
      <c r="A74" s="3118">
        <v>2</v>
      </c>
      <c r="B74" s="3758"/>
      <c r="C74" s="3092" t="s">
        <v>2656</v>
      </c>
      <c r="D74" s="3092" t="s">
        <v>2657</v>
      </c>
      <c r="E74" s="3118">
        <v>0.2</v>
      </c>
      <c r="F74" s="3118">
        <v>25</v>
      </c>
    </row>
    <row r="75" spans="1:7" ht="24">
      <c r="A75" s="3118">
        <v>3</v>
      </c>
      <c r="B75" s="3758"/>
      <c r="C75" s="3092" t="s">
        <v>2658</v>
      </c>
      <c r="D75" s="3092" t="s">
        <v>2659</v>
      </c>
      <c r="E75" s="3118">
        <v>0.2</v>
      </c>
      <c r="F75" s="3118">
        <v>25</v>
      </c>
    </row>
    <row r="76" spans="1:7" ht="13.5">
      <c r="A76" s="3118">
        <v>4</v>
      </c>
      <c r="B76" s="3758"/>
      <c r="C76" s="3092" t="s">
        <v>2660</v>
      </c>
      <c r="D76" s="3092" t="s">
        <v>2661</v>
      </c>
      <c r="E76" s="3118">
        <v>0.15</v>
      </c>
      <c r="F76" s="3118">
        <v>20</v>
      </c>
    </row>
    <row r="77" spans="1:7" ht="24">
      <c r="A77" s="3118">
        <v>5</v>
      </c>
      <c r="B77" s="3758"/>
      <c r="C77" s="3092" t="s">
        <v>2662</v>
      </c>
      <c r="D77" s="3092" t="s">
        <v>2663</v>
      </c>
      <c r="E77" s="3118">
        <v>0.15</v>
      </c>
      <c r="F77" s="3118">
        <v>20</v>
      </c>
    </row>
    <row r="78" spans="1:7" ht="24">
      <c r="A78" s="3118">
        <v>6</v>
      </c>
      <c r="B78" s="3758"/>
      <c r="C78" s="3092" t="s">
        <v>2664</v>
      </c>
      <c r="D78" s="3092" t="s">
        <v>2665</v>
      </c>
      <c r="E78" s="3118">
        <v>0.15</v>
      </c>
      <c r="F78" s="3118">
        <v>20</v>
      </c>
    </row>
    <row r="79" spans="1:7" ht="24">
      <c r="A79" s="3118">
        <v>7</v>
      </c>
      <c r="B79" s="3758"/>
      <c r="C79" s="3092" t="s">
        <v>2666</v>
      </c>
      <c r="D79" s="3092" t="s">
        <v>2667</v>
      </c>
      <c r="E79" s="3118">
        <v>0.15</v>
      </c>
      <c r="F79" s="3118">
        <v>20</v>
      </c>
    </row>
    <row r="80" spans="1:7" ht="24">
      <c r="A80" s="3118">
        <v>8</v>
      </c>
      <c r="B80" s="3758"/>
      <c r="C80" s="3092" t="s">
        <v>2668</v>
      </c>
      <c r="D80" s="3092" t="s">
        <v>2669</v>
      </c>
      <c r="E80" s="3118">
        <v>0.1</v>
      </c>
      <c r="F80" s="3118">
        <v>15</v>
      </c>
    </row>
    <row r="81" spans="1:6" ht="24">
      <c r="A81" s="3118">
        <v>9</v>
      </c>
      <c r="B81" s="3758"/>
      <c r="C81" s="3092" t="s">
        <v>2670</v>
      </c>
      <c r="D81" s="3092" t="s">
        <v>2671</v>
      </c>
      <c r="E81" s="3118">
        <v>0.1</v>
      </c>
      <c r="F81" s="3118">
        <v>15</v>
      </c>
    </row>
    <row r="82" spans="1:6" ht="24">
      <c r="A82" s="3118">
        <v>10</v>
      </c>
      <c r="B82" s="3758"/>
      <c r="C82" s="3092" t="s">
        <v>2672</v>
      </c>
      <c r="D82" s="3092" t="s">
        <v>2673</v>
      </c>
      <c r="E82" s="3118">
        <v>0.1</v>
      </c>
      <c r="F82" s="3118">
        <v>15</v>
      </c>
    </row>
    <row r="83" spans="1:6" ht="24">
      <c r="A83" s="3118">
        <v>11</v>
      </c>
      <c r="B83" s="3758"/>
      <c r="C83" s="3092" t="s">
        <v>2674</v>
      </c>
      <c r="D83" s="3092" t="s">
        <v>2675</v>
      </c>
      <c r="E83" s="3118">
        <v>0.1</v>
      </c>
      <c r="F83" s="3118">
        <v>15</v>
      </c>
    </row>
    <row r="84" spans="1:6" ht="24">
      <c r="A84" s="3118">
        <v>12</v>
      </c>
      <c r="B84" s="3758"/>
      <c r="C84" s="3092" t="s">
        <v>2676</v>
      </c>
      <c r="D84" s="3092" t="s">
        <v>2677</v>
      </c>
      <c r="E84" s="3118">
        <v>0.1</v>
      </c>
      <c r="F84" s="3118">
        <v>15</v>
      </c>
    </row>
    <row r="85" spans="1:6" ht="13.5">
      <c r="A85" s="3118">
        <v>13</v>
      </c>
      <c r="B85" s="3758"/>
      <c r="C85" s="3092" t="s">
        <v>2678</v>
      </c>
      <c r="D85" s="3092" t="s">
        <v>2679</v>
      </c>
      <c r="E85" s="3118">
        <v>0.1</v>
      </c>
      <c r="F85" s="3118">
        <v>15</v>
      </c>
    </row>
    <row r="86" spans="1:6" ht="13.5">
      <c r="A86" s="3118">
        <v>14</v>
      </c>
      <c r="B86" s="3758"/>
      <c r="C86" s="3092" t="s">
        <v>2680</v>
      </c>
      <c r="D86" s="3092" t="s">
        <v>2681</v>
      </c>
      <c r="E86" s="3118">
        <v>0.1</v>
      </c>
      <c r="F86" s="3118">
        <v>15</v>
      </c>
    </row>
    <row r="87" spans="1:6" ht="13.5">
      <c r="A87" s="3118">
        <v>15</v>
      </c>
      <c r="B87" s="3758"/>
      <c r="C87" s="3092" t="s">
        <v>2682</v>
      </c>
      <c r="D87" s="3092" t="s">
        <v>2683</v>
      </c>
      <c r="E87" s="3118">
        <v>0.1</v>
      </c>
      <c r="F87" s="3118">
        <v>15</v>
      </c>
    </row>
    <row r="88" spans="1:6" ht="24">
      <c r="A88" s="3118">
        <v>16</v>
      </c>
      <c r="B88" s="3758"/>
      <c r="C88" s="3092" t="s">
        <v>2684</v>
      </c>
      <c r="D88" s="3092" t="s">
        <v>2685</v>
      </c>
      <c r="E88" s="3118">
        <v>0.1</v>
      </c>
      <c r="F88" s="3118">
        <v>15</v>
      </c>
    </row>
    <row r="89" spans="1:6" ht="24">
      <c r="A89" s="3118">
        <v>17</v>
      </c>
      <c r="B89" s="3767"/>
      <c r="C89" s="3092" t="s">
        <v>2686</v>
      </c>
      <c r="D89" s="3092" t="s">
        <v>2687</v>
      </c>
      <c r="E89" s="3118">
        <v>0.1</v>
      </c>
      <c r="F89" s="3118">
        <v>15</v>
      </c>
    </row>
    <row r="90" spans="1:6" ht="13.5">
      <c r="A90" s="3118">
        <v>18</v>
      </c>
      <c r="B90" s="3763" t="s">
        <v>2688</v>
      </c>
      <c r="C90" s="3092" t="s">
        <v>2689</v>
      </c>
      <c r="D90" s="3092" t="s">
        <v>2690</v>
      </c>
      <c r="E90" s="3118">
        <v>0.2</v>
      </c>
      <c r="F90" s="3118">
        <v>25</v>
      </c>
    </row>
    <row r="91" spans="1:6" ht="24">
      <c r="A91" s="3118">
        <v>19</v>
      </c>
      <c r="B91" s="3758"/>
      <c r="C91" s="3092" t="s">
        <v>2691</v>
      </c>
      <c r="D91" s="3092" t="s">
        <v>2692</v>
      </c>
      <c r="E91" s="3118">
        <v>0.2</v>
      </c>
      <c r="F91" s="3118">
        <v>25</v>
      </c>
    </row>
    <row r="92" spans="1:6" ht="13.5">
      <c r="A92" s="3118">
        <v>20</v>
      </c>
      <c r="B92" s="3758"/>
      <c r="C92" s="3092" t="s">
        <v>2693</v>
      </c>
      <c r="D92" s="3092" t="s">
        <v>2694</v>
      </c>
      <c r="E92" s="3118">
        <v>0.15</v>
      </c>
      <c r="F92" s="3118">
        <v>20</v>
      </c>
    </row>
    <row r="93" spans="1:6" ht="13.5">
      <c r="A93" s="3118">
        <v>21</v>
      </c>
      <c r="B93" s="3758"/>
      <c r="C93" s="3092" t="s">
        <v>2695</v>
      </c>
      <c r="D93" s="3092" t="s">
        <v>2696</v>
      </c>
      <c r="E93" s="3118">
        <v>0.15</v>
      </c>
      <c r="F93" s="3118">
        <v>20</v>
      </c>
    </row>
    <row r="94" spans="1:6" ht="13.5">
      <c r="A94" s="3118">
        <v>22</v>
      </c>
      <c r="B94" s="3758"/>
      <c r="C94" s="3092" t="s">
        <v>2697</v>
      </c>
      <c r="D94" s="3092" t="s">
        <v>2698</v>
      </c>
      <c r="E94" s="3118">
        <v>0.15</v>
      </c>
      <c r="F94" s="3118">
        <v>20</v>
      </c>
    </row>
    <row r="95" spans="1:6" ht="36">
      <c r="A95" s="3118">
        <v>23</v>
      </c>
      <c r="B95" s="3758"/>
      <c r="C95" s="3092" t="s">
        <v>2699</v>
      </c>
      <c r="D95" s="3092" t="s">
        <v>2700</v>
      </c>
      <c r="E95" s="3118">
        <v>0.15</v>
      </c>
      <c r="F95" s="3118">
        <v>20</v>
      </c>
    </row>
    <row r="96" spans="1:6" ht="13.5">
      <c r="A96" s="3118">
        <v>24</v>
      </c>
      <c r="B96" s="3758"/>
      <c r="C96" s="3092" t="s">
        <v>2701</v>
      </c>
      <c r="D96" s="3092" t="s">
        <v>2702</v>
      </c>
      <c r="E96" s="3118">
        <v>0.1</v>
      </c>
      <c r="F96" s="3118">
        <v>15</v>
      </c>
    </row>
    <row r="97" spans="1:6" ht="13.5">
      <c r="A97" s="3118">
        <v>25</v>
      </c>
      <c r="B97" s="3758"/>
      <c r="C97" s="3092" t="s">
        <v>2703</v>
      </c>
      <c r="D97" s="3092" t="s">
        <v>2704</v>
      </c>
      <c r="E97" s="3118">
        <v>0.1</v>
      </c>
      <c r="F97" s="3118">
        <v>15</v>
      </c>
    </row>
    <row r="98" spans="1:6" ht="24">
      <c r="A98" s="3118">
        <v>26</v>
      </c>
      <c r="B98" s="3758"/>
      <c r="C98" s="3092" t="s">
        <v>2705</v>
      </c>
      <c r="D98" s="3092" t="s">
        <v>2706</v>
      </c>
      <c r="E98" s="3118">
        <v>0.1</v>
      </c>
      <c r="F98" s="3118">
        <v>15</v>
      </c>
    </row>
    <row r="99" spans="1:6" ht="24">
      <c r="A99" s="3118">
        <v>27</v>
      </c>
      <c r="B99" s="3758"/>
      <c r="C99" s="3092" t="s">
        <v>2707</v>
      </c>
      <c r="D99" s="3092" t="s">
        <v>2708</v>
      </c>
      <c r="E99" s="3118">
        <v>0.1</v>
      </c>
      <c r="F99" s="3118">
        <v>15</v>
      </c>
    </row>
    <row r="100" spans="1:6" ht="13.5">
      <c r="A100" s="3118">
        <v>28</v>
      </c>
      <c r="B100" s="3758"/>
      <c r="C100" s="3092" t="s">
        <v>2709</v>
      </c>
      <c r="D100" s="3092" t="s">
        <v>2710</v>
      </c>
      <c r="E100" s="3118">
        <v>0.1</v>
      </c>
      <c r="F100" s="3118">
        <v>15</v>
      </c>
    </row>
    <row r="101" spans="1:6" ht="13.5">
      <c r="A101" s="3118">
        <v>29</v>
      </c>
      <c r="B101" s="3758"/>
      <c r="C101" s="3092" t="s">
        <v>2711</v>
      </c>
      <c r="D101" s="3092" t="s">
        <v>2712</v>
      </c>
      <c r="E101" s="3118">
        <v>0.1</v>
      </c>
      <c r="F101" s="3118">
        <v>15</v>
      </c>
    </row>
    <row r="102" spans="1:6" ht="13.5">
      <c r="A102" s="3118">
        <v>30</v>
      </c>
      <c r="B102" s="3758"/>
      <c r="C102" s="3092" t="s">
        <v>2713</v>
      </c>
      <c r="D102" s="3092" t="s">
        <v>2714</v>
      </c>
      <c r="E102" s="3118">
        <v>0.1</v>
      </c>
      <c r="F102" s="3118">
        <v>15</v>
      </c>
    </row>
    <row r="103" spans="1:6" ht="24">
      <c r="A103" s="3118">
        <v>31</v>
      </c>
      <c r="B103" s="3758"/>
      <c r="C103" s="3092" t="s">
        <v>2715</v>
      </c>
      <c r="D103" s="3092" t="s">
        <v>2716</v>
      </c>
      <c r="E103" s="3118">
        <v>0.1</v>
      </c>
      <c r="F103" s="3118">
        <v>15</v>
      </c>
    </row>
    <row r="104" spans="1:6" ht="24">
      <c r="A104" s="3118">
        <v>32</v>
      </c>
      <c r="B104" s="3758"/>
      <c r="C104" s="3092" t="s">
        <v>2717</v>
      </c>
      <c r="D104" s="3092" t="s">
        <v>2718</v>
      </c>
      <c r="E104" s="3118">
        <v>0.1</v>
      </c>
      <c r="F104" s="3118">
        <v>15</v>
      </c>
    </row>
    <row r="105" spans="1:6" ht="24">
      <c r="A105" s="3118">
        <v>33</v>
      </c>
      <c r="B105" s="3758"/>
      <c r="C105" s="3092" t="s">
        <v>2719</v>
      </c>
      <c r="D105" s="3092" t="s">
        <v>2720</v>
      </c>
      <c r="E105" s="3118">
        <v>0.1</v>
      </c>
      <c r="F105" s="3118">
        <v>15</v>
      </c>
    </row>
    <row r="106" spans="1:6" ht="24">
      <c r="A106" s="3118">
        <v>34</v>
      </c>
      <c r="B106" s="3767"/>
      <c r="C106" s="3092" t="s">
        <v>2721</v>
      </c>
      <c r="D106" s="3092" t="s">
        <v>2722</v>
      </c>
      <c r="E106" s="3118">
        <v>0.1</v>
      </c>
      <c r="F106" s="3118">
        <v>15</v>
      </c>
    </row>
    <row r="107" spans="1:6" ht="24">
      <c r="A107" s="3118">
        <v>35</v>
      </c>
      <c r="B107" s="3763" t="s">
        <v>2723</v>
      </c>
      <c r="C107" s="3118" t="s">
        <v>2724</v>
      </c>
      <c r="D107" s="3092" t="s">
        <v>2725</v>
      </c>
      <c r="E107" s="3118">
        <v>0.15</v>
      </c>
      <c r="F107" s="3118">
        <v>20</v>
      </c>
    </row>
    <row r="108" spans="1:6" ht="13.5">
      <c r="A108" s="3118">
        <v>36</v>
      </c>
      <c r="B108" s="3758"/>
      <c r="C108" s="3118" t="s">
        <v>2726</v>
      </c>
      <c r="D108" s="3092" t="s">
        <v>2727</v>
      </c>
      <c r="E108" s="3118">
        <v>0.15</v>
      </c>
      <c r="F108" s="3118">
        <v>20</v>
      </c>
    </row>
    <row r="109" spans="1:6" ht="13.5">
      <c r="A109" s="3118">
        <v>37</v>
      </c>
      <c r="B109" s="3758"/>
      <c r="C109" s="3118" t="s">
        <v>2728</v>
      </c>
      <c r="D109" s="3092" t="s">
        <v>2729</v>
      </c>
      <c r="E109" s="3118">
        <v>0.15</v>
      </c>
      <c r="F109" s="3118">
        <v>20</v>
      </c>
    </row>
    <row r="110" spans="1:6" ht="13.5">
      <c r="A110" s="3118">
        <v>38</v>
      </c>
      <c r="B110" s="3758"/>
      <c r="C110" s="3118" t="s">
        <v>2730</v>
      </c>
      <c r="D110" s="3092" t="s">
        <v>2731</v>
      </c>
      <c r="E110" s="3118">
        <v>0.1</v>
      </c>
      <c r="F110" s="3118">
        <v>15</v>
      </c>
    </row>
    <row r="111" spans="1:6" ht="24">
      <c r="A111" s="3118">
        <v>39</v>
      </c>
      <c r="B111" s="3758"/>
      <c r="C111" s="3118" t="s">
        <v>2732</v>
      </c>
      <c r="D111" s="3092" t="s">
        <v>2733</v>
      </c>
      <c r="E111" s="3118">
        <v>0.1</v>
      </c>
      <c r="F111" s="3118">
        <v>15</v>
      </c>
    </row>
    <row r="112" spans="1:6" ht="24">
      <c r="A112" s="3118">
        <v>40</v>
      </c>
      <c r="B112" s="3767"/>
      <c r="C112" s="3118" t="s">
        <v>2734</v>
      </c>
      <c r="D112" s="3092" t="s">
        <v>2735</v>
      </c>
      <c r="E112" s="3118">
        <v>0.1</v>
      </c>
      <c r="F112" s="3118">
        <v>15</v>
      </c>
    </row>
    <row r="113" spans="1:6" ht="13.5">
      <c r="A113" s="3118">
        <v>41</v>
      </c>
      <c r="B113" s="3768" t="s">
        <v>2736</v>
      </c>
      <c r="C113" s="3118" t="s">
        <v>2737</v>
      </c>
      <c r="D113" s="3092" t="s">
        <v>2738</v>
      </c>
      <c r="E113" s="3118">
        <v>0.1</v>
      </c>
      <c r="F113" s="3118">
        <v>15</v>
      </c>
    </row>
    <row r="114" spans="1:6" ht="13.5">
      <c r="A114" s="3118">
        <v>42</v>
      </c>
      <c r="B114" s="3768"/>
      <c r="C114" s="3118" t="s">
        <v>2739</v>
      </c>
      <c r="D114" s="3092" t="s">
        <v>2740</v>
      </c>
      <c r="E114" s="3118">
        <v>0.1</v>
      </c>
      <c r="F114" s="3118">
        <v>15</v>
      </c>
    </row>
    <row r="115" spans="1:6" ht="24">
      <c r="A115" s="3118">
        <v>43</v>
      </c>
      <c r="B115" s="3768"/>
      <c r="C115" s="3118" t="s">
        <v>2741</v>
      </c>
      <c r="D115" s="3092" t="s">
        <v>2742</v>
      </c>
      <c r="E115" s="3118">
        <v>0.1</v>
      </c>
      <c r="F115" s="3118">
        <v>15</v>
      </c>
    </row>
    <row r="116" spans="1:6" ht="13.5">
      <c r="A116" s="3118">
        <v>44</v>
      </c>
      <c r="B116" s="3763" t="s">
        <v>2743</v>
      </c>
      <c r="C116" s="3118" t="s">
        <v>2744</v>
      </c>
      <c r="D116" s="3092" t="s">
        <v>2745</v>
      </c>
      <c r="E116" s="3118">
        <v>0.1</v>
      </c>
      <c r="F116" s="3118">
        <v>15</v>
      </c>
    </row>
    <row r="117" spans="1:6" ht="24">
      <c r="A117" s="3118">
        <v>45</v>
      </c>
      <c r="B117" s="3767"/>
      <c r="C117" s="3092" t="s">
        <v>2746</v>
      </c>
      <c r="D117" s="3092" t="s">
        <v>2747</v>
      </c>
      <c r="E117" s="3118">
        <v>0.1</v>
      </c>
      <c r="F117" s="3118">
        <v>15</v>
      </c>
    </row>
    <row r="118" spans="1:6" ht="24">
      <c r="A118" s="3118">
        <v>46</v>
      </c>
      <c r="B118" s="3763" t="s">
        <v>2748</v>
      </c>
      <c r="C118" s="3118" t="s">
        <v>2749</v>
      </c>
      <c r="D118" s="3092" t="s">
        <v>2750</v>
      </c>
      <c r="E118" s="3118">
        <v>0.1</v>
      </c>
      <c r="F118" s="3118">
        <v>15</v>
      </c>
    </row>
    <row r="119" spans="1:6" ht="24">
      <c r="A119" s="3118">
        <v>47</v>
      </c>
      <c r="B119" s="3767"/>
      <c r="C119" s="3118" t="s">
        <v>2751</v>
      </c>
      <c r="D119" s="3092" t="s">
        <v>2752</v>
      </c>
      <c r="E119" s="3118">
        <v>0.1</v>
      </c>
      <c r="F119" s="3118">
        <v>15</v>
      </c>
    </row>
    <row r="120" spans="1:6" ht="13.5">
      <c r="A120" s="3118">
        <v>48</v>
      </c>
      <c r="B120" s="3763" t="s">
        <v>2753</v>
      </c>
      <c r="C120" s="3118" t="s">
        <v>2754</v>
      </c>
      <c r="D120" s="3092" t="s">
        <v>2755</v>
      </c>
      <c r="E120" s="3118">
        <v>0.1</v>
      </c>
      <c r="F120" s="3118">
        <v>15</v>
      </c>
    </row>
    <row r="121" spans="1:6" ht="13.5">
      <c r="A121" s="3118">
        <v>49</v>
      </c>
      <c r="B121" s="3767"/>
      <c r="C121" s="3118" t="s">
        <v>2756</v>
      </c>
      <c r="D121" s="3092" t="s">
        <v>2757</v>
      </c>
      <c r="E121" s="3118">
        <v>0.1</v>
      </c>
      <c r="F121" s="3118">
        <v>15</v>
      </c>
    </row>
    <row r="122" spans="1:6" ht="24">
      <c r="A122" s="3118">
        <v>50</v>
      </c>
      <c r="B122" s="3768" t="s">
        <v>2758</v>
      </c>
      <c r="C122" s="3118" t="s">
        <v>2759</v>
      </c>
      <c r="D122" s="3092" t="s">
        <v>2760</v>
      </c>
      <c r="E122" s="3118">
        <v>0.1</v>
      </c>
      <c r="F122" s="3118">
        <v>15</v>
      </c>
    </row>
    <row r="123" spans="1:6" ht="24">
      <c r="A123" s="3118">
        <v>51</v>
      </c>
      <c r="B123" s="3768"/>
      <c r="C123" s="3118" t="s">
        <v>2761</v>
      </c>
      <c r="D123" s="3092" t="s">
        <v>2762</v>
      </c>
      <c r="E123" s="3118">
        <v>0.1</v>
      </c>
      <c r="F123" s="3118">
        <v>15</v>
      </c>
    </row>
    <row r="124" spans="1:6" ht="24">
      <c r="A124" s="3118">
        <v>52</v>
      </c>
      <c r="B124" s="3768" t="s">
        <v>2763</v>
      </c>
      <c r="C124" s="3118" t="s">
        <v>2764</v>
      </c>
      <c r="D124" s="3092" t="s">
        <v>2765</v>
      </c>
      <c r="E124" s="3118">
        <v>0.1</v>
      </c>
      <c r="F124" s="3118">
        <v>15</v>
      </c>
    </row>
    <row r="125" spans="1:6" ht="24">
      <c r="A125" s="3118">
        <v>53</v>
      </c>
      <c r="B125" s="3768"/>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68" t="s">
        <v>2771</v>
      </c>
      <c r="C127" s="3118" t="s">
        <v>2772</v>
      </c>
      <c r="D127" s="3092" t="s">
        <v>2773</v>
      </c>
      <c r="E127" s="3118">
        <v>0.1</v>
      </c>
      <c r="F127" s="3118">
        <v>15</v>
      </c>
    </row>
    <row r="128" spans="1:6" ht="13.5">
      <c r="A128" s="3118">
        <v>56</v>
      </c>
      <c r="B128" s="3768"/>
      <c r="C128" s="3118" t="s">
        <v>2774</v>
      </c>
      <c r="D128" s="3092" t="s">
        <v>2775</v>
      </c>
      <c r="E128" s="3118">
        <v>0.1</v>
      </c>
      <c r="F128" s="3118">
        <v>15</v>
      </c>
    </row>
    <row r="129" spans="1:6" ht="24">
      <c r="A129" s="3118">
        <v>57</v>
      </c>
      <c r="B129" s="3768"/>
      <c r="C129" s="3118" t="s">
        <v>2776</v>
      </c>
      <c r="D129" s="3092" t="s">
        <v>2777</v>
      </c>
      <c r="E129" s="3118">
        <v>0.1</v>
      </c>
      <c r="F129" s="3118">
        <v>15</v>
      </c>
    </row>
    <row r="130" spans="1:6" ht="24">
      <c r="A130" s="3118">
        <v>58</v>
      </c>
      <c r="B130" s="3768" t="s">
        <v>2778</v>
      </c>
      <c r="C130" s="3118" t="s">
        <v>2779</v>
      </c>
      <c r="D130" s="3092" t="s">
        <v>2780</v>
      </c>
      <c r="E130" s="3118">
        <v>0.1</v>
      </c>
      <c r="F130" s="3118">
        <v>15</v>
      </c>
    </row>
    <row r="131" spans="1:6" ht="13.5">
      <c r="A131" s="3118">
        <v>59</v>
      </c>
      <c r="B131" s="3768"/>
      <c r="C131" s="3118" t="s">
        <v>2781</v>
      </c>
      <c r="D131" s="3092" t="s">
        <v>2782</v>
      </c>
      <c r="E131" s="3118">
        <v>0.1</v>
      </c>
      <c r="F131" s="3118">
        <v>15</v>
      </c>
    </row>
    <row r="132" spans="1:6" ht="13.5">
      <c r="A132" s="3118">
        <v>60</v>
      </c>
      <c r="B132" s="3763" t="s">
        <v>2783</v>
      </c>
      <c r="C132" s="3118" t="s">
        <v>2784</v>
      </c>
      <c r="D132" s="3092" t="s">
        <v>2785</v>
      </c>
      <c r="E132" s="3118">
        <v>0.1</v>
      </c>
      <c r="F132" s="3118">
        <v>15</v>
      </c>
    </row>
    <row r="133" spans="1:6" ht="13.5">
      <c r="A133" s="3118">
        <v>61</v>
      </c>
      <c r="B133" s="3767"/>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68" t="s">
        <v>2791</v>
      </c>
      <c r="C135" s="3118" t="s">
        <v>2792</v>
      </c>
      <c r="D135" s="3092" t="s">
        <v>2793</v>
      </c>
      <c r="E135" s="3118">
        <v>0.1</v>
      </c>
      <c r="F135" s="3118">
        <v>15</v>
      </c>
    </row>
    <row r="136" spans="1:6" ht="13.5">
      <c r="A136" s="3118">
        <v>64</v>
      </c>
      <c r="B136" s="3768"/>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0.95120000000000005</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29632</v>
      </c>
      <c r="C2" s="2" t="s">
        <v>106</v>
      </c>
      <c r="D2" s="199"/>
      <c r="E2" s="199"/>
      <c r="F2" s="199"/>
      <c r="G2" s="199"/>
    </row>
    <row r="3" spans="1:7" s="200" customFormat="1" ht="18" customHeight="1" thickBot="1">
      <c r="A3" s="203" t="s">
        <v>58</v>
      </c>
      <c r="B3" s="204">
        <f ca="1">ROUND(B2*10000/'数据-汇总表'!E3,0)</f>
        <v>161007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37</v>
      </c>
      <c r="D10" s="845">
        <f>'数据-汇总表'!E6</f>
        <v>1840.42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37</v>
      </c>
      <c r="D19" s="849">
        <f>'数据-汇总表'!E3</f>
        <v>1840.42</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1421</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4212</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4212</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28952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644</v>
      </c>
      <c r="D34" s="217"/>
      <c r="E34" s="220"/>
      <c r="F34" s="257">
        <f>IF('数据-取费表'!B24=0,1,'数据-取费表'!N16)</f>
        <v>1</v>
      </c>
      <c r="G34" s="219" t="s">
        <v>89</v>
      </c>
    </row>
    <row r="35" spans="1:7" ht="13.5" customHeight="1">
      <c r="A35" s="780" t="s">
        <v>351</v>
      </c>
      <c r="B35" s="215" t="s">
        <v>33</v>
      </c>
      <c r="C35" s="220">
        <f>ROUND(C34*F35,0)</f>
        <v>19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37</v>
      </c>
      <c r="D37" s="217">
        <f>'数据-汇总表'!E3</f>
        <v>1840.42</v>
      </c>
      <c r="E37" s="249">
        <f>'数据-取费表'!B35</f>
        <v>200</v>
      </c>
      <c r="F37" s="259"/>
      <c r="G37" s="261" t="s">
        <v>92</v>
      </c>
    </row>
    <row r="38" spans="1:7" ht="13.5" customHeight="1">
      <c r="A38" s="780" t="s">
        <v>354</v>
      </c>
      <c r="B38" s="215" t="s">
        <v>36</v>
      </c>
      <c r="C38" s="220">
        <f>ROUND(C34*F38,0)</f>
        <v>13</v>
      </c>
      <c r="D38" s="220"/>
      <c r="E38" s="220"/>
      <c r="F38" s="259">
        <f>'数据-取费表'!B36</f>
        <v>0.02</v>
      </c>
      <c r="G38" s="219" t="s">
        <v>90</v>
      </c>
    </row>
    <row r="39" spans="1:7" s="214" customFormat="1" ht="13.5" customHeight="1">
      <c r="A39" s="777" t="s">
        <v>338</v>
      </c>
      <c r="B39" s="210" t="s">
        <v>77</v>
      </c>
      <c r="C39" s="232">
        <f>ROUND(C33*F20,0)</f>
        <v>14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24</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145</v>
      </c>
      <c r="D45" s="235">
        <f>C47</f>
        <v>4.0000000000000001E-3</v>
      </c>
      <c r="E45" s="236" t="s">
        <v>102</v>
      </c>
      <c r="F45" s="246"/>
      <c r="G45" s="247" t="s">
        <v>434</v>
      </c>
    </row>
    <row r="46" spans="1:7" s="214" customFormat="1" ht="13.5" customHeight="1">
      <c r="A46" s="780" t="s">
        <v>349</v>
      </c>
      <c r="B46" s="248" t="s">
        <v>427</v>
      </c>
      <c r="C46" s="249">
        <f>ROUND((C33+C39)*F27,0)</f>
        <v>145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972</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680</v>
      </c>
      <c r="D51" s="232"/>
      <c r="E51" s="232"/>
      <c r="F51" s="264"/>
      <c r="G51" s="234" t="s">
        <v>37</v>
      </c>
    </row>
    <row r="52" spans="1:7" s="208" customFormat="1" ht="16.5" thickBot="1">
      <c r="A52" s="265" t="s">
        <v>38</v>
      </c>
      <c r="B52" s="266"/>
      <c r="C52" s="267">
        <f ca="1">C31+C51</f>
        <v>29632</v>
      </c>
      <c r="D52" s="266"/>
      <c r="E52" s="266"/>
      <c r="F52" s="266"/>
      <c r="G52" s="268"/>
    </row>
    <row r="55" spans="1:7" ht="15">
      <c r="B55" s="270" t="s">
        <v>39</v>
      </c>
      <c r="C55" s="271"/>
    </row>
    <row r="56" spans="1:7">
      <c r="B56" s="273" t="s">
        <v>40</v>
      </c>
      <c r="C56" s="274">
        <f ca="1">ROUND(C51/C52,3)</f>
        <v>2.3E-2</v>
      </c>
    </row>
    <row r="57" spans="1:7">
      <c r="B57" s="273" t="s">
        <v>41</v>
      </c>
      <c r="C57" s="275">
        <f ca="1">1-C56</f>
        <v>0.97699999999999998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4117</v>
      </c>
      <c r="E5" s="1491"/>
    </row>
    <row r="6" spans="1:5" ht="15.75">
      <c r="A6" s="1491"/>
      <c r="B6" s="3452"/>
      <c r="C6" s="1494" t="s">
        <v>911</v>
      </c>
      <c r="D6" s="850" t="str">
        <f ca="1">NUMBERSTRING(INT(D5*10000),2)&amp;"元整"</f>
        <v>肆仟壹佰壹拾柒万元整</v>
      </c>
      <c r="E6" s="1491"/>
    </row>
    <row r="7" spans="1:5" ht="15.75">
      <c r="A7" s="1491"/>
      <c r="B7" s="3457"/>
      <c r="C7" s="1495" t="s">
        <v>912</v>
      </c>
      <c r="D7" s="851">
        <f ca="1">结果表!H102</f>
        <v>22368</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4117</v>
      </c>
      <c r="E13" s="1491"/>
    </row>
    <row r="14" spans="1:5" ht="15.75">
      <c r="A14" s="1491"/>
      <c r="B14" s="3452"/>
      <c r="C14" s="1494" t="s">
        <v>911</v>
      </c>
      <c r="D14" s="850" t="str">
        <f ca="1">NUMBERSTRING(INT(D13*10000),2)&amp;"元整"</f>
        <v>肆仟壹佰壹拾柒万元整</v>
      </c>
      <c r="E14" s="1491"/>
    </row>
    <row r="15" spans="1:5" ht="15">
      <c r="A15" s="1491"/>
      <c r="B15" s="3457"/>
      <c r="C15" s="1495" t="s">
        <v>921</v>
      </c>
      <c r="D15" s="859">
        <f ca="1">结果表!H108</f>
        <v>22368</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A39" sqref="A39"/>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2841</v>
      </c>
      <c r="B1" s="3771"/>
      <c r="C1" s="3771"/>
      <c r="D1" s="3771"/>
      <c r="E1" s="3771"/>
      <c r="F1" s="3771"/>
      <c r="G1" s="3772"/>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69"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70"/>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3183</v>
      </c>
      <c r="B1" s="3773"/>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74" t="s">
        <v>3234</v>
      </c>
      <c r="B1" s="3774"/>
      <c r="C1" s="3774"/>
      <c r="D1" s="3774"/>
      <c r="E1" s="3774"/>
      <c r="F1" s="3775"/>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80" zoomScaleNormal="80" workbookViewId="0">
      <selection activeCell="H50" sqref="H50"/>
    </sheetView>
  </sheetViews>
  <sheetFormatPr defaultRowHeight="13.5"/>
  <cols>
    <col min="1" max="1" width="13.875" customWidth="1"/>
    <col min="11" max="17" width="0" hidden="1" customWidth="1"/>
    <col min="25" max="30" width="0" hidden="1" customWidth="1"/>
  </cols>
  <sheetData>
    <row r="1" spans="1:30">
      <c r="A1" s="3221">
        <f>基准地价修正!G23</f>
        <v>45565</v>
      </c>
      <c r="B1" s="3210" t="s">
        <v>3372</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ROUND(AVERAGEIF(D4:D21,"&lt;&gt;0"),2)</f>
        <v>0.59</v>
      </c>
      <c r="E3" s="3151">
        <f t="shared" ref="E3:H3" si="0">ROUND(AVERAGEIF(E4:E21,"&lt;&gt;0"),2)</f>
        <v>0.36</v>
      </c>
      <c r="F3" s="3151">
        <f t="shared" si="0"/>
        <v>0.06</v>
      </c>
      <c r="G3" s="3151">
        <f t="shared" si="0"/>
        <v>0.6</v>
      </c>
      <c r="H3" s="3151">
        <f t="shared" si="0"/>
        <v>0.6</v>
      </c>
      <c r="I3" s="3151">
        <f>F3</f>
        <v>0.06</v>
      </c>
      <c r="J3" s="3152"/>
      <c r="K3" s="3153">
        <f>ROUND(AVERAGEIF(K4:K21,"&lt;&gt;0"),4)</f>
        <v>5.8999999999999999E-3</v>
      </c>
      <c r="L3" s="3154">
        <f t="shared" ref="L3:O3" si="1">ROUND(AVERAGEIF(L4:L21,"&lt;&gt;0"),4)</f>
        <v>3.5999999999999999E-3</v>
      </c>
      <c r="M3" s="3154">
        <f t="shared" si="1"/>
        <v>5.9999999999999995E-4</v>
      </c>
      <c r="N3" s="3154">
        <f t="shared" si="1"/>
        <v>6.0000000000000001E-3</v>
      </c>
      <c r="O3" s="3154">
        <f t="shared" si="1"/>
        <v>6.0000000000000001E-3</v>
      </c>
      <c r="P3" s="3154">
        <f>M3</f>
        <v>5.9999999999999995E-4</v>
      </c>
      <c r="Q3" s="3152"/>
      <c r="R3" s="3155">
        <f>ROUND(SUMPRODUCT(PRODUCT(1+K4:K21)),4)</f>
        <v>1.0852999999999999</v>
      </c>
      <c r="S3" s="3156">
        <f t="shared" ref="S3:V3" si="2">ROUND(SUMPRODUCT(PRODUCT(1+L4:L21)),4)</f>
        <v>1.0513999999999999</v>
      </c>
      <c r="T3" s="3156">
        <f t="shared" si="2"/>
        <v>1.0083</v>
      </c>
      <c r="U3" s="3156">
        <f t="shared" si="2"/>
        <v>1.0871999999999999</v>
      </c>
      <c r="V3" s="3156">
        <f t="shared" si="2"/>
        <v>1.0880000000000001</v>
      </c>
      <c r="W3" s="3155">
        <f>T3</f>
        <v>1.0083</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3383</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1.0748</v>
      </c>
      <c r="S5" s="3183">
        <f>ROUND(IF(项目基本情况!$B$8="出让",SUMPRODUCT(PRODUCT(1+L5:$L$21)),SUMPRODUCT(PRODUCT(1+L5:$L$20))),4)</f>
        <v>1.0498000000000001</v>
      </c>
      <c r="T5" s="3183">
        <f>ROUND(IF(项目基本情况!$B$8="出让",SUMPRODUCT(PRODUCT(1+M5:$M$21)),SUMPRODUCT(PRODUCT(1+M5:$M$20))),4)</f>
        <v>1.0107999999999999</v>
      </c>
      <c r="U5" s="3183">
        <f>ROUND(IF(项目基本情况!$B$8="出让",SUMPRODUCT(PRODUCT(1+N5:$N$21)),SUMPRODUCT(PRODUCT(1+N5:$N$20))),4)</f>
        <v>1.0752999999999999</v>
      </c>
      <c r="V5" s="3183">
        <f>ROUND(IF(项目基本情况!$B$8="出让",SUMPRODUCT(PRODUCT(1+O5:$O$21)),SUMPRODUCT(PRODUCT(1+O5:$O$20))),4)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3384</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1.0748</v>
      </c>
      <c r="S6" s="3192">
        <f>ROUND(IF(项目基本情况!$B$8="出让",SUMPRODUCT(PRODUCT(1+L6:$L$21)),SUMPRODUCT(PRODUCT(1+L6:$L$20))),4)</f>
        <v>1.0498000000000001</v>
      </c>
      <c r="T6" s="3192">
        <f>ROUND(IF(项目基本情况!$B$8="出让",SUMPRODUCT(PRODUCT(1+M6:$M$21)),SUMPRODUCT(PRODUCT(1+M6:$M$20))),4)</f>
        <v>1.0107999999999999</v>
      </c>
      <c r="U6" s="3192">
        <f>ROUND(IF(项目基本情况!$B$8="出让",SUMPRODUCT(PRODUCT(1+N6:$N$21)),SUMPRODUCT(PRODUCT(1+N6:$N$20))),4)</f>
        <v>1.0752999999999999</v>
      </c>
      <c r="V6" s="3192">
        <f>ROUND(IF(项目基本情况!$B$8="出让",SUMPRODUCT(PRODUCT(1+O6:$O$21)),SUMPRODUCT(PRODUCT(1+O6:$O$20))),4)</f>
        <v>1.0841000000000001</v>
      </c>
      <c r="W6" s="3192">
        <f>T6</f>
        <v>1.0107999999999999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2.75">
      <c r="A7" s="2205" t="s">
        <v>3378</v>
      </c>
      <c r="B7" s="3177">
        <v>2024</v>
      </c>
      <c r="C7" s="3178">
        <v>3</v>
      </c>
      <c r="D7" s="3179">
        <v>0</v>
      </c>
      <c r="E7" s="3179">
        <v>0</v>
      </c>
      <c r="F7" s="3179">
        <v>0</v>
      </c>
      <c r="G7" s="3179">
        <v>0</v>
      </c>
      <c r="H7" s="3179">
        <v>0</v>
      </c>
      <c r="I7" s="3180">
        <f t="shared" ref="I7" si="26">F7</f>
        <v>0</v>
      </c>
      <c r="J7" s="3181"/>
      <c r="K7" s="3182">
        <f t="shared" ref="K7" si="27">D7/100</f>
        <v>0</v>
      </c>
      <c r="L7" s="3172">
        <f t="shared" ref="L7" si="28">E7/100</f>
        <v>0</v>
      </c>
      <c r="M7" s="3172">
        <f t="shared" ref="M7" si="29">F7/100</f>
        <v>0</v>
      </c>
      <c r="N7" s="3172">
        <f t="shared" ref="N7" si="30">G7/100</f>
        <v>0</v>
      </c>
      <c r="O7" s="3172">
        <f t="shared" ref="O7" si="31">H7/100</f>
        <v>0</v>
      </c>
      <c r="P7" s="3172">
        <f>M7</f>
        <v>0</v>
      </c>
      <c r="Q7" s="3181"/>
      <c r="R7" s="3183">
        <f>ROUND(IF(项目基本情况!$B$8="出让",SUMPRODUCT(PRODUCT(1+K7:$K$21)),SUMPRODUCT(PRODUCT(1+K7:$K$20))),4)</f>
        <v>1.0748</v>
      </c>
      <c r="S7" s="3183">
        <f>ROUND(IF(项目基本情况!$B$8="出让",SUMPRODUCT(PRODUCT(1+L7:$L$21)),SUMPRODUCT(PRODUCT(1+L7:$L$20))),4)</f>
        <v>1.0498000000000001</v>
      </c>
      <c r="T7" s="3183">
        <f>ROUND(IF(项目基本情况!$B$8="出让",SUMPRODUCT(PRODUCT(1+M7:$M$21)),SUMPRODUCT(PRODUCT(1+M7:$M$20))),4)</f>
        <v>1.0107999999999999</v>
      </c>
      <c r="U7" s="3183">
        <f>ROUND(IF(项目基本情况!$B$8="出让",SUMPRODUCT(PRODUCT(1+N7:$N$21)),SUMPRODUCT(PRODUCT(1+N7:$N$20))),4)</f>
        <v>1.0752999999999999</v>
      </c>
      <c r="V7" s="3183">
        <f>ROUND(IF(项目基本情况!$B$8="出让",SUMPRODUCT(PRODUCT(1+O7:$O$21)),SUMPRODUCT(PRODUCT(1+O7:$O$20))),4)</f>
        <v>1.0841000000000001</v>
      </c>
      <c r="W7" s="3183">
        <f>T7</f>
        <v>1.0107999999999999</v>
      </c>
      <c r="X7" s="3181"/>
      <c r="Y7" s="3184">
        <f>IF(D7=0,0,ROUND(AVERAGE(D7:D20)/100,4))</f>
        <v>0</v>
      </c>
      <c r="Z7" s="3184">
        <f t="shared" ref="Z7" si="32">IF(E7=0,0,ROUND(AVERAGE(E7:E20)/100,4))</f>
        <v>0</v>
      </c>
      <c r="AA7" s="3184">
        <f t="shared" ref="AA7" si="33">IF(F7=0,0,ROUND(AVERAGE(F7:F20)/100,4))</f>
        <v>0</v>
      </c>
      <c r="AB7" s="3184">
        <f t="shared" ref="AB7" si="34">IF(G7=0,0,ROUND(AVERAGE(G7:G20)/100,4))</f>
        <v>0</v>
      </c>
      <c r="AC7" s="3184">
        <f t="shared" ref="AC7" si="35">IF(H7=0,0,ROUND(AVERAGE(H7:H20)/100,4))</f>
        <v>0</v>
      </c>
      <c r="AD7" s="3184">
        <f t="shared" ref="AD7" si="36">AA7</f>
        <v>0</v>
      </c>
    </row>
    <row r="8" spans="1:30" s="3185" customFormat="1" ht="12.75">
      <c r="A8" s="3176" t="s">
        <v>3385</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3380</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3376</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3375</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3371</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3370</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3369</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3365</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3356</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3367</v>
      </c>
    </row>
    <row r="24" spans="1:30" s="3009" customFormat="1">
      <c r="I24" s="3208" t="s">
        <v>2827</v>
      </c>
    </row>
    <row r="25" spans="1:30" s="3009" customFormat="1"/>
    <row r="26" spans="1:30" s="3209" customFormat="1" ht="12.75">
      <c r="B26" s="3210" t="s">
        <v>3373</v>
      </c>
      <c r="C26" s="3211"/>
      <c r="D26" s="3211"/>
      <c r="E26" s="3211"/>
      <c r="F26" s="3211"/>
      <c r="G26" s="3211"/>
      <c r="H26" s="3211"/>
      <c r="I26" s="3211"/>
      <c r="J26" s="3165"/>
      <c r="K26" s="3211" t="s">
        <v>2828</v>
      </c>
      <c r="L26" s="3211"/>
      <c r="M26" s="3211"/>
      <c r="N26" s="3211"/>
      <c r="O26" s="3211"/>
      <c r="P26" s="3211"/>
      <c r="Q26" s="3165"/>
      <c r="R26" s="3776" t="s">
        <v>2829</v>
      </c>
      <c r="S26" s="3777"/>
      <c r="T26" s="3777"/>
      <c r="U26" s="3777"/>
      <c r="V26" s="3777"/>
      <c r="W26" s="3777"/>
      <c r="X26" s="3165"/>
      <c r="Y26" s="3776" t="s">
        <v>2830</v>
      </c>
      <c r="Z26" s="3777"/>
      <c r="AA26" s="3777"/>
      <c r="AB26" s="3777"/>
      <c r="AC26" s="3777"/>
      <c r="AD26" s="3777"/>
    </row>
    <row r="27" spans="1:30" s="3143" customFormat="1" ht="14.2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2.75">
      <c r="A28" s="3149" t="s">
        <v>2836</v>
      </c>
      <c r="B28" s="3150"/>
      <c r="C28" s="3151"/>
      <c r="D28" s="3151"/>
      <c r="E28" s="3151">
        <f t="shared" ref="E28:G28" si="65">ROUND(AVERAGEIF(E29:E46,"&lt;&gt;0"),2)</f>
        <v>0.33</v>
      </c>
      <c r="F28" s="3151">
        <f t="shared" si="65"/>
        <v>0.24</v>
      </c>
      <c r="G28" s="3151">
        <f t="shared" si="65"/>
        <v>0.62</v>
      </c>
      <c r="H28" s="3151"/>
      <c r="I28" s="3151">
        <f>F28</f>
        <v>0.24</v>
      </c>
      <c r="J28" s="3152"/>
      <c r="K28" s="3153"/>
      <c r="L28" s="3154">
        <f t="shared" ref="L28:N28" si="66">ROUND(AVERAGEIF(L29:L46,"&lt;&gt;0"),4)</f>
        <v>3.3E-3</v>
      </c>
      <c r="M28" s="3154">
        <f t="shared" si="66"/>
        <v>2.3999999999999998E-3</v>
      </c>
      <c r="N28" s="3154">
        <f t="shared" si="66"/>
        <v>6.1999999999999998E-3</v>
      </c>
      <c r="O28" s="3154"/>
      <c r="P28" s="3154">
        <f>M28</f>
        <v>2.3999999999999998E-3</v>
      </c>
      <c r="Q28" s="3152"/>
      <c r="R28" s="3155"/>
      <c r="S28" s="3156">
        <f>ROUND(SUMPRODUCT(PRODUCT(1+L29:L46)),4)</f>
        <v>1.0468999999999999</v>
      </c>
      <c r="T28" s="3156">
        <f t="shared" ref="T28:U28" si="67">ROUND(SUMPRODUCT(PRODUCT(1+M29:M46)),4)</f>
        <v>1.0347</v>
      </c>
      <c r="U28" s="3156">
        <f t="shared" si="67"/>
        <v>1.0895999999999999</v>
      </c>
      <c r="V28" s="3156"/>
      <c r="W28" s="3155">
        <f>T28</f>
        <v>1.0347</v>
      </c>
      <c r="X28" s="3152"/>
      <c r="Y28" s="3157"/>
      <c r="Z28" s="3158">
        <f t="shared" ref="Z28:AB28" si="68">ROUND(AVERAGEIF(Z29:Z46,"&lt;&gt;0"),4)</f>
        <v>4.1999999999999997E-3</v>
      </c>
      <c r="AA28" s="3159">
        <f t="shared" si="68"/>
        <v>3.3999999999999998E-3</v>
      </c>
      <c r="AB28" s="3157">
        <f t="shared" si="68"/>
        <v>8.6E-3</v>
      </c>
      <c r="AC28" s="3160"/>
      <c r="AD28" s="3157">
        <f>AA28</f>
        <v>3.3999999999999998E-3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3383</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1.0432999999999999</v>
      </c>
      <c r="T30" s="3183">
        <f>ROUND(IF(项目基本情况!$B$8="出让",SUMPRODUCT(PRODUCT(1+M30:M$46)),SUMPRODUCT(PRODUCT(1+M30:M$45))),4)</f>
        <v>1.0298</v>
      </c>
      <c r="U30" s="3183">
        <f>ROUND(IF(项目基本情况!$B$8="出让",SUMPRODUCT(PRODUCT(1+N30:N$46)),SUMPRODUCT(PRODUCT(1+N30:N$45))),4)</f>
        <v>1.079</v>
      </c>
      <c r="V30" s="3183"/>
      <c r="W30" s="3183">
        <f>T30</f>
        <v>1.0298</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3386</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1.0432999999999999</v>
      </c>
      <c r="T31" s="3192">
        <f>ROUND(IF(项目基本情况!$B$8="出让",SUMPRODUCT(PRODUCT(1+M31:M$46)),SUMPRODUCT(PRODUCT(1+M31:M$45))),4)</f>
        <v>1.0298</v>
      </c>
      <c r="U31" s="3192">
        <f>ROUND(IF(项目基本情况!$B$8="出让",SUMPRODUCT(PRODUCT(1+N31:N$46)),SUMPRODUCT(PRODUCT(1+N31:N$45))),4)</f>
        <v>1.079</v>
      </c>
      <c r="V31" s="3192"/>
      <c r="W31" s="3192">
        <f>T31</f>
        <v>1.0298</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2.75">
      <c r="A32" s="2205" t="s">
        <v>3378</v>
      </c>
      <c r="B32" s="3177">
        <v>2024</v>
      </c>
      <c r="C32" s="3178">
        <v>3</v>
      </c>
      <c r="D32" s="3179"/>
      <c r="E32" s="3179">
        <v>0</v>
      </c>
      <c r="F32" s="3179">
        <v>0</v>
      </c>
      <c r="G32" s="3179">
        <v>0</v>
      </c>
      <c r="H32" s="3179"/>
      <c r="I32" s="3180">
        <f t="shared" ref="I32" si="83">F32</f>
        <v>0</v>
      </c>
      <c r="J32" s="3181"/>
      <c r="K32" s="3182"/>
      <c r="L32" s="3172">
        <f t="shared" ref="L32" si="84">E32/100</f>
        <v>0</v>
      </c>
      <c r="M32" s="3172">
        <f t="shared" ref="M32" si="85">F32/100</f>
        <v>0</v>
      </c>
      <c r="N32" s="3172">
        <f t="shared" ref="N32" si="86">G32/100</f>
        <v>0</v>
      </c>
      <c r="O32" s="3172"/>
      <c r="P32" s="3172">
        <f>M32</f>
        <v>0</v>
      </c>
      <c r="Q32" s="3181"/>
      <c r="R32" s="3183"/>
      <c r="S32" s="3183">
        <f>ROUND(IF(项目基本情况!$B$8="出让",SUMPRODUCT(PRODUCT(1+L32:L$46)),SUMPRODUCT(PRODUCT(1+L32:L$45))),4)</f>
        <v>1.0432999999999999</v>
      </c>
      <c r="T32" s="3183">
        <f>ROUND(IF(项目基本情况!$B$8="出让",SUMPRODUCT(PRODUCT(1+M32:M$46)),SUMPRODUCT(PRODUCT(1+M32:M$45))),4)</f>
        <v>1.0298</v>
      </c>
      <c r="U32" s="3183">
        <f>ROUND(IF(项目基本情况!$B$8="出让",SUMPRODUCT(PRODUCT(1+N32:N$46)),SUMPRODUCT(PRODUCT(1+N32:N$45))),4)</f>
        <v>1.079</v>
      </c>
      <c r="V32" s="3183"/>
      <c r="W32" s="3183">
        <f>T32</f>
        <v>1.0298</v>
      </c>
      <c r="X32" s="3181"/>
      <c r="Y32" s="3184"/>
      <c r="Z32" s="3212">
        <f t="shared" ref="Z32:AB33" si="87">IF(E32=0,0,ROUND(AVERAGE(E32:E45)/100,4))</f>
        <v>0</v>
      </c>
      <c r="AA32" s="3212">
        <f t="shared" si="87"/>
        <v>0</v>
      </c>
      <c r="AB32" s="3212">
        <f t="shared" si="87"/>
        <v>0</v>
      </c>
      <c r="AC32" s="3213"/>
      <c r="AD32" s="3184">
        <f>IF(I32=0,0,ROUND(AVERAGE(I32:I45)/100,4))</f>
        <v>0</v>
      </c>
    </row>
    <row r="33" spans="1:30" s="3185" customFormat="1" ht="12.75">
      <c r="A33" s="3176" t="s">
        <v>3387</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3379</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3377</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3375</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3374</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3370</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3369</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3366</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3356</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3368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topLeftCell="A64"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45565</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1840.42</v>
      </c>
      <c r="C4" s="854">
        <f>项目基本情况!C18</f>
        <v>0</v>
      </c>
      <c r="D4" s="854">
        <f>结果表!D118</f>
        <v>0</v>
      </c>
      <c r="E4" s="854">
        <f>结果表!E118</f>
        <v>0</v>
      </c>
      <c r="F4" s="854">
        <f>结果表!F118</f>
        <v>0</v>
      </c>
      <c r="G4" s="854">
        <f>结果表!G118</f>
        <v>0</v>
      </c>
      <c r="H4" s="854">
        <f ca="1">结果表!H118</f>
        <v>4117</v>
      </c>
      <c r="I4" s="854">
        <f ca="1">结果表!I118</f>
        <v>22368</v>
      </c>
    </row>
    <row r="5" spans="1:9" ht="30" customHeight="1">
      <c r="A5" s="3463" t="s">
        <v>927</v>
      </c>
      <c r="B5" s="3463"/>
      <c r="C5" s="3463"/>
      <c r="D5" s="3463" t="str">
        <f>结果表!D119</f>
        <v>零元整</v>
      </c>
      <c r="E5" s="3463"/>
      <c r="F5" s="3463" t="str">
        <f>结果表!F119</f>
        <v>零元整</v>
      </c>
      <c r="G5" s="3463"/>
      <c r="H5" s="3463" t="str">
        <f ca="1">结果表!H119</f>
        <v>肆仟壹佰壹拾柒万元整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4117</v>
      </c>
      <c r="E8" s="3464"/>
      <c r="F8" s="3464"/>
      <c r="G8" s="3464"/>
      <c r="H8" s="3464"/>
      <c r="I8" s="3464"/>
    </row>
    <row r="9" spans="1:9" ht="15">
      <c r="A9" s="3463" t="s">
        <v>927</v>
      </c>
      <c r="B9" s="3463"/>
      <c r="C9" s="3463"/>
      <c r="D9" s="3463" t="str">
        <f ca="1">结果表!D123</f>
        <v>肆仟壹佰壹拾柒万元整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45575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2024-10-10T01:49:29Z</dcterms:modified>
</cp:coreProperties>
</file>